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5" yWindow="-15" windowWidth="10170" windowHeight="8055" tabRatio="602"/>
  </bookViews>
  <sheets>
    <sheet name="jan" sheetId="261" r:id="rId1"/>
  </sheets>
  <definedNames>
    <definedName name="_xlnm._FilterDatabase" localSheetId="0" hidden="1">jan!$A$4:$GZ$444</definedName>
    <definedName name="_xlnm.Print_Titles" localSheetId="0">jan!$2:$5</definedName>
    <definedName name="_xlnm.Print_Area" localSheetId="0">jan!$B$1:$GZ$10556</definedName>
  </definedNames>
  <calcPr calcId="145621" refMode="R1C1" fullPrecision="0"/>
</workbook>
</file>

<file path=xl/calcChain.xml><?xml version="1.0" encoding="utf-8"?>
<calcChain xmlns="http://schemas.openxmlformats.org/spreadsheetml/2006/main">
  <c r="H440" i="261" l="1"/>
  <c r="R132" i="261"/>
  <c r="K132" i="261" s="1"/>
  <c r="P132" i="261" s="1"/>
  <c r="O132" i="261"/>
  <c r="O146" i="261"/>
  <c r="J146" i="261" s="1"/>
  <c r="T146" i="261" s="1"/>
  <c r="N146" i="261"/>
  <c r="O90" i="261"/>
  <c r="O179" i="261"/>
  <c r="R241" i="261"/>
  <c r="K241" i="261" s="1"/>
  <c r="J433" i="261"/>
  <c r="T433" i="261" s="1"/>
  <c r="J432" i="261"/>
  <c r="T432" i="261" s="1"/>
  <c r="J428" i="261"/>
  <c r="T428" i="261" s="1"/>
  <c r="J427" i="261"/>
  <c r="T427" i="261"/>
  <c r="J410" i="261"/>
  <c r="T410" i="261" s="1"/>
  <c r="J406" i="261"/>
  <c r="T406" i="261" s="1"/>
  <c r="J402" i="261"/>
  <c r="T402" i="261" s="1"/>
  <c r="J391" i="261"/>
  <c r="T391" i="261" s="1"/>
  <c r="J387" i="261"/>
  <c r="T387" i="261" s="1"/>
  <c r="J386" i="261"/>
  <c r="T386" i="261" s="1"/>
  <c r="J350" i="261"/>
  <c r="T350" i="261" s="1"/>
  <c r="J343" i="261"/>
  <c r="T343" i="261"/>
  <c r="J329" i="261"/>
  <c r="T329" i="261" s="1"/>
  <c r="J328" i="261"/>
  <c r="T328" i="261" s="1"/>
  <c r="J315" i="261"/>
  <c r="T315" i="261" s="1"/>
  <c r="J313" i="261"/>
  <c r="T313" i="261" s="1"/>
  <c r="J298" i="261"/>
  <c r="T298" i="261" s="1"/>
  <c r="J264" i="261"/>
  <c r="T264" i="261" s="1"/>
  <c r="J259" i="261"/>
  <c r="T259" i="261" s="1"/>
  <c r="O252" i="261"/>
  <c r="J252" i="261"/>
  <c r="T252" i="261" s="1"/>
  <c r="J247" i="261"/>
  <c r="T247" i="261" s="1"/>
  <c r="J241" i="261"/>
  <c r="T241" i="261"/>
  <c r="O239" i="261"/>
  <c r="J239" i="261" s="1"/>
  <c r="T239" i="261" s="1"/>
  <c r="O238" i="261"/>
  <c r="J238" i="261" s="1"/>
  <c r="T238" i="261" s="1"/>
  <c r="J234" i="261"/>
  <c r="T234" i="261" s="1"/>
  <c r="J231" i="261"/>
  <c r="T231" i="261"/>
  <c r="J215" i="261"/>
  <c r="T215" i="261" s="1"/>
  <c r="J211" i="261"/>
  <c r="T211" i="261"/>
  <c r="J204" i="261"/>
  <c r="T204" i="261" s="1"/>
  <c r="O203" i="261"/>
  <c r="J203" i="261"/>
  <c r="T203" i="261" s="1"/>
  <c r="J202" i="261"/>
  <c r="T202" i="261" s="1"/>
  <c r="J201" i="261"/>
  <c r="T201" i="261"/>
  <c r="J198" i="261"/>
  <c r="T198" i="261" s="1"/>
  <c r="J197" i="261"/>
  <c r="T197" i="261" s="1"/>
  <c r="O196" i="261"/>
  <c r="J196" i="261" s="1"/>
  <c r="T196" i="261" s="1"/>
  <c r="J194" i="261"/>
  <c r="T194" i="261" s="1"/>
  <c r="J192" i="261"/>
  <c r="T192" i="261"/>
  <c r="J191" i="261"/>
  <c r="T191" i="261" s="1"/>
  <c r="O190" i="261"/>
  <c r="J190" i="261"/>
  <c r="T190" i="261" s="1"/>
  <c r="J180" i="261"/>
  <c r="T180" i="261" s="1"/>
  <c r="J176" i="261"/>
  <c r="S176" i="261"/>
  <c r="J175" i="261"/>
  <c r="S175" i="261"/>
  <c r="J147" i="261"/>
  <c r="T147" i="261"/>
  <c r="J145" i="261"/>
  <c r="T145" i="261" s="1"/>
  <c r="J144" i="261"/>
  <c r="T144" i="261" s="1"/>
  <c r="O143" i="261"/>
  <c r="J143" i="261" s="1"/>
  <c r="T143" i="261" s="1"/>
  <c r="J142" i="261"/>
  <c r="T142" i="261" s="1"/>
  <c r="J141" i="261"/>
  <c r="S141" i="261"/>
  <c r="J140" i="261"/>
  <c r="T140" i="261" s="1"/>
  <c r="J135" i="261"/>
  <c r="T135" i="261" s="1"/>
  <c r="J134" i="261"/>
  <c r="T134" i="261" s="1"/>
  <c r="J133" i="261"/>
  <c r="T133" i="261" s="1"/>
  <c r="O131" i="261"/>
  <c r="J131" i="261" s="1"/>
  <c r="T131" i="261" s="1"/>
  <c r="O125" i="261"/>
  <c r="J125" i="261" s="1"/>
  <c r="T125" i="261" s="1"/>
  <c r="J123" i="261"/>
  <c r="T123" i="261" s="1"/>
  <c r="J121" i="261"/>
  <c r="T121" i="261"/>
  <c r="J120" i="261"/>
  <c r="T120" i="261" s="1"/>
  <c r="J119" i="261"/>
  <c r="T119" i="261"/>
  <c r="J118" i="261"/>
  <c r="T118" i="261" s="1"/>
  <c r="J109" i="261"/>
  <c r="T109" i="261" s="1"/>
  <c r="J101" i="261"/>
  <c r="T101" i="261" s="1"/>
  <c r="J100" i="261"/>
  <c r="T100" i="261" s="1"/>
  <c r="J99" i="261"/>
  <c r="T99" i="261" s="1"/>
  <c r="J92" i="261"/>
  <c r="S92" i="261"/>
  <c r="T92" i="261"/>
  <c r="O91" i="261"/>
  <c r="J91" i="261" s="1"/>
  <c r="T91" i="261" s="1"/>
  <c r="J85" i="261"/>
  <c r="T85" i="261" s="1"/>
  <c r="J83" i="261"/>
  <c r="T83" i="261" s="1"/>
  <c r="J77" i="261"/>
  <c r="S77" i="261"/>
  <c r="J72" i="261"/>
  <c r="S72" i="261"/>
  <c r="R72" i="261" s="1"/>
  <c r="J68" i="261"/>
  <c r="T68" i="261" s="1"/>
  <c r="J65" i="261"/>
  <c r="T65" i="261"/>
  <c r="J52" i="261"/>
  <c r="S52" i="261"/>
  <c r="J50" i="261"/>
  <c r="S50" i="261"/>
  <c r="J47" i="261"/>
  <c r="T47" i="261" s="1"/>
  <c r="J43" i="261"/>
  <c r="T43" i="261" s="1"/>
  <c r="J41" i="261"/>
  <c r="T41" i="261" s="1"/>
  <c r="J39" i="261"/>
  <c r="T39" i="261" s="1"/>
  <c r="J37" i="261"/>
  <c r="T37" i="261"/>
  <c r="J21" i="261"/>
  <c r="T21" i="261" s="1"/>
  <c r="O20" i="261"/>
  <c r="J20" i="261"/>
  <c r="T20" i="261"/>
  <c r="J8" i="261"/>
  <c r="T8" i="261" s="1"/>
  <c r="S8" i="261"/>
  <c r="N440" i="261"/>
  <c r="J429" i="261"/>
  <c r="T429" i="261" s="1"/>
  <c r="J404" i="261"/>
  <c r="T404" i="261" s="1"/>
  <c r="J400" i="261"/>
  <c r="T400" i="261" s="1"/>
  <c r="J390" i="261"/>
  <c r="T390" i="261" s="1"/>
  <c r="J222" i="261"/>
  <c r="S222" i="261"/>
  <c r="J221" i="261"/>
  <c r="S221" i="261"/>
  <c r="J220" i="261"/>
  <c r="S220" i="261"/>
  <c r="J219" i="261"/>
  <c r="S219" i="261"/>
  <c r="J218" i="261"/>
  <c r="S218" i="261"/>
  <c r="J217" i="261"/>
  <c r="S217" i="261"/>
  <c r="J129" i="261"/>
  <c r="T129" i="261"/>
  <c r="J98" i="261"/>
  <c r="T98" i="261" s="1"/>
  <c r="J67" i="261"/>
  <c r="T67" i="261" s="1"/>
  <c r="J22" i="261"/>
  <c r="T22" i="261" s="1"/>
  <c r="O7" i="261"/>
  <c r="J7" i="261" s="1"/>
  <c r="R429" i="261"/>
  <c r="R404" i="261"/>
  <c r="K404" i="261" s="1"/>
  <c r="P404" i="261" s="1"/>
  <c r="R400" i="261"/>
  <c r="K400" i="261" s="1"/>
  <c r="P400" i="261" s="1"/>
  <c r="R390" i="261"/>
  <c r="R129" i="261"/>
  <c r="R98" i="261"/>
  <c r="R67" i="261"/>
  <c r="R22" i="261"/>
  <c r="Q404" i="261"/>
  <c r="V404" i="261"/>
  <c r="V218" i="261"/>
  <c r="W218" i="261" s="1"/>
  <c r="Q218" i="261"/>
  <c r="V222" i="261"/>
  <c r="W222" i="261"/>
  <c r="Q222" i="261"/>
  <c r="V221" i="261"/>
  <c r="W221" i="261" s="1"/>
  <c r="Q221" i="261"/>
  <c r="V220" i="261"/>
  <c r="W220" i="261" s="1"/>
  <c r="Q220" i="261"/>
  <c r="V219" i="261"/>
  <c r="W219" i="261"/>
  <c r="Q219" i="261"/>
  <c r="V217" i="261"/>
  <c r="W217" i="261"/>
  <c r="Q217" i="261"/>
  <c r="X115" i="261"/>
  <c r="X123" i="261"/>
  <c r="X146" i="261"/>
  <c r="X165" i="261"/>
  <c r="X141" i="261"/>
  <c r="X131" i="261"/>
  <c r="X132" i="261"/>
  <c r="X83" i="261"/>
  <c r="X21" i="261"/>
  <c r="W21" i="261" s="1"/>
  <c r="X10" i="261"/>
  <c r="X7" i="261"/>
  <c r="X110" i="261"/>
  <c r="X120" i="261"/>
  <c r="X119" i="261"/>
  <c r="X79" i="261"/>
  <c r="X75" i="261"/>
  <c r="X40" i="261"/>
  <c r="X304" i="261"/>
  <c r="U7" i="261"/>
  <c r="U8" i="261"/>
  <c r="U9" i="261"/>
  <c r="U11" i="261"/>
  <c r="U12" i="261"/>
  <c r="U14" i="261"/>
  <c r="U15" i="261"/>
  <c r="U16" i="261"/>
  <c r="U18" i="261"/>
  <c r="U21" i="261"/>
  <c r="U36" i="261"/>
  <c r="U37" i="261"/>
  <c r="U43" i="261"/>
  <c r="U47" i="261"/>
  <c r="U57" i="261"/>
  <c r="U66" i="261"/>
  <c r="U70" i="261"/>
  <c r="U71" i="261"/>
  <c r="U76" i="261"/>
  <c r="U77" i="261"/>
  <c r="U79" i="261"/>
  <c r="U83" i="261"/>
  <c r="U85" i="261"/>
  <c r="U88" i="261"/>
  <c r="U90" i="261"/>
  <c r="U91" i="261"/>
  <c r="U92" i="261"/>
  <c r="U93" i="261"/>
  <c r="U99" i="261"/>
  <c r="U100" i="261"/>
  <c r="U101" i="261"/>
  <c r="U115" i="261"/>
  <c r="U119" i="261"/>
  <c r="U120" i="261"/>
  <c r="U121" i="261"/>
  <c r="U123" i="261"/>
  <c r="U131" i="261"/>
  <c r="U132" i="261"/>
  <c r="U137" i="261"/>
  <c r="U142" i="261"/>
  <c r="U144" i="261"/>
  <c r="U145" i="261"/>
  <c r="U146" i="261"/>
  <c r="U175" i="261"/>
  <c r="U181" i="261"/>
  <c r="U192" i="261"/>
  <c r="U193" i="261"/>
  <c r="U195" i="261"/>
  <c r="U196" i="261"/>
  <c r="U197" i="261"/>
  <c r="U198" i="261"/>
  <c r="U201" i="261"/>
  <c r="U202" i="261"/>
  <c r="U203" i="261"/>
  <c r="U204" i="261"/>
  <c r="U206" i="261"/>
  <c r="U207" i="261"/>
  <c r="U212" i="261"/>
  <c r="U213" i="261"/>
  <c r="U216" i="261"/>
  <c r="U225" i="261"/>
  <c r="U226" i="261"/>
  <c r="U228" i="261"/>
  <c r="U232" i="261"/>
  <c r="U234" i="261"/>
  <c r="U235" i="261"/>
  <c r="U238" i="261"/>
  <c r="U239" i="261"/>
  <c r="U240" i="261"/>
  <c r="U241" i="261"/>
  <c r="U249" i="261"/>
  <c r="U255" i="261"/>
  <c r="U257" i="261"/>
  <c r="U264" i="261"/>
  <c r="U267" i="261"/>
  <c r="U268" i="261"/>
  <c r="U269" i="261"/>
  <c r="U274" i="261"/>
  <c r="U294" i="261"/>
  <c r="U298" i="261"/>
  <c r="U304" i="261"/>
  <c r="U306" i="261"/>
  <c r="U315" i="261"/>
  <c r="U316" i="261"/>
  <c r="U328" i="261"/>
  <c r="U329" i="261"/>
  <c r="U336" i="261"/>
  <c r="U337" i="261"/>
  <c r="U339" i="261"/>
  <c r="U342" i="261"/>
  <c r="U349" i="261"/>
  <c r="U359" i="261"/>
  <c r="U383" i="261"/>
  <c r="U400" i="261"/>
  <c r="U402" i="261"/>
  <c r="U403" i="261"/>
  <c r="U406" i="261"/>
  <c r="U407" i="261"/>
  <c r="U413" i="261"/>
  <c r="U415" i="261"/>
  <c r="U420" i="261"/>
  <c r="U421" i="261"/>
  <c r="U427" i="261"/>
  <c r="V1" i="261"/>
  <c r="V4" i="261"/>
  <c r="V5" i="261"/>
  <c r="W5" i="261"/>
  <c r="J6" i="261"/>
  <c r="R6" i="261"/>
  <c r="K6" i="261"/>
  <c r="P6" i="261"/>
  <c r="Q6" i="261"/>
  <c r="S6" i="261"/>
  <c r="V6" i="261"/>
  <c r="W6" i="261"/>
  <c r="R7" i="261"/>
  <c r="K7" i="261"/>
  <c r="Q7" i="261"/>
  <c r="V7" i="261"/>
  <c r="R8" i="261"/>
  <c r="K8" i="261" s="1"/>
  <c r="P8" i="261" s="1"/>
  <c r="Q8" i="261"/>
  <c r="V8" i="261"/>
  <c r="X8" i="261"/>
  <c r="J9" i="261"/>
  <c r="T9" i="261"/>
  <c r="R9" i="261"/>
  <c r="K9" i="261" s="1"/>
  <c r="Q9" i="261"/>
  <c r="V9" i="261"/>
  <c r="X9" i="261"/>
  <c r="J10" i="261"/>
  <c r="T10" i="261" s="1"/>
  <c r="R10" i="261"/>
  <c r="K10" i="261"/>
  <c r="Q10" i="261"/>
  <c r="V10" i="261"/>
  <c r="W10" i="261" s="1"/>
  <c r="J11" i="261"/>
  <c r="L11" i="261"/>
  <c r="P11" i="261"/>
  <c r="Q11" i="261"/>
  <c r="S11" i="261"/>
  <c r="R11" i="261"/>
  <c r="T11" i="261"/>
  <c r="V11" i="261"/>
  <c r="X11" i="261"/>
  <c r="W11" i="261"/>
  <c r="J12" i="261"/>
  <c r="S12" i="261"/>
  <c r="R12" i="261"/>
  <c r="K12" i="261" s="1"/>
  <c r="Q12" i="261"/>
  <c r="V12" i="261"/>
  <c r="X12" i="261"/>
  <c r="J13" i="261"/>
  <c r="T13" i="261" s="1"/>
  <c r="R13" i="261"/>
  <c r="K13" i="261" s="1"/>
  <c r="P13" i="261" s="1"/>
  <c r="Q13" i="261"/>
  <c r="V13" i="261"/>
  <c r="W13" i="261"/>
  <c r="J14" i="261"/>
  <c r="S14" i="261"/>
  <c r="T14" i="261" s="1"/>
  <c r="R14" i="261"/>
  <c r="K14" i="261"/>
  <c r="L14" i="261" s="1"/>
  <c r="Q14" i="261"/>
  <c r="V14" i="261"/>
  <c r="X14" i="261"/>
  <c r="W14" i="261" s="1"/>
  <c r="J15" i="261"/>
  <c r="S15" i="261"/>
  <c r="R15" i="261" s="1"/>
  <c r="K15" i="261" s="1"/>
  <c r="Q15" i="261"/>
  <c r="T15" i="261"/>
  <c r="V15" i="261"/>
  <c r="X15" i="261"/>
  <c r="J16" i="261"/>
  <c r="T16" i="261"/>
  <c r="S16" i="261"/>
  <c r="R16" i="261"/>
  <c r="K16" i="261"/>
  <c r="L16" i="261" s="1"/>
  <c r="P16" i="261"/>
  <c r="Q16" i="261"/>
  <c r="V16" i="261"/>
  <c r="X16" i="261"/>
  <c r="W16" i="261" s="1"/>
  <c r="J17" i="261"/>
  <c r="Q17" i="261"/>
  <c r="S17" i="261"/>
  <c r="V17" i="261"/>
  <c r="W17" i="261"/>
  <c r="J18" i="261"/>
  <c r="T18" i="261"/>
  <c r="R18" i="261"/>
  <c r="K18" i="261"/>
  <c r="J316" i="261"/>
  <c r="Q18" i="261"/>
  <c r="V18" i="261"/>
  <c r="X18" i="261"/>
  <c r="J19" i="261"/>
  <c r="S19" i="261"/>
  <c r="Q19" i="261"/>
  <c r="V19" i="261"/>
  <c r="W19" i="261" s="1"/>
  <c r="J318" i="261"/>
  <c r="L20" i="261"/>
  <c r="P20" i="261"/>
  <c r="Q20" i="261"/>
  <c r="R20" i="261"/>
  <c r="V20" i="261"/>
  <c r="W20" i="261"/>
  <c r="R21" i="261"/>
  <c r="K21" i="261" s="1"/>
  <c r="P21" i="261" s="1"/>
  <c r="J319" i="261"/>
  <c r="L21" i="261" s="1"/>
  <c r="Q21" i="261"/>
  <c r="V21" i="261"/>
  <c r="K22" i="261"/>
  <c r="J320" i="261"/>
  <c r="Q22" i="261"/>
  <c r="V22" i="261"/>
  <c r="W22" i="261"/>
  <c r="J23" i="261"/>
  <c r="T23" i="261"/>
  <c r="J321" i="261"/>
  <c r="L23" i="261"/>
  <c r="P23" i="261"/>
  <c r="Q23" i="261"/>
  <c r="S23" i="261"/>
  <c r="R23" i="261"/>
  <c r="V23" i="261"/>
  <c r="W23" i="261"/>
  <c r="J24" i="261"/>
  <c r="S24" i="261"/>
  <c r="R24" i="261"/>
  <c r="K24" i="261"/>
  <c r="P24" i="261" s="1"/>
  <c r="J322" i="261"/>
  <c r="Q24" i="261"/>
  <c r="T24" i="261"/>
  <c r="V24" i="261"/>
  <c r="W24" i="261" s="1"/>
  <c r="J25" i="261"/>
  <c r="T25" i="261" s="1"/>
  <c r="R25" i="261"/>
  <c r="K25" i="261" s="1"/>
  <c r="P25" i="261" s="1"/>
  <c r="Q25" i="261"/>
  <c r="V25" i="261"/>
  <c r="W25" i="261"/>
  <c r="J26" i="261"/>
  <c r="T26" i="261" s="1"/>
  <c r="R26" i="261"/>
  <c r="K26" i="261" s="1"/>
  <c r="J324" i="261"/>
  <c r="Q26" i="261"/>
  <c r="V26" i="261"/>
  <c r="W26" i="261" s="1"/>
  <c r="J27" i="261"/>
  <c r="R27" i="261"/>
  <c r="K27" i="261"/>
  <c r="J325" i="261"/>
  <c r="Q27" i="261"/>
  <c r="T27" i="261"/>
  <c r="V27" i="261"/>
  <c r="W27" i="261"/>
  <c r="J28" i="261"/>
  <c r="T28" i="261" s="1"/>
  <c r="R28" i="261"/>
  <c r="K28" i="261" s="1"/>
  <c r="P28" i="261" s="1"/>
  <c r="Q28" i="261"/>
  <c r="V28" i="261"/>
  <c r="W28" i="261" s="1"/>
  <c r="J29" i="261"/>
  <c r="S29" i="261"/>
  <c r="Q29" i="261"/>
  <c r="V29" i="261"/>
  <c r="W29" i="261"/>
  <c r="J30" i="261"/>
  <c r="S30" i="261"/>
  <c r="R30" i="261" s="1"/>
  <c r="K30" i="261" s="1"/>
  <c r="P30" i="261" s="1"/>
  <c r="Q30" i="261"/>
  <c r="V30" i="261"/>
  <c r="W30" i="261" s="1"/>
  <c r="J31" i="261"/>
  <c r="P31" i="261"/>
  <c r="Q31" i="261"/>
  <c r="R31" i="261"/>
  <c r="T31" i="261"/>
  <c r="V31" i="261"/>
  <c r="W31" i="261"/>
  <c r="J32" i="261"/>
  <c r="S32" i="261"/>
  <c r="R32" i="261"/>
  <c r="K32" i="261"/>
  <c r="P32" i="261" s="1"/>
  <c r="Q32" i="261"/>
  <c r="V32" i="261"/>
  <c r="W32" i="261"/>
  <c r="J33" i="261"/>
  <c r="S33" i="261"/>
  <c r="Q33" i="261"/>
  <c r="V33" i="261"/>
  <c r="W33" i="261" s="1"/>
  <c r="J34" i="261"/>
  <c r="T34" i="261" s="1"/>
  <c r="R34" i="261"/>
  <c r="K34" i="261" s="1"/>
  <c r="J332" i="261"/>
  <c r="T332" i="261" s="1"/>
  <c r="Q34" i="261"/>
  <c r="V34" i="261"/>
  <c r="W34" i="261"/>
  <c r="J35" i="261"/>
  <c r="S35" i="261"/>
  <c r="R35" i="261" s="1"/>
  <c r="K35" i="261" s="1"/>
  <c r="P35" i="261" s="1"/>
  <c r="J333" i="261"/>
  <c r="Q35" i="261"/>
  <c r="V35" i="261"/>
  <c r="W35" i="261" s="1"/>
  <c r="J36" i="261"/>
  <c r="R36" i="261"/>
  <c r="K36" i="261" s="1"/>
  <c r="P36" i="261" s="1"/>
  <c r="Q36" i="261"/>
  <c r="T36" i="261"/>
  <c r="V36" i="261"/>
  <c r="W36" i="261" s="1"/>
  <c r="X36" i="261"/>
  <c r="R37" i="261"/>
  <c r="K37" i="261" s="1"/>
  <c r="P37" i="261" s="1"/>
  <c r="Q37" i="261"/>
  <c r="V37" i="261"/>
  <c r="X37" i="261"/>
  <c r="J38" i="261"/>
  <c r="T38" i="261" s="1"/>
  <c r="R38" i="261"/>
  <c r="K38" i="261"/>
  <c r="J336" i="261"/>
  <c r="Q38" i="261"/>
  <c r="V38" i="261"/>
  <c r="W38" i="261"/>
  <c r="R39" i="261"/>
  <c r="K39" i="261" s="1"/>
  <c r="P39" i="261" s="1"/>
  <c r="J337" i="261"/>
  <c r="L39" i="261" s="1"/>
  <c r="Q39" i="261"/>
  <c r="V39" i="261"/>
  <c r="W39" i="261"/>
  <c r="J40" i="261"/>
  <c r="T40" i="261" s="1"/>
  <c r="R40" i="261"/>
  <c r="K40" i="261" s="1"/>
  <c r="P40" i="261" s="1"/>
  <c r="J338" i="261"/>
  <c r="T338" i="261" s="1"/>
  <c r="Q40" i="261"/>
  <c r="V40" i="261"/>
  <c r="W40" i="261" s="1"/>
  <c r="J339" i="261"/>
  <c r="L41" i="261" s="1"/>
  <c r="P41" i="261"/>
  <c r="Q41" i="261"/>
  <c r="R41" i="261"/>
  <c r="V41" i="261"/>
  <c r="W41" i="261" s="1"/>
  <c r="J42" i="261"/>
  <c r="T42" i="261" s="1"/>
  <c r="J340" i="261"/>
  <c r="L42" i="261"/>
  <c r="P42" i="261"/>
  <c r="Q42" i="261"/>
  <c r="R42" i="261"/>
  <c r="V42" i="261"/>
  <c r="W42" i="261" s="1"/>
  <c r="R43" i="261"/>
  <c r="K43" i="261" s="1"/>
  <c r="L43" i="261" s="1"/>
  <c r="J341" i="261"/>
  <c r="Q43" i="261"/>
  <c r="V43" i="261"/>
  <c r="X43" i="261"/>
  <c r="J44" i="261"/>
  <c r="T44" i="261" s="1"/>
  <c r="K44" i="261"/>
  <c r="L44" i="261" s="1"/>
  <c r="J342" i="261"/>
  <c r="Q44" i="261"/>
  <c r="R44" i="261"/>
  <c r="V44" i="261"/>
  <c r="W44" i="261" s="1"/>
  <c r="J45" i="261"/>
  <c r="S45" i="261"/>
  <c r="Q45" i="261"/>
  <c r="V45" i="261"/>
  <c r="W45" i="261" s="1"/>
  <c r="J46" i="261"/>
  <c r="T46" i="261" s="1"/>
  <c r="R46" i="261"/>
  <c r="K46" i="261" s="1"/>
  <c r="P46" i="261" s="1"/>
  <c r="Q46" i="261"/>
  <c r="V46" i="261"/>
  <c r="K47" i="261"/>
  <c r="J345" i="261"/>
  <c r="L47" i="261" s="1"/>
  <c r="P47" i="261"/>
  <c r="Q47" i="261"/>
  <c r="R47" i="261"/>
  <c r="V47" i="261"/>
  <c r="X47" i="261"/>
  <c r="W47" i="261" s="1"/>
  <c r="J48" i="261"/>
  <c r="T48" i="261"/>
  <c r="R48" i="261"/>
  <c r="K48" i="261" s="1"/>
  <c r="P48" i="261" s="1"/>
  <c r="Q48" i="261"/>
  <c r="V48" i="261"/>
  <c r="W48" i="261" s="1"/>
  <c r="J49" i="261"/>
  <c r="T49" i="261" s="1"/>
  <c r="R49" i="261"/>
  <c r="K49" i="261" s="1"/>
  <c r="P49" i="261" s="1"/>
  <c r="Q49" i="261"/>
  <c r="V49" i="261"/>
  <c r="W49" i="261" s="1"/>
  <c r="P50" i="261"/>
  <c r="Q50" i="261"/>
  <c r="R50" i="261"/>
  <c r="V50" i="261"/>
  <c r="W50" i="261" s="1"/>
  <c r="J51" i="261"/>
  <c r="S51" i="261"/>
  <c r="Q51" i="261"/>
  <c r="V51" i="261"/>
  <c r="W51" i="261"/>
  <c r="P52" i="261"/>
  <c r="Q52" i="261"/>
  <c r="R52" i="261"/>
  <c r="V52" i="261"/>
  <c r="W52" i="261" s="1"/>
  <c r="J53" i="261"/>
  <c r="S53" i="261"/>
  <c r="T53" i="261" s="1"/>
  <c r="V53" i="261"/>
  <c r="W53" i="261" s="1"/>
  <c r="J54" i="261"/>
  <c r="S54" i="261"/>
  <c r="J352" i="261"/>
  <c r="Q54" i="261"/>
  <c r="V54" i="261"/>
  <c r="W54" i="261" s="1"/>
  <c r="J55" i="261"/>
  <c r="J353" i="261"/>
  <c r="L55" i="261" s="1"/>
  <c r="P55" i="261"/>
  <c r="Q55" i="261"/>
  <c r="S55" i="261"/>
  <c r="T55" i="261" s="1"/>
  <c r="V55" i="261"/>
  <c r="W55" i="261" s="1"/>
  <c r="J56" i="261"/>
  <c r="T56" i="261" s="1"/>
  <c r="R56" i="261"/>
  <c r="K56" i="261" s="1"/>
  <c r="P56" i="261" s="1"/>
  <c r="Q56" i="261"/>
  <c r="V56" i="261"/>
  <c r="J57" i="261"/>
  <c r="T57" i="261" s="1"/>
  <c r="R57" i="261"/>
  <c r="K57" i="261" s="1"/>
  <c r="P57" i="261" s="1"/>
  <c r="J354" i="261"/>
  <c r="Q57" i="261"/>
  <c r="V57" i="261"/>
  <c r="X57" i="261"/>
  <c r="J58" i="261"/>
  <c r="R58" i="261"/>
  <c r="K58" i="261"/>
  <c r="P58" i="261" s="1"/>
  <c r="Q58" i="261"/>
  <c r="T58" i="261"/>
  <c r="V58" i="261"/>
  <c r="W58" i="261" s="1"/>
  <c r="J59" i="261"/>
  <c r="T59" i="261" s="1"/>
  <c r="R59" i="261"/>
  <c r="K59" i="261" s="1"/>
  <c r="P59" i="261" s="1"/>
  <c r="Q59" i="261"/>
  <c r="V59" i="261"/>
  <c r="W59" i="261" s="1"/>
  <c r="J60" i="261"/>
  <c r="R60" i="261"/>
  <c r="K60" i="261" s="1"/>
  <c r="P60" i="261" s="1"/>
  <c r="Q60" i="261"/>
  <c r="T60" i="261"/>
  <c r="V60" i="261"/>
  <c r="W60" i="261" s="1"/>
  <c r="J61" i="261"/>
  <c r="T61" i="261" s="1"/>
  <c r="R61" i="261"/>
  <c r="K61" i="261" s="1"/>
  <c r="J358" i="261"/>
  <c r="Q61" i="261"/>
  <c r="V61" i="261"/>
  <c r="W61" i="261"/>
  <c r="J62" i="261"/>
  <c r="T62" i="261" s="1"/>
  <c r="R62" i="261"/>
  <c r="K62" i="261" s="1"/>
  <c r="P62" i="261" s="1"/>
  <c r="Q62" i="261"/>
  <c r="V62" i="261"/>
  <c r="W62" i="261" s="1"/>
  <c r="J63" i="261"/>
  <c r="R63" i="261"/>
  <c r="K63" i="261" s="1"/>
  <c r="P63" i="261" s="1"/>
  <c r="J360" i="261"/>
  <c r="Q63" i="261"/>
  <c r="T63" i="261"/>
  <c r="V63" i="261"/>
  <c r="W63" i="261"/>
  <c r="J64" i="261"/>
  <c r="K64" i="261"/>
  <c r="Q64" i="261"/>
  <c r="R64" i="261"/>
  <c r="T64" i="261"/>
  <c r="V64" i="261"/>
  <c r="W64" i="261" s="1"/>
  <c r="R65" i="261"/>
  <c r="K65" i="261" s="1"/>
  <c r="P65" i="261" s="1"/>
  <c r="J362" i="261"/>
  <c r="T362" i="261" s="1"/>
  <c r="Q65" i="261"/>
  <c r="V65" i="261"/>
  <c r="W65" i="261" s="1"/>
  <c r="J66" i="261"/>
  <c r="T66" i="261" s="1"/>
  <c r="R66" i="261"/>
  <c r="K66" i="261"/>
  <c r="P66" i="261" s="1"/>
  <c r="Q66" i="261"/>
  <c r="V66" i="261"/>
  <c r="X66" i="261"/>
  <c r="K67" i="261"/>
  <c r="J364" i="261"/>
  <c r="Q67" i="261"/>
  <c r="V67" i="261"/>
  <c r="W67" i="261" s="1"/>
  <c r="R68" i="261"/>
  <c r="K68" i="261" s="1"/>
  <c r="P68" i="261" s="1"/>
  <c r="Q68" i="261"/>
  <c r="V68" i="261"/>
  <c r="W68" i="261"/>
  <c r="J69" i="261"/>
  <c r="R69" i="261"/>
  <c r="K69" i="261" s="1"/>
  <c r="P69" i="261" s="1"/>
  <c r="J366" i="261"/>
  <c r="Q69" i="261"/>
  <c r="T69" i="261"/>
  <c r="V69" i="261"/>
  <c r="W69" i="261" s="1"/>
  <c r="J70" i="261"/>
  <c r="S70" i="261"/>
  <c r="R70" i="261" s="1"/>
  <c r="K70" i="261" s="1"/>
  <c r="P70" i="261" s="1"/>
  <c r="J367" i="261"/>
  <c r="Q70" i="261"/>
  <c r="V70" i="261"/>
  <c r="X70" i="261"/>
  <c r="W70" i="261" s="1"/>
  <c r="J71" i="261"/>
  <c r="S71" i="261"/>
  <c r="T71" i="261" s="1"/>
  <c r="J368" i="261"/>
  <c r="Q71" i="261"/>
  <c r="V71" i="261"/>
  <c r="W71" i="261" s="1"/>
  <c r="X71" i="261"/>
  <c r="J369" i="261"/>
  <c r="L72" i="261" s="1"/>
  <c r="P72" i="261"/>
  <c r="Q72" i="261"/>
  <c r="V72" i="261"/>
  <c r="W72" i="261" s="1"/>
  <c r="J73" i="261"/>
  <c r="T73" i="261" s="1"/>
  <c r="R73" i="261"/>
  <c r="K73" i="261"/>
  <c r="P73" i="261" s="1"/>
  <c r="Q73" i="261"/>
  <c r="V73" i="261"/>
  <c r="W73" i="261"/>
  <c r="J74" i="261"/>
  <c r="T74" i="261" s="1"/>
  <c r="J371" i="261"/>
  <c r="L74" i="261" s="1"/>
  <c r="P74" i="261"/>
  <c r="Q74" i="261"/>
  <c r="R74" i="261"/>
  <c r="V74" i="261"/>
  <c r="W74" i="261" s="1"/>
  <c r="J75" i="261"/>
  <c r="T75" i="261" s="1"/>
  <c r="R75" i="261"/>
  <c r="K75" i="261" s="1"/>
  <c r="J372" i="261"/>
  <c r="Q75" i="261"/>
  <c r="V75" i="261"/>
  <c r="J76" i="261"/>
  <c r="T76" i="261" s="1"/>
  <c r="K76" i="261"/>
  <c r="Q76" i="261"/>
  <c r="V76" i="261"/>
  <c r="X76" i="261"/>
  <c r="W76" i="261" s="1"/>
  <c r="R77" i="261"/>
  <c r="K77" i="261" s="1"/>
  <c r="J374" i="261"/>
  <c r="Q77" i="261"/>
  <c r="V77" i="261"/>
  <c r="X77" i="261"/>
  <c r="W77" i="261" s="1"/>
  <c r="J78" i="261"/>
  <c r="T78" i="261" s="1"/>
  <c r="R78" i="261"/>
  <c r="K78" i="261" s="1"/>
  <c r="P78" i="261" s="1"/>
  <c r="J375" i="261"/>
  <c r="Q78" i="261"/>
  <c r="V78" i="261"/>
  <c r="W78" i="261" s="1"/>
  <c r="J79" i="261"/>
  <c r="S79" i="261"/>
  <c r="R79" i="261" s="1"/>
  <c r="K79" i="261" s="1"/>
  <c r="J376" i="261"/>
  <c r="Q79" i="261"/>
  <c r="V79" i="261"/>
  <c r="J80" i="261"/>
  <c r="T80" i="261" s="1"/>
  <c r="R80" i="261"/>
  <c r="K80" i="261"/>
  <c r="P80" i="261" s="1"/>
  <c r="Q80" i="261"/>
  <c r="V80" i="261"/>
  <c r="W80" i="261" s="1"/>
  <c r="J81" i="261"/>
  <c r="T81" i="261" s="1"/>
  <c r="R81" i="261"/>
  <c r="K81" i="261" s="1"/>
  <c r="P81" i="261" s="1"/>
  <c r="Q81" i="261"/>
  <c r="V81" i="261"/>
  <c r="W81" i="261" s="1"/>
  <c r="J82" i="261"/>
  <c r="T82" i="261" s="1"/>
  <c r="R82" i="261"/>
  <c r="K82" i="261"/>
  <c r="P82" i="261" s="1"/>
  <c r="Q82" i="261"/>
  <c r="V82" i="261"/>
  <c r="W82" i="261" s="1"/>
  <c r="R83" i="261"/>
  <c r="K83" i="261" s="1"/>
  <c r="P83" i="261" s="1"/>
  <c r="J383" i="261"/>
  <c r="Q83" i="261"/>
  <c r="V83" i="261"/>
  <c r="J84" i="261"/>
  <c r="T84" i="261" s="1"/>
  <c r="R84" i="261"/>
  <c r="K84" i="261" s="1"/>
  <c r="J384" i="261"/>
  <c r="Q84" i="261"/>
  <c r="V84" i="261"/>
  <c r="W84" i="261" s="1"/>
  <c r="R85" i="261"/>
  <c r="K85" i="261" s="1"/>
  <c r="J385" i="261"/>
  <c r="Q85" i="261"/>
  <c r="V85" i="261"/>
  <c r="X85" i="261"/>
  <c r="J86" i="261"/>
  <c r="T86" i="261" s="1"/>
  <c r="R86" i="261"/>
  <c r="K86" i="261" s="1"/>
  <c r="Q86" i="261"/>
  <c r="V86" i="261"/>
  <c r="W86" i="261"/>
  <c r="J87" i="261"/>
  <c r="T87" i="261" s="1"/>
  <c r="R87" i="261"/>
  <c r="K87" i="261" s="1"/>
  <c r="P87" i="261" s="1"/>
  <c r="Q87" i="261"/>
  <c r="V87" i="261"/>
  <c r="W87" i="261" s="1"/>
  <c r="J88" i="261"/>
  <c r="J388" i="261"/>
  <c r="L88" i="261" s="1"/>
  <c r="P88" i="261"/>
  <c r="Q88" i="261"/>
  <c r="S88" i="261"/>
  <c r="R88" i="261" s="1"/>
  <c r="V88" i="261"/>
  <c r="X88" i="261"/>
  <c r="J89" i="261"/>
  <c r="T89" i="261" s="1"/>
  <c r="J389" i="261"/>
  <c r="P89" i="261"/>
  <c r="Q89" i="261"/>
  <c r="R89" i="261"/>
  <c r="V89" i="261"/>
  <c r="W89" i="261"/>
  <c r="R90" i="261"/>
  <c r="K90" i="261" s="1"/>
  <c r="L90" i="261" s="1"/>
  <c r="Q90" i="261"/>
  <c r="V90" i="261"/>
  <c r="X90" i="261"/>
  <c r="L91" i="261"/>
  <c r="P91" i="261"/>
  <c r="Q91" i="261"/>
  <c r="R91" i="261"/>
  <c r="V91" i="261"/>
  <c r="X91" i="261"/>
  <c r="R92" i="261"/>
  <c r="K92" i="261" s="1"/>
  <c r="J392" i="261"/>
  <c r="Q92" i="261"/>
  <c r="V92" i="261"/>
  <c r="X92" i="261"/>
  <c r="J93" i="261"/>
  <c r="S93" i="261"/>
  <c r="R93" i="261" s="1"/>
  <c r="K93" i="261" s="1"/>
  <c r="P93" i="261" s="1"/>
  <c r="Q93" i="261"/>
  <c r="V93" i="261"/>
  <c r="X93" i="261"/>
  <c r="W93" i="261" s="1"/>
  <c r="J94" i="261"/>
  <c r="R94" i="261"/>
  <c r="K94" i="261" s="1"/>
  <c r="P94" i="261" s="1"/>
  <c r="Q94" i="261"/>
  <c r="T94" i="261"/>
  <c r="V94" i="261"/>
  <c r="W94" i="261" s="1"/>
  <c r="J95" i="261"/>
  <c r="T95" i="261" s="1"/>
  <c r="R95" i="261"/>
  <c r="K95" i="261" s="1"/>
  <c r="P95" i="261" s="1"/>
  <c r="Q95" i="261"/>
  <c r="V95" i="261"/>
  <c r="W95" i="261" s="1"/>
  <c r="J96" i="261"/>
  <c r="S96" i="261"/>
  <c r="R96" i="261" s="1"/>
  <c r="K96" i="261" s="1"/>
  <c r="P96" i="261" s="1"/>
  <c r="Q96" i="261"/>
  <c r="V96" i="261"/>
  <c r="W96" i="261" s="1"/>
  <c r="J97" i="261"/>
  <c r="T97" i="261" s="1"/>
  <c r="R97" i="261"/>
  <c r="K97" i="261" s="1"/>
  <c r="P97" i="261" s="1"/>
  <c r="Q97" i="261"/>
  <c r="V97" i="261"/>
  <c r="W97" i="261" s="1"/>
  <c r="K98" i="261"/>
  <c r="P98" i="261" s="1"/>
  <c r="Q98" i="261"/>
  <c r="V98" i="261"/>
  <c r="W98" i="261"/>
  <c r="R99" i="261"/>
  <c r="K99" i="261" s="1"/>
  <c r="J399" i="261"/>
  <c r="Q99" i="261"/>
  <c r="V99" i="261"/>
  <c r="X99" i="261"/>
  <c r="R100" i="261"/>
  <c r="K100" i="261" s="1"/>
  <c r="Q100" i="261"/>
  <c r="V100" i="261"/>
  <c r="X100" i="261"/>
  <c r="R101" i="261"/>
  <c r="K101" i="261" s="1"/>
  <c r="L101" i="261" s="1"/>
  <c r="J401" i="261"/>
  <c r="Q101" i="261"/>
  <c r="V101" i="261"/>
  <c r="X101" i="261"/>
  <c r="J102" i="261"/>
  <c r="T102" i="261" s="1"/>
  <c r="R102" i="261"/>
  <c r="K102" i="261" s="1"/>
  <c r="Q102" i="261"/>
  <c r="V102" i="261"/>
  <c r="W102" i="261" s="1"/>
  <c r="J103" i="261"/>
  <c r="T103" i="261" s="1"/>
  <c r="R103" i="261"/>
  <c r="K103" i="261" s="1"/>
  <c r="P103" i="261" s="1"/>
  <c r="J403" i="261"/>
  <c r="T403" i="261"/>
  <c r="Q103" i="261"/>
  <c r="V103" i="261"/>
  <c r="W103" i="261"/>
  <c r="J104" i="261"/>
  <c r="T104" i="261" s="1"/>
  <c r="R104" i="261"/>
  <c r="K104" i="261" s="1"/>
  <c r="J405" i="261"/>
  <c r="Q104" i="261"/>
  <c r="V104" i="261"/>
  <c r="W104" i="261" s="1"/>
  <c r="J105" i="261"/>
  <c r="T105" i="261" s="1"/>
  <c r="R105" i="261"/>
  <c r="K105" i="261" s="1"/>
  <c r="Q105" i="261"/>
  <c r="V105" i="261"/>
  <c r="W105" i="261" s="1"/>
  <c r="J106" i="261"/>
  <c r="R106" i="261"/>
  <c r="K106" i="261" s="1"/>
  <c r="J407" i="261"/>
  <c r="Q106" i="261"/>
  <c r="T106" i="261"/>
  <c r="V106" i="261"/>
  <c r="W106" i="261" s="1"/>
  <c r="J107" i="261"/>
  <c r="P107" i="261"/>
  <c r="Q107" i="261"/>
  <c r="R107" i="261"/>
  <c r="T107" i="261"/>
  <c r="V107" i="261"/>
  <c r="W107" i="261" s="1"/>
  <c r="J108" i="261"/>
  <c r="T108" i="261"/>
  <c r="R108" i="261"/>
  <c r="K108" i="261" s="1"/>
  <c r="P108" i="261" s="1"/>
  <c r="Q108" i="261"/>
  <c r="V108" i="261"/>
  <c r="W108" i="261" s="1"/>
  <c r="R109" i="261"/>
  <c r="K109" i="261" s="1"/>
  <c r="P109" i="261" s="1"/>
  <c r="Q109" i="261"/>
  <c r="V109" i="261"/>
  <c r="W109" i="261" s="1"/>
  <c r="J110" i="261"/>
  <c r="T110" i="261" s="1"/>
  <c r="R110" i="261"/>
  <c r="K110" i="261"/>
  <c r="L110" i="261" s="1"/>
  <c r="J411" i="261"/>
  <c r="Q110" i="261"/>
  <c r="V110" i="261"/>
  <c r="J111" i="261"/>
  <c r="Q111" i="261"/>
  <c r="T111" i="261"/>
  <c r="V111" i="261"/>
  <c r="J112" i="261"/>
  <c r="T112" i="261"/>
  <c r="R112" i="261"/>
  <c r="K112" i="261" s="1"/>
  <c r="P112" i="261" s="1"/>
  <c r="J413" i="261"/>
  <c r="Q112" i="261"/>
  <c r="V112" i="261"/>
  <c r="W112" i="261"/>
  <c r="J113" i="261"/>
  <c r="T113" i="261" s="1"/>
  <c r="R113" i="261"/>
  <c r="K113" i="261" s="1"/>
  <c r="L113" i="261" s="1"/>
  <c r="J414" i="261"/>
  <c r="Q113" i="261"/>
  <c r="V113" i="261"/>
  <c r="W113" i="261" s="1"/>
  <c r="J114" i="261"/>
  <c r="S114" i="261"/>
  <c r="R114" i="261" s="1"/>
  <c r="K114" i="261" s="1"/>
  <c r="P114" i="261" s="1"/>
  <c r="Q114" i="261"/>
  <c r="V114" i="261"/>
  <c r="W114" i="261" s="1"/>
  <c r="J115" i="261"/>
  <c r="S115" i="261"/>
  <c r="R115" i="261" s="1"/>
  <c r="K115" i="261" s="1"/>
  <c r="P115" i="261" s="1"/>
  <c r="Q115" i="261"/>
  <c r="V115" i="261"/>
  <c r="W115" i="261" s="1"/>
  <c r="J116" i="261"/>
  <c r="P116" i="261"/>
  <c r="Q116" i="261"/>
  <c r="R116" i="261"/>
  <c r="T116" i="261"/>
  <c r="V116" i="261"/>
  <c r="W116" i="261" s="1"/>
  <c r="J117" i="261"/>
  <c r="T117" i="261" s="1"/>
  <c r="R117" i="261"/>
  <c r="K117" i="261"/>
  <c r="P117" i="261" s="1"/>
  <c r="Q117" i="261"/>
  <c r="V117" i="261"/>
  <c r="W117" i="261" s="1"/>
  <c r="P118" i="261"/>
  <c r="Q118" i="261"/>
  <c r="R118" i="261"/>
  <c r="V118" i="261"/>
  <c r="W118" i="261" s="1"/>
  <c r="R119" i="261"/>
  <c r="K119" i="261"/>
  <c r="J420" i="261"/>
  <c r="T420" i="261" s="1"/>
  <c r="Q119" i="261"/>
  <c r="V119" i="261"/>
  <c r="R120" i="261"/>
  <c r="K120" i="261" s="1"/>
  <c r="J421" i="261"/>
  <c r="Q120" i="261"/>
  <c r="V120" i="261"/>
  <c r="W120" i="261" s="1"/>
  <c r="J422" i="261"/>
  <c r="L121" i="261" s="1"/>
  <c r="P121" i="261"/>
  <c r="Q121" i="261"/>
  <c r="R121" i="261"/>
  <c r="V121" i="261"/>
  <c r="W121" i="261" s="1"/>
  <c r="J122" i="261"/>
  <c r="T122" i="261" s="1"/>
  <c r="R122" i="261"/>
  <c r="K122" i="261"/>
  <c r="J423" i="261"/>
  <c r="Q122" i="261"/>
  <c r="V122" i="261"/>
  <c r="W122" i="261" s="1"/>
  <c r="R123" i="261"/>
  <c r="K123" i="261" s="1"/>
  <c r="P123" i="261" s="1"/>
  <c r="J424" i="261"/>
  <c r="Q123" i="261"/>
  <c r="V123" i="261"/>
  <c r="W123" i="261" s="1"/>
  <c r="J124" i="261"/>
  <c r="T124" i="261" s="1"/>
  <c r="R124" i="261"/>
  <c r="K124" i="261"/>
  <c r="J425" i="261"/>
  <c r="T425" i="261" s="1"/>
  <c r="Q124" i="261"/>
  <c r="V124" i="261"/>
  <c r="W124" i="261" s="1"/>
  <c r="R125" i="261"/>
  <c r="K125" i="261" s="1"/>
  <c r="J426" i="261"/>
  <c r="Q125" i="261"/>
  <c r="V125" i="261"/>
  <c r="W125" i="261" s="1"/>
  <c r="J126" i="261"/>
  <c r="T126" i="261" s="1"/>
  <c r="L126" i="261"/>
  <c r="P126" i="261"/>
  <c r="Q126" i="261"/>
  <c r="R126" i="261"/>
  <c r="V126" i="261"/>
  <c r="W126" i="261"/>
  <c r="J127" i="261"/>
  <c r="R127" i="261"/>
  <c r="K127" i="261" s="1"/>
  <c r="Q127" i="261"/>
  <c r="T127" i="261"/>
  <c r="V127" i="261"/>
  <c r="W127" i="261" s="1"/>
  <c r="J128" i="261"/>
  <c r="T128" i="261" s="1"/>
  <c r="R128" i="261"/>
  <c r="K128" i="261" s="1"/>
  <c r="Q128" i="261"/>
  <c r="V128" i="261"/>
  <c r="W128" i="261" s="1"/>
  <c r="K129" i="261"/>
  <c r="P129" i="261" s="1"/>
  <c r="Q129" i="261"/>
  <c r="V129" i="261"/>
  <c r="W129" i="261" s="1"/>
  <c r="J130" i="261"/>
  <c r="R130" i="261"/>
  <c r="K130" i="261" s="1"/>
  <c r="J434" i="261"/>
  <c r="Q130" i="261"/>
  <c r="T130" i="261"/>
  <c r="V130" i="261"/>
  <c r="W130" i="261" s="1"/>
  <c r="R131" i="261"/>
  <c r="K131" i="261" s="1"/>
  <c r="P131" i="261" s="1"/>
  <c r="J435" i="261"/>
  <c r="L131" i="261"/>
  <c r="Q131" i="261"/>
  <c r="V131" i="261"/>
  <c r="J132" i="261"/>
  <c r="T132" i="261"/>
  <c r="J436" i="261"/>
  <c r="L132" i="261" s="1"/>
  <c r="Q132" i="261"/>
  <c r="V132" i="261"/>
  <c r="W132" i="261" s="1"/>
  <c r="J437" i="261"/>
  <c r="Q133" i="261"/>
  <c r="R133" i="261"/>
  <c r="V133" i="261"/>
  <c r="W133" i="261" s="1"/>
  <c r="R134" i="261"/>
  <c r="K134" i="261" s="1"/>
  <c r="P134" i="261" s="1"/>
  <c r="J438" i="261"/>
  <c r="T438" i="261" s="1"/>
  <c r="Q134" i="261"/>
  <c r="V134" i="261"/>
  <c r="W134" i="261" s="1"/>
  <c r="R135" i="261"/>
  <c r="K135" i="261" s="1"/>
  <c r="J439" i="261"/>
  <c r="Q135" i="261"/>
  <c r="V135" i="261"/>
  <c r="W135" i="261" s="1"/>
  <c r="J136" i="261"/>
  <c r="T136" i="261" s="1"/>
  <c r="R136" i="261"/>
  <c r="K136" i="261"/>
  <c r="J440" i="261"/>
  <c r="Q136" i="261"/>
  <c r="V136" i="261"/>
  <c r="W136" i="261" s="1"/>
  <c r="J137" i="261"/>
  <c r="T137" i="261" s="1"/>
  <c r="R137" i="261"/>
  <c r="K137" i="261"/>
  <c r="J441" i="261"/>
  <c r="Q137" i="261"/>
  <c r="V137" i="261"/>
  <c r="X137" i="261"/>
  <c r="W137" i="261" s="1"/>
  <c r="J138" i="261"/>
  <c r="R138" i="261"/>
  <c r="K138" i="261" s="1"/>
  <c r="Q138" i="261"/>
  <c r="T138" i="261"/>
  <c r="V138" i="261"/>
  <c r="W138" i="261" s="1"/>
  <c r="J139" i="261"/>
  <c r="T139" i="261" s="1"/>
  <c r="R139" i="261"/>
  <c r="K139" i="261" s="1"/>
  <c r="Q139" i="261"/>
  <c r="V139" i="261"/>
  <c r="W139" i="261" s="1"/>
  <c r="L140" i="261"/>
  <c r="Q140" i="261"/>
  <c r="R140" i="261"/>
  <c r="V140" i="261"/>
  <c r="W140" i="261" s="1"/>
  <c r="R141" i="261"/>
  <c r="K141" i="261" s="1"/>
  <c r="Q141" i="261"/>
  <c r="V141" i="261"/>
  <c r="W141" i="261" s="1"/>
  <c r="R142" i="261"/>
  <c r="K142" i="261" s="1"/>
  <c r="Q142" i="261"/>
  <c r="V142" i="261"/>
  <c r="X142" i="261"/>
  <c r="W142" i="261" s="1"/>
  <c r="L143" i="261"/>
  <c r="Q143" i="261"/>
  <c r="R143" i="261"/>
  <c r="V143" i="261"/>
  <c r="W143" i="261" s="1"/>
  <c r="L144" i="261"/>
  <c r="Q144" i="261"/>
  <c r="R144" i="261"/>
  <c r="V144" i="261"/>
  <c r="X144" i="261"/>
  <c r="L145" i="261"/>
  <c r="Q145" i="261"/>
  <c r="R145" i="261"/>
  <c r="V145" i="261"/>
  <c r="W145" i="261" s="1"/>
  <c r="X145" i="261"/>
  <c r="R146" i="261"/>
  <c r="K146" i="261" s="1"/>
  <c r="L146" i="261" s="1"/>
  <c r="P146" i="261"/>
  <c r="Q146" i="261"/>
  <c r="V146" i="261"/>
  <c r="W146" i="261" s="1"/>
  <c r="L147" i="261"/>
  <c r="P147" i="261"/>
  <c r="Q147" i="261"/>
  <c r="R147" i="261"/>
  <c r="V147" i="261"/>
  <c r="W147" i="261" s="1"/>
  <c r="J148" i="261"/>
  <c r="S148" i="261"/>
  <c r="R148" i="261" s="1"/>
  <c r="K148" i="261" s="1"/>
  <c r="P148" i="261" s="1"/>
  <c r="Q148" i="261"/>
  <c r="T148" i="261"/>
  <c r="V148" i="261"/>
  <c r="W148" i="261" s="1"/>
  <c r="J149" i="261"/>
  <c r="S149" i="261"/>
  <c r="R149" i="261" s="1"/>
  <c r="K149" i="261" s="1"/>
  <c r="P149" i="261" s="1"/>
  <c r="Q149" i="261"/>
  <c r="V149" i="261"/>
  <c r="W149" i="261" s="1"/>
  <c r="J150" i="261"/>
  <c r="T150" i="261" s="1"/>
  <c r="S150" i="261"/>
  <c r="R150" i="261" s="1"/>
  <c r="K150" i="261" s="1"/>
  <c r="P150" i="261" s="1"/>
  <c r="Q150" i="261"/>
  <c r="V150" i="261"/>
  <c r="W150" i="261"/>
  <c r="J151" i="261"/>
  <c r="S151" i="261"/>
  <c r="R151" i="261" s="1"/>
  <c r="K151" i="261" s="1"/>
  <c r="P151" i="261" s="1"/>
  <c r="Q151" i="261"/>
  <c r="V151" i="261"/>
  <c r="W151" i="261"/>
  <c r="J152" i="261"/>
  <c r="S152" i="261"/>
  <c r="Q152" i="261"/>
  <c r="V152" i="261"/>
  <c r="W152" i="261" s="1"/>
  <c r="J153" i="261"/>
  <c r="S153" i="261"/>
  <c r="R153" i="261"/>
  <c r="K153" i="261" s="1"/>
  <c r="P153" i="261" s="1"/>
  <c r="Q153" i="261"/>
  <c r="V153" i="261"/>
  <c r="W153" i="261" s="1"/>
  <c r="J154" i="261"/>
  <c r="T154" i="261" s="1"/>
  <c r="S154" i="261"/>
  <c r="R154" i="261"/>
  <c r="K154" i="261" s="1"/>
  <c r="P154" i="261" s="1"/>
  <c r="Q154" i="261"/>
  <c r="V154" i="261"/>
  <c r="W154" i="261" s="1"/>
  <c r="J155" i="261"/>
  <c r="S155" i="261"/>
  <c r="R155" i="261" s="1"/>
  <c r="K155" i="261" s="1"/>
  <c r="P155" i="261" s="1"/>
  <c r="Q155" i="261"/>
  <c r="V155" i="261"/>
  <c r="W155" i="261"/>
  <c r="J156" i="261"/>
  <c r="S156" i="261"/>
  <c r="Q156" i="261"/>
  <c r="V156" i="261"/>
  <c r="W156" i="261" s="1"/>
  <c r="J157" i="261"/>
  <c r="S157" i="261"/>
  <c r="R157" i="261" s="1"/>
  <c r="K157" i="261" s="1"/>
  <c r="P157" i="261" s="1"/>
  <c r="Q157" i="261"/>
  <c r="V157" i="261"/>
  <c r="W157" i="261" s="1"/>
  <c r="J158" i="261"/>
  <c r="T158" i="261" s="1"/>
  <c r="S158" i="261"/>
  <c r="R158" i="261"/>
  <c r="K158" i="261" s="1"/>
  <c r="P158" i="261" s="1"/>
  <c r="Q158" i="261"/>
  <c r="V158" i="261"/>
  <c r="W158" i="261"/>
  <c r="J159" i="261"/>
  <c r="S159" i="261"/>
  <c r="R159" i="261" s="1"/>
  <c r="K159" i="261" s="1"/>
  <c r="P159" i="261" s="1"/>
  <c r="Q159" i="261"/>
  <c r="V159" i="261"/>
  <c r="W159" i="261"/>
  <c r="J160" i="261"/>
  <c r="T160" i="261" s="1"/>
  <c r="R160" i="261"/>
  <c r="K160" i="261" s="1"/>
  <c r="P160" i="261" s="1"/>
  <c r="Q160" i="261"/>
  <c r="V160" i="261"/>
  <c r="W160" i="261"/>
  <c r="J161" i="261"/>
  <c r="T161" i="261" s="1"/>
  <c r="R161" i="261"/>
  <c r="K161" i="261" s="1"/>
  <c r="Q161" i="261"/>
  <c r="V161" i="261"/>
  <c r="W161" i="261" s="1"/>
  <c r="J162" i="261"/>
  <c r="T162" i="261" s="1"/>
  <c r="R162" i="261"/>
  <c r="K162" i="261" s="1"/>
  <c r="Q162" i="261"/>
  <c r="V162" i="261"/>
  <c r="W162" i="261" s="1"/>
  <c r="J163" i="261"/>
  <c r="T163" i="261" s="1"/>
  <c r="R163" i="261"/>
  <c r="K163" i="261" s="1"/>
  <c r="L163" i="261" s="1"/>
  <c r="Q163" i="261"/>
  <c r="V163" i="261"/>
  <c r="W163" i="261" s="1"/>
  <c r="J164" i="261"/>
  <c r="T164" i="261" s="1"/>
  <c r="R164" i="261"/>
  <c r="K164" i="261" s="1"/>
  <c r="L164" i="261" s="1"/>
  <c r="Q164" i="261"/>
  <c r="V164" i="261"/>
  <c r="W164" i="261"/>
  <c r="J165" i="261"/>
  <c r="R165" i="261"/>
  <c r="K165" i="261" s="1"/>
  <c r="Q165" i="261"/>
  <c r="T165" i="261"/>
  <c r="V165" i="261"/>
  <c r="J166" i="261"/>
  <c r="R166" i="261"/>
  <c r="K166" i="261" s="1"/>
  <c r="Q166" i="261"/>
  <c r="J167" i="261"/>
  <c r="R167" i="261"/>
  <c r="K167" i="261" s="1"/>
  <c r="Q167" i="261"/>
  <c r="T167" i="261"/>
  <c r="V167" i="261"/>
  <c r="W167" i="261"/>
  <c r="J168" i="261"/>
  <c r="T168" i="261" s="1"/>
  <c r="R168" i="261"/>
  <c r="K168" i="261" s="1"/>
  <c r="Q168" i="261"/>
  <c r="V168" i="261"/>
  <c r="W168" i="261" s="1"/>
  <c r="J169" i="261"/>
  <c r="R169" i="261"/>
  <c r="K169" i="261" s="1"/>
  <c r="Q169" i="261"/>
  <c r="T169" i="261"/>
  <c r="V169" i="261"/>
  <c r="W169" i="261" s="1"/>
  <c r="J170" i="261"/>
  <c r="T170" i="261" s="1"/>
  <c r="R170" i="261"/>
  <c r="K170" i="261" s="1"/>
  <c r="Q170" i="261"/>
  <c r="V170" i="261"/>
  <c r="W170" i="261" s="1"/>
  <c r="J171" i="261"/>
  <c r="T171" i="261" s="1"/>
  <c r="R171" i="261"/>
  <c r="K171" i="261" s="1"/>
  <c r="Q171" i="261"/>
  <c r="V171" i="261"/>
  <c r="W171" i="261"/>
  <c r="J172" i="261"/>
  <c r="R172" i="261"/>
  <c r="K172" i="261" s="1"/>
  <c r="Q172" i="261"/>
  <c r="T172" i="261"/>
  <c r="V172" i="261"/>
  <c r="W172" i="261" s="1"/>
  <c r="J173" i="261"/>
  <c r="T173" i="261" s="1"/>
  <c r="R173" i="261"/>
  <c r="K173" i="261"/>
  <c r="Q173" i="261"/>
  <c r="V173" i="261"/>
  <c r="W173" i="261" s="1"/>
  <c r="J174" i="261"/>
  <c r="T174" i="261" s="1"/>
  <c r="R174" i="261"/>
  <c r="K174" i="261" s="1"/>
  <c r="Q174" i="261"/>
  <c r="V174" i="261"/>
  <c r="W174" i="261" s="1"/>
  <c r="R175" i="261"/>
  <c r="K175" i="261"/>
  <c r="Q175" i="261"/>
  <c r="V175" i="261"/>
  <c r="W175" i="261" s="1"/>
  <c r="X175" i="261"/>
  <c r="R176" i="261"/>
  <c r="K176" i="261" s="1"/>
  <c r="Q176" i="261"/>
  <c r="V176" i="261"/>
  <c r="W176" i="261"/>
  <c r="J177" i="261"/>
  <c r="R177" i="261"/>
  <c r="K177" i="261" s="1"/>
  <c r="Q177" i="261"/>
  <c r="T177" i="261"/>
  <c r="V177" i="261"/>
  <c r="W177" i="261" s="1"/>
  <c r="J178" i="261"/>
  <c r="T178" i="261" s="1"/>
  <c r="R178" i="261"/>
  <c r="K178" i="261"/>
  <c r="L178" i="261" s="1"/>
  <c r="Q178" i="261"/>
  <c r="V178" i="261"/>
  <c r="W178" i="261"/>
  <c r="R179" i="261"/>
  <c r="K179" i="261"/>
  <c r="L179" i="261" s="1"/>
  <c r="Q179" i="261"/>
  <c r="V179" i="261"/>
  <c r="W179" i="261" s="1"/>
  <c r="L180" i="261"/>
  <c r="P180" i="261"/>
  <c r="Q180" i="261"/>
  <c r="R180" i="261"/>
  <c r="V180" i="261"/>
  <c r="W180" i="261" s="1"/>
  <c r="J181" i="261"/>
  <c r="T181" i="261" s="1"/>
  <c r="R181" i="261"/>
  <c r="K181" i="261" s="1"/>
  <c r="L181" i="261"/>
  <c r="P181" i="261"/>
  <c r="Q181" i="261"/>
  <c r="V181" i="261"/>
  <c r="X181" i="261"/>
  <c r="W181" i="261" s="1"/>
  <c r="J182" i="261"/>
  <c r="R182" i="261"/>
  <c r="K182" i="261"/>
  <c r="L182" i="261" s="1"/>
  <c r="Q182" i="261"/>
  <c r="T182" i="261"/>
  <c r="V182" i="261"/>
  <c r="W182" i="261"/>
  <c r="J183" i="261"/>
  <c r="T183" i="261" s="1"/>
  <c r="R183" i="261"/>
  <c r="K183" i="261" s="1"/>
  <c r="Q183" i="261"/>
  <c r="V183" i="261"/>
  <c r="W183" i="261" s="1"/>
  <c r="J184" i="261"/>
  <c r="R184" i="261"/>
  <c r="K184" i="261"/>
  <c r="Q184" i="261"/>
  <c r="T184" i="261"/>
  <c r="V184" i="261"/>
  <c r="W184" i="261"/>
  <c r="J185" i="261"/>
  <c r="T185" i="261" s="1"/>
  <c r="R185" i="261"/>
  <c r="K185" i="261" s="1"/>
  <c r="P185" i="261" s="1"/>
  <c r="Q185" i="261"/>
  <c r="V185" i="261"/>
  <c r="W185" i="261" s="1"/>
  <c r="J186" i="261"/>
  <c r="P186" i="261"/>
  <c r="Q186" i="261"/>
  <c r="R186" i="261"/>
  <c r="T186" i="261"/>
  <c r="V186" i="261"/>
  <c r="W186" i="261" s="1"/>
  <c r="J187" i="261"/>
  <c r="T187" i="261" s="1"/>
  <c r="R187" i="261"/>
  <c r="K187" i="261"/>
  <c r="P187" i="261" s="1"/>
  <c r="Q187" i="261"/>
  <c r="V187" i="261"/>
  <c r="W187" i="261"/>
  <c r="J188" i="261"/>
  <c r="T188" i="261" s="1"/>
  <c r="R188" i="261"/>
  <c r="K188" i="261" s="1"/>
  <c r="P188" i="261" s="1"/>
  <c r="Q188" i="261"/>
  <c r="V188" i="261"/>
  <c r="W188" i="261" s="1"/>
  <c r="J189" i="261"/>
  <c r="T189" i="261" s="1"/>
  <c r="R189" i="261"/>
  <c r="K189" i="261" s="1"/>
  <c r="Q189" i="261"/>
  <c r="V189" i="261"/>
  <c r="W189" i="261" s="1"/>
  <c r="R190" i="261"/>
  <c r="K190" i="261" s="1"/>
  <c r="Q190" i="261"/>
  <c r="V190" i="261"/>
  <c r="W190" i="261" s="1"/>
  <c r="L191" i="261"/>
  <c r="P191" i="261"/>
  <c r="Q191" i="261"/>
  <c r="R191" i="261"/>
  <c r="V191" i="261"/>
  <c r="W191" i="261" s="1"/>
  <c r="R192" i="261"/>
  <c r="K192" i="261"/>
  <c r="Q192" i="261"/>
  <c r="V192" i="261"/>
  <c r="X192" i="261"/>
  <c r="W192" i="261"/>
  <c r="J193" i="261"/>
  <c r="T193" i="261" s="1"/>
  <c r="R193" i="261"/>
  <c r="K193" i="261" s="1"/>
  <c r="P193" i="261" s="1"/>
  <c r="Q193" i="261"/>
  <c r="V193" i="261"/>
  <c r="X193" i="261"/>
  <c r="W193" i="261" s="1"/>
  <c r="L194" i="261"/>
  <c r="P194" i="261"/>
  <c r="Q194" i="261"/>
  <c r="R194" i="261"/>
  <c r="V194" i="261"/>
  <c r="W194" i="261" s="1"/>
  <c r="J195" i="261"/>
  <c r="T195" i="261" s="1"/>
  <c r="R195" i="261"/>
  <c r="K195" i="261" s="1"/>
  <c r="Q195" i="261"/>
  <c r="V195" i="261"/>
  <c r="X195" i="261"/>
  <c r="L196" i="261"/>
  <c r="P196" i="261"/>
  <c r="Q196" i="261"/>
  <c r="R196" i="261"/>
  <c r="V196" i="261"/>
  <c r="X196" i="261"/>
  <c r="R197" i="261"/>
  <c r="K197" i="261" s="1"/>
  <c r="L197" i="261" s="1"/>
  <c r="Q197" i="261"/>
  <c r="V197" i="261"/>
  <c r="X197" i="261"/>
  <c r="L198" i="261"/>
  <c r="P198" i="261"/>
  <c r="Q198" i="261"/>
  <c r="R198" i="261"/>
  <c r="V198" i="261"/>
  <c r="X198" i="261"/>
  <c r="W198" i="261" s="1"/>
  <c r="J199" i="261"/>
  <c r="T199" i="261" s="1"/>
  <c r="R199" i="261"/>
  <c r="K199" i="261"/>
  <c r="L199" i="261" s="1"/>
  <c r="Q199" i="261"/>
  <c r="V199" i="261"/>
  <c r="W199" i="261"/>
  <c r="J200" i="261"/>
  <c r="R200" i="261"/>
  <c r="K200" i="261" s="1"/>
  <c r="Q200" i="261"/>
  <c r="T200" i="261"/>
  <c r="V200" i="261"/>
  <c r="W200" i="261" s="1"/>
  <c r="R201" i="261"/>
  <c r="K201" i="261" s="1"/>
  <c r="L201" i="261" s="1"/>
  <c r="Q201" i="261"/>
  <c r="V201" i="261"/>
  <c r="X201" i="261"/>
  <c r="W201" i="261" s="1"/>
  <c r="R202" i="261"/>
  <c r="K202" i="261" s="1"/>
  <c r="P202" i="261" s="1"/>
  <c r="L202" i="261"/>
  <c r="Q202" i="261"/>
  <c r="V202" i="261"/>
  <c r="X202" i="261"/>
  <c r="L203" i="261"/>
  <c r="P203" i="261"/>
  <c r="Q203" i="261"/>
  <c r="R203" i="261"/>
  <c r="V203" i="261"/>
  <c r="X203" i="261"/>
  <c r="W203" i="261" s="1"/>
  <c r="R204" i="261"/>
  <c r="K204" i="261" s="1"/>
  <c r="Q204" i="261"/>
  <c r="V204" i="261"/>
  <c r="X204" i="261"/>
  <c r="W204" i="261"/>
  <c r="J205" i="261"/>
  <c r="T205" i="261" s="1"/>
  <c r="R205" i="261"/>
  <c r="K205" i="261" s="1"/>
  <c r="L205" i="261" s="1"/>
  <c r="Q205" i="261"/>
  <c r="V205" i="261"/>
  <c r="W205" i="261"/>
  <c r="J206" i="261"/>
  <c r="T206" i="261" s="1"/>
  <c r="R206" i="261"/>
  <c r="K206" i="261" s="1"/>
  <c r="Q206" i="261"/>
  <c r="V206" i="261"/>
  <c r="X206" i="261"/>
  <c r="J207" i="261"/>
  <c r="T207" i="261" s="1"/>
  <c r="R207" i="261"/>
  <c r="K207" i="261" s="1"/>
  <c r="Q207" i="261"/>
  <c r="V207" i="261"/>
  <c r="X207" i="261"/>
  <c r="W207" i="261" s="1"/>
  <c r="J208" i="261"/>
  <c r="T208" i="261" s="1"/>
  <c r="R208" i="261"/>
  <c r="K208" i="261"/>
  <c r="L208" i="261" s="1"/>
  <c r="Q208" i="261"/>
  <c r="V208" i="261"/>
  <c r="W208" i="261"/>
  <c r="J209" i="261"/>
  <c r="T209" i="261" s="1"/>
  <c r="R209" i="261"/>
  <c r="K209" i="261" s="1"/>
  <c r="Q209" i="261"/>
  <c r="V209" i="261"/>
  <c r="W209" i="261" s="1"/>
  <c r="J210" i="261"/>
  <c r="T210" i="261" s="1"/>
  <c r="R210" i="261"/>
  <c r="K210" i="261" s="1"/>
  <c r="L210" i="261" s="1"/>
  <c r="Q210" i="261"/>
  <c r="V210" i="261"/>
  <c r="W210" i="261"/>
  <c r="R211" i="261"/>
  <c r="K211" i="261" s="1"/>
  <c r="L211" i="261" s="1"/>
  <c r="Q211" i="261"/>
  <c r="V211" i="261"/>
  <c r="W211" i="261" s="1"/>
  <c r="J212" i="261"/>
  <c r="T212" i="261" s="1"/>
  <c r="R212" i="261"/>
  <c r="K212" i="261" s="1"/>
  <c r="L212" i="261"/>
  <c r="Q212" i="261"/>
  <c r="V212" i="261"/>
  <c r="X212" i="261"/>
  <c r="W212" i="261"/>
  <c r="J213" i="261"/>
  <c r="T213" i="261" s="1"/>
  <c r="R213" i="261"/>
  <c r="K213" i="261" s="1"/>
  <c r="L213" i="261"/>
  <c r="Q213" i="261"/>
  <c r="V213" i="261"/>
  <c r="X213" i="261"/>
  <c r="W213" i="261"/>
  <c r="J214" i="261"/>
  <c r="T214" i="261" s="1"/>
  <c r="R214" i="261"/>
  <c r="K214" i="261" s="1"/>
  <c r="L214" i="261" s="1"/>
  <c r="Q214" i="261"/>
  <c r="V214" i="261"/>
  <c r="W214" i="261" s="1"/>
  <c r="R215" i="261"/>
  <c r="K215" i="261" s="1"/>
  <c r="Q215" i="261"/>
  <c r="V215" i="261"/>
  <c r="W215" i="261" s="1"/>
  <c r="J216" i="261"/>
  <c r="T216" i="261" s="1"/>
  <c r="R216" i="261"/>
  <c r="K216" i="261" s="1"/>
  <c r="P216" i="261" s="1"/>
  <c r="L216" i="261"/>
  <c r="Q216" i="261"/>
  <c r="V216" i="261"/>
  <c r="X216" i="261"/>
  <c r="W216" i="261" s="1"/>
  <c r="J223" i="261"/>
  <c r="R223" i="261"/>
  <c r="K223" i="261" s="1"/>
  <c r="Q223" i="261"/>
  <c r="T223" i="261"/>
  <c r="V223" i="261"/>
  <c r="W223" i="261" s="1"/>
  <c r="J224" i="261"/>
  <c r="T224" i="261" s="1"/>
  <c r="R224" i="261"/>
  <c r="K224" i="261" s="1"/>
  <c r="P224" i="261" s="1"/>
  <c r="Q224" i="261"/>
  <c r="V224" i="261"/>
  <c r="W224" i="261" s="1"/>
  <c r="J225" i="261"/>
  <c r="T225" i="261"/>
  <c r="R225" i="261"/>
  <c r="K225" i="261" s="1"/>
  <c r="L225" i="261" s="1"/>
  <c r="P225" i="261"/>
  <c r="Q225" i="261"/>
  <c r="V225" i="261"/>
  <c r="X225" i="261"/>
  <c r="J226" i="261"/>
  <c r="T226" i="261" s="1"/>
  <c r="R226" i="261"/>
  <c r="K226" i="261"/>
  <c r="P226" i="261" s="1"/>
  <c r="Q226" i="261"/>
  <c r="V226" i="261"/>
  <c r="X226" i="261"/>
  <c r="W226" i="261" s="1"/>
  <c r="J227" i="261"/>
  <c r="R227" i="261"/>
  <c r="K227" i="261" s="1"/>
  <c r="P227" i="261"/>
  <c r="Q227" i="261"/>
  <c r="T227" i="261"/>
  <c r="V227" i="261"/>
  <c r="W227" i="261"/>
  <c r="J228" i="261"/>
  <c r="T228" i="261"/>
  <c r="R228" i="261"/>
  <c r="K228" i="261"/>
  <c r="Q228" i="261"/>
  <c r="V228" i="261"/>
  <c r="X228" i="261"/>
  <c r="W228" i="261"/>
  <c r="J229" i="261"/>
  <c r="T229" i="261" s="1"/>
  <c r="L229" i="261"/>
  <c r="P229" i="261"/>
  <c r="Q229" i="261"/>
  <c r="R229" i="261"/>
  <c r="V229" i="261"/>
  <c r="W229" i="261" s="1"/>
  <c r="J230" i="261"/>
  <c r="R230" i="261"/>
  <c r="K230" i="261" s="1"/>
  <c r="P230" i="261"/>
  <c r="Q230" i="261"/>
  <c r="T230" i="261"/>
  <c r="V230" i="261"/>
  <c r="W230" i="261"/>
  <c r="R231" i="261"/>
  <c r="K231" i="261" s="1"/>
  <c r="P231" i="261" s="1"/>
  <c r="Q231" i="261"/>
  <c r="V231" i="261"/>
  <c r="W231" i="261"/>
  <c r="J232" i="261"/>
  <c r="T232" i="261"/>
  <c r="R232" i="261"/>
  <c r="K232" i="261"/>
  <c r="Q232" i="261"/>
  <c r="V232" i="261"/>
  <c r="W232" i="261" s="1"/>
  <c r="X232" i="261"/>
  <c r="J233" i="261"/>
  <c r="T233" i="261" s="1"/>
  <c r="R233" i="261"/>
  <c r="K233" i="261" s="1"/>
  <c r="P233" i="261" s="1"/>
  <c r="Q233" i="261"/>
  <c r="V233" i="261"/>
  <c r="W233" i="261" s="1"/>
  <c r="L234" i="261"/>
  <c r="P234" i="261"/>
  <c r="Q234" i="261"/>
  <c r="R234" i="261"/>
  <c r="V234" i="261"/>
  <c r="X234" i="261"/>
  <c r="J235" i="261"/>
  <c r="T235" i="261" s="1"/>
  <c r="R235" i="261"/>
  <c r="K235" i="261" s="1"/>
  <c r="L235" i="261" s="1"/>
  <c r="Q235" i="261"/>
  <c r="V235" i="261"/>
  <c r="X235" i="261"/>
  <c r="J236" i="261"/>
  <c r="P236" i="261"/>
  <c r="Q236" i="261"/>
  <c r="R236" i="261"/>
  <c r="T236" i="261"/>
  <c r="V236" i="261"/>
  <c r="W236" i="261" s="1"/>
  <c r="J237" i="261"/>
  <c r="R237" i="261"/>
  <c r="K237" i="261" s="1"/>
  <c r="P237" i="261" s="1"/>
  <c r="Q237" i="261"/>
  <c r="T237" i="261"/>
  <c r="V237" i="261"/>
  <c r="W237" i="261" s="1"/>
  <c r="R238" i="261"/>
  <c r="K238" i="261"/>
  <c r="Q238" i="261"/>
  <c r="V238" i="261"/>
  <c r="X238" i="261"/>
  <c r="R239" i="261"/>
  <c r="K239" i="261" s="1"/>
  <c r="P239" i="261" s="1"/>
  <c r="Q239" i="261"/>
  <c r="V239" i="261"/>
  <c r="X239" i="261"/>
  <c r="W239" i="261" s="1"/>
  <c r="J240" i="261"/>
  <c r="T240" i="261" s="1"/>
  <c r="R240" i="261"/>
  <c r="K240" i="261" s="1"/>
  <c r="P240" i="261" s="1"/>
  <c r="Q240" i="261"/>
  <c r="V240" i="261"/>
  <c r="X240" i="261"/>
  <c r="Q241" i="261"/>
  <c r="V241" i="261"/>
  <c r="X241" i="261"/>
  <c r="W241" i="261" s="1"/>
  <c r="J242" i="261"/>
  <c r="T242" i="261" s="1"/>
  <c r="R242" i="261"/>
  <c r="K242" i="261"/>
  <c r="L242" i="261" s="1"/>
  <c r="Q242" i="261"/>
  <c r="V242" i="261"/>
  <c r="W242" i="261"/>
  <c r="J243" i="261"/>
  <c r="T243" i="261" s="1"/>
  <c r="R243" i="261"/>
  <c r="K243" i="261" s="1"/>
  <c r="P243" i="261" s="1"/>
  <c r="Q243" i="261"/>
  <c r="V243" i="261"/>
  <c r="J244" i="261"/>
  <c r="T244" i="261"/>
  <c r="R244" i="261"/>
  <c r="K244" i="261" s="1"/>
  <c r="P244" i="261" s="1"/>
  <c r="Q244" i="261"/>
  <c r="V244" i="261"/>
  <c r="J245" i="261"/>
  <c r="R245" i="261"/>
  <c r="K245" i="261" s="1"/>
  <c r="P245" i="261"/>
  <c r="Q245" i="261"/>
  <c r="T245" i="261"/>
  <c r="V245" i="261"/>
  <c r="W245" i="261"/>
  <c r="J246" i="261"/>
  <c r="R246" i="261"/>
  <c r="K246" i="261" s="1"/>
  <c r="P246" i="261" s="1"/>
  <c r="Q246" i="261"/>
  <c r="T246" i="261"/>
  <c r="V246" i="261"/>
  <c r="W246" i="261" s="1"/>
  <c r="R247" i="261"/>
  <c r="K247" i="261"/>
  <c r="L247" i="261" s="1"/>
  <c r="Q247" i="261"/>
  <c r="V247" i="261"/>
  <c r="W247" i="261" s="1"/>
  <c r="J248" i="261"/>
  <c r="T248" i="261" s="1"/>
  <c r="R248" i="261"/>
  <c r="K248" i="261"/>
  <c r="P248" i="261" s="1"/>
  <c r="Q248" i="261"/>
  <c r="V248" i="261"/>
  <c r="W248" i="261"/>
  <c r="J249" i="261"/>
  <c r="T249" i="261" s="1"/>
  <c r="R249" i="261"/>
  <c r="K249" i="261" s="1"/>
  <c r="Q249" i="261"/>
  <c r="V249" i="261"/>
  <c r="X249" i="261"/>
  <c r="W249" i="261" s="1"/>
  <c r="J250" i="261"/>
  <c r="P250" i="261"/>
  <c r="Q250" i="261"/>
  <c r="R250" i="261"/>
  <c r="T250" i="261"/>
  <c r="V250" i="261"/>
  <c r="W250" i="261" s="1"/>
  <c r="J251" i="261"/>
  <c r="R251" i="261"/>
  <c r="K251" i="261" s="1"/>
  <c r="L251" i="261" s="1"/>
  <c r="P251" i="261"/>
  <c r="Q251" i="261"/>
  <c r="T251" i="261"/>
  <c r="V251" i="261"/>
  <c r="W251" i="261" s="1"/>
  <c r="L252" i="261"/>
  <c r="P252" i="261"/>
  <c r="Q252" i="261"/>
  <c r="R252" i="261"/>
  <c r="V252" i="261"/>
  <c r="W252" i="261" s="1"/>
  <c r="J253" i="261"/>
  <c r="R253" i="261"/>
  <c r="K253" i="261" s="1"/>
  <c r="Q253" i="261"/>
  <c r="T253" i="261"/>
  <c r="V253" i="261"/>
  <c r="J254" i="261"/>
  <c r="T254" i="261" s="1"/>
  <c r="R254" i="261"/>
  <c r="K254" i="261" s="1"/>
  <c r="P254" i="261" s="1"/>
  <c r="Q254" i="261"/>
  <c r="V254" i="261"/>
  <c r="W254" i="261" s="1"/>
  <c r="J255" i="261"/>
  <c r="P255" i="261"/>
  <c r="Q255" i="261"/>
  <c r="R255" i="261"/>
  <c r="T255" i="261"/>
  <c r="V255" i="261"/>
  <c r="X255" i="261"/>
  <c r="J256" i="261"/>
  <c r="T256" i="261" s="1"/>
  <c r="R256" i="261"/>
  <c r="K256" i="261" s="1"/>
  <c r="P256" i="261" s="1"/>
  <c r="L256" i="261"/>
  <c r="Q256" i="261"/>
  <c r="V256" i="261"/>
  <c r="W256" i="261"/>
  <c r="J257" i="261"/>
  <c r="T257" i="261" s="1"/>
  <c r="R257" i="261"/>
  <c r="K257" i="261" s="1"/>
  <c r="L257" i="261" s="1"/>
  <c r="Q257" i="261"/>
  <c r="V257" i="261"/>
  <c r="X257" i="261"/>
  <c r="J258" i="261"/>
  <c r="R258" i="261"/>
  <c r="K258" i="261" s="1"/>
  <c r="Q258" i="261"/>
  <c r="T258" i="261"/>
  <c r="V258" i="261"/>
  <c r="W258" i="261" s="1"/>
  <c r="P259" i="261"/>
  <c r="Q259" i="261"/>
  <c r="R259" i="261"/>
  <c r="V259" i="261"/>
  <c r="W259" i="261" s="1"/>
  <c r="J260" i="261"/>
  <c r="T260" i="261" s="1"/>
  <c r="R260" i="261"/>
  <c r="K260" i="261"/>
  <c r="P260" i="261" s="1"/>
  <c r="Q260" i="261"/>
  <c r="V260" i="261"/>
  <c r="W260" i="261"/>
  <c r="J261" i="261"/>
  <c r="T261" i="261" s="1"/>
  <c r="R261" i="261"/>
  <c r="K261" i="261" s="1"/>
  <c r="P261" i="261"/>
  <c r="Q261" i="261"/>
  <c r="V261" i="261"/>
  <c r="W261" i="261" s="1"/>
  <c r="J262" i="261"/>
  <c r="T262" i="261" s="1"/>
  <c r="R262" i="261"/>
  <c r="K262" i="261"/>
  <c r="P262" i="261" s="1"/>
  <c r="Q262" i="261"/>
  <c r="V262" i="261"/>
  <c r="W262" i="261"/>
  <c r="J263" i="261"/>
  <c r="T263" i="261" s="1"/>
  <c r="R263" i="261"/>
  <c r="K263" i="261" s="1"/>
  <c r="P263" i="261" s="1"/>
  <c r="Q263" i="261"/>
  <c r="V263" i="261"/>
  <c r="W263" i="261"/>
  <c r="R264" i="261"/>
  <c r="K264" i="261" s="1"/>
  <c r="L264" i="261" s="1"/>
  <c r="P264" i="261"/>
  <c r="Q264" i="261"/>
  <c r="V264" i="261"/>
  <c r="W264" i="261" s="1"/>
  <c r="X264" i="261"/>
  <c r="J265" i="261"/>
  <c r="T265" i="261" s="1"/>
  <c r="R265" i="261"/>
  <c r="K265" i="261" s="1"/>
  <c r="P265" i="261" s="1"/>
  <c r="Q265" i="261"/>
  <c r="V265" i="261"/>
  <c r="W265" i="261" s="1"/>
  <c r="J266" i="261"/>
  <c r="T266" i="261" s="1"/>
  <c r="R266" i="261"/>
  <c r="K266" i="261" s="1"/>
  <c r="Q266" i="261"/>
  <c r="V266" i="261"/>
  <c r="W266" i="261" s="1"/>
  <c r="J267" i="261"/>
  <c r="R267" i="261"/>
  <c r="K267" i="261"/>
  <c r="L267" i="261" s="1"/>
  <c r="Q267" i="261"/>
  <c r="T267" i="261"/>
  <c r="V267" i="261"/>
  <c r="X267" i="261"/>
  <c r="W267" i="261" s="1"/>
  <c r="J268" i="261"/>
  <c r="T268" i="261" s="1"/>
  <c r="R268" i="261"/>
  <c r="K268" i="261" s="1"/>
  <c r="P268" i="261" s="1"/>
  <c r="Q268" i="261"/>
  <c r="V268" i="261"/>
  <c r="X268" i="261"/>
  <c r="W268" i="261" s="1"/>
  <c r="J269" i="261"/>
  <c r="R269" i="261"/>
  <c r="K269" i="261" s="1"/>
  <c r="Q269" i="261"/>
  <c r="T269" i="261"/>
  <c r="V269" i="261"/>
  <c r="X269" i="261"/>
  <c r="J270" i="261"/>
  <c r="T270" i="261" s="1"/>
  <c r="R270" i="261"/>
  <c r="K270" i="261" s="1"/>
  <c r="P270" i="261"/>
  <c r="Q270" i="261"/>
  <c r="V270" i="261"/>
  <c r="W270" i="261" s="1"/>
  <c r="R271" i="261"/>
  <c r="K271" i="261" s="1"/>
  <c r="P271" i="261" s="1"/>
  <c r="Q271" i="261"/>
  <c r="T271" i="261"/>
  <c r="J272" i="261"/>
  <c r="R272" i="261"/>
  <c r="K272" i="261" s="1"/>
  <c r="Q272" i="261"/>
  <c r="T272" i="261"/>
  <c r="V272" i="261"/>
  <c r="W272" i="261" s="1"/>
  <c r="J273" i="261"/>
  <c r="T273" i="261" s="1"/>
  <c r="R273" i="261"/>
  <c r="K273" i="261" s="1"/>
  <c r="Q273" i="261"/>
  <c r="V273" i="261"/>
  <c r="W273" i="261"/>
  <c r="J274" i="261"/>
  <c r="T274" i="261" s="1"/>
  <c r="R274" i="261"/>
  <c r="K274" i="261" s="1"/>
  <c r="L274" i="261" s="1"/>
  <c r="Q274" i="261"/>
  <c r="V274" i="261"/>
  <c r="W274" i="261" s="1"/>
  <c r="X274" i="261"/>
  <c r="J275" i="261"/>
  <c r="T275" i="261" s="1"/>
  <c r="Q275" i="261"/>
  <c r="V275" i="261"/>
  <c r="J276" i="261"/>
  <c r="R276" i="261"/>
  <c r="K276" i="261" s="1"/>
  <c r="Q276" i="261"/>
  <c r="T276" i="261"/>
  <c r="V276" i="261"/>
  <c r="W276" i="261" s="1"/>
  <c r="J277" i="261"/>
  <c r="T277" i="261" s="1"/>
  <c r="R277" i="261"/>
  <c r="K277" i="261" s="1"/>
  <c r="Q277" i="261"/>
  <c r="V277" i="261"/>
  <c r="W277" i="261" s="1"/>
  <c r="J278" i="261"/>
  <c r="T278" i="261" s="1"/>
  <c r="R278" i="261"/>
  <c r="K278" i="261" s="1"/>
  <c r="Q278" i="261"/>
  <c r="V278" i="261"/>
  <c r="W278" i="261" s="1"/>
  <c r="J279" i="261"/>
  <c r="R279" i="261"/>
  <c r="K279" i="261" s="1"/>
  <c r="Q279" i="261"/>
  <c r="T279" i="261"/>
  <c r="V279" i="261"/>
  <c r="W279" i="261" s="1"/>
  <c r="J280" i="261"/>
  <c r="T280" i="261" s="1"/>
  <c r="R280" i="261"/>
  <c r="K280" i="261" s="1"/>
  <c r="Q280" i="261"/>
  <c r="V280" i="261"/>
  <c r="W280" i="261" s="1"/>
  <c r="J281" i="261"/>
  <c r="R281" i="261"/>
  <c r="K281" i="261" s="1"/>
  <c r="Q281" i="261"/>
  <c r="T281" i="261"/>
  <c r="V281" i="261"/>
  <c r="W281" i="261" s="1"/>
  <c r="J282" i="261"/>
  <c r="T282" i="261" s="1"/>
  <c r="R282" i="261"/>
  <c r="K282" i="261" s="1"/>
  <c r="P282" i="261" s="1"/>
  <c r="Q282" i="261"/>
  <c r="V282" i="261"/>
  <c r="W282" i="261"/>
  <c r="J283" i="261"/>
  <c r="T283" i="261"/>
  <c r="R283" i="261"/>
  <c r="K283" i="261"/>
  <c r="P283" i="261" s="1"/>
  <c r="Q283" i="261"/>
  <c r="V283" i="261"/>
  <c r="W283" i="261" s="1"/>
  <c r="J284" i="261"/>
  <c r="R284" i="261"/>
  <c r="K284" i="261" s="1"/>
  <c r="Q284" i="261"/>
  <c r="T284" i="261"/>
  <c r="V284" i="261"/>
  <c r="W284" i="261" s="1"/>
  <c r="J285" i="261"/>
  <c r="R285" i="261"/>
  <c r="K285" i="261"/>
  <c r="L285" i="261" s="1"/>
  <c r="Q285" i="261"/>
  <c r="T285" i="261"/>
  <c r="V285" i="261"/>
  <c r="W285" i="261"/>
  <c r="J286" i="261"/>
  <c r="T286" i="261" s="1"/>
  <c r="R286" i="261"/>
  <c r="K286" i="261" s="1"/>
  <c r="Q286" i="261"/>
  <c r="V286" i="261"/>
  <c r="W286" i="261" s="1"/>
  <c r="J287" i="261"/>
  <c r="P287" i="261"/>
  <c r="Q287" i="261"/>
  <c r="R287" i="261"/>
  <c r="T287" i="261"/>
  <c r="V287" i="261"/>
  <c r="W287" i="261"/>
  <c r="J288" i="261"/>
  <c r="T288" i="261" s="1"/>
  <c r="P288" i="261"/>
  <c r="Q288" i="261"/>
  <c r="R288" i="261"/>
  <c r="V288" i="261"/>
  <c r="W288" i="261" s="1"/>
  <c r="J289" i="261"/>
  <c r="R289" i="261"/>
  <c r="K289" i="261"/>
  <c r="P289" i="261" s="1"/>
  <c r="Q289" i="261"/>
  <c r="T289" i="261"/>
  <c r="V289" i="261"/>
  <c r="W289" i="261" s="1"/>
  <c r="J290" i="261"/>
  <c r="T290" i="261" s="1"/>
  <c r="R290" i="261"/>
  <c r="K290" i="261" s="1"/>
  <c r="P290" i="261" s="1"/>
  <c r="Q290" i="261"/>
  <c r="V290" i="261"/>
  <c r="W290" i="261" s="1"/>
  <c r="J291" i="261"/>
  <c r="P291" i="261"/>
  <c r="Q291" i="261"/>
  <c r="R291" i="261"/>
  <c r="T291" i="261"/>
  <c r="V291" i="261"/>
  <c r="W291" i="261"/>
  <c r="J292" i="261"/>
  <c r="T292" i="261" s="1"/>
  <c r="Q292" i="261"/>
  <c r="V292" i="261"/>
  <c r="W292" i="261" s="1"/>
  <c r="J293" i="261"/>
  <c r="T293" i="261" s="1"/>
  <c r="Q293" i="261"/>
  <c r="V293" i="261"/>
  <c r="J294" i="261"/>
  <c r="T294" i="261" s="1"/>
  <c r="R294" i="261"/>
  <c r="K294" i="261" s="1"/>
  <c r="P294" i="261" s="1"/>
  <c r="Q294" i="261"/>
  <c r="V294" i="261"/>
  <c r="W294" i="261" s="1"/>
  <c r="J295" i="261"/>
  <c r="T295" i="261" s="1"/>
  <c r="Q295" i="261"/>
  <c r="V295" i="261"/>
  <c r="W295" i="261" s="1"/>
  <c r="J296" i="261"/>
  <c r="P296" i="261"/>
  <c r="Q296" i="261"/>
  <c r="R296" i="261"/>
  <c r="T296" i="261"/>
  <c r="V296" i="261"/>
  <c r="W296" i="261" s="1"/>
  <c r="Q297" i="261"/>
  <c r="T297" i="261"/>
  <c r="R298" i="261"/>
  <c r="K298" i="261" s="1"/>
  <c r="P298" i="261" s="1"/>
  <c r="Q298" i="261"/>
  <c r="X298" i="261"/>
  <c r="J299" i="261"/>
  <c r="R299" i="261"/>
  <c r="K299" i="261"/>
  <c r="Q299" i="261"/>
  <c r="T299" i="261"/>
  <c r="V299" i="261"/>
  <c r="W299" i="261"/>
  <c r="J300" i="261"/>
  <c r="P300" i="261"/>
  <c r="Q300" i="261"/>
  <c r="R300" i="261"/>
  <c r="T300" i="261"/>
  <c r="V300" i="261"/>
  <c r="W300" i="261" s="1"/>
  <c r="J301" i="261"/>
  <c r="R301" i="261"/>
  <c r="K301" i="261" s="1"/>
  <c r="P301" i="261" s="1"/>
  <c r="Q301" i="261"/>
  <c r="T301" i="261"/>
  <c r="V301" i="261"/>
  <c r="W301" i="261" s="1"/>
  <c r="J302" i="261"/>
  <c r="T302" i="261" s="1"/>
  <c r="R302" i="261"/>
  <c r="K302" i="261" s="1"/>
  <c r="P302" i="261" s="1"/>
  <c r="Q302" i="261"/>
  <c r="V302" i="261"/>
  <c r="W302" i="261" s="1"/>
  <c r="J303" i="261"/>
  <c r="R303" i="261"/>
  <c r="K303" i="261" s="1"/>
  <c r="P303" i="261" s="1"/>
  <c r="Q303" i="261"/>
  <c r="T303" i="261"/>
  <c r="V303" i="261"/>
  <c r="W303" i="261" s="1"/>
  <c r="J304" i="261"/>
  <c r="T304" i="261"/>
  <c r="R304" i="261"/>
  <c r="K304" i="261" s="1"/>
  <c r="Q304" i="261"/>
  <c r="V304" i="261"/>
  <c r="W304" i="261"/>
  <c r="J305" i="261"/>
  <c r="R305" i="261"/>
  <c r="K305" i="261" s="1"/>
  <c r="L305" i="261" s="1"/>
  <c r="Q305" i="261"/>
  <c r="T305" i="261"/>
  <c r="V305" i="261"/>
  <c r="W305" i="261" s="1"/>
  <c r="J306" i="261"/>
  <c r="T306" i="261" s="1"/>
  <c r="R306" i="261"/>
  <c r="K306" i="261"/>
  <c r="L306" i="261" s="1"/>
  <c r="P306" i="261"/>
  <c r="Q306" i="261"/>
  <c r="V306" i="261"/>
  <c r="X306" i="261"/>
  <c r="J307" i="261"/>
  <c r="T307" i="261" s="1"/>
  <c r="R307" i="261"/>
  <c r="K307" i="261" s="1"/>
  <c r="P307" i="261"/>
  <c r="Q307" i="261"/>
  <c r="V307" i="261"/>
  <c r="W307" i="261" s="1"/>
  <c r="J308" i="261"/>
  <c r="R308" i="261"/>
  <c r="K308" i="261" s="1"/>
  <c r="Q308" i="261"/>
  <c r="T308" i="261"/>
  <c r="V308" i="261"/>
  <c r="W308" i="261"/>
  <c r="J309" i="261"/>
  <c r="T309" i="261"/>
  <c r="R309" i="261"/>
  <c r="K309" i="261"/>
  <c r="P309" i="261" s="1"/>
  <c r="Q309" i="261"/>
  <c r="V309" i="261"/>
  <c r="W309" i="261"/>
  <c r="J310" i="261"/>
  <c r="T310" i="261" s="1"/>
  <c r="Q310" i="261"/>
  <c r="V310" i="261"/>
  <c r="W310" i="261" s="1"/>
  <c r="J311" i="261"/>
  <c r="T311" i="261" s="1"/>
  <c r="R311" i="261"/>
  <c r="K311" i="261"/>
  <c r="P311" i="261" s="1"/>
  <c r="Q311" i="261"/>
  <c r="V311" i="261"/>
  <c r="W311" i="261" s="1"/>
  <c r="J312" i="261"/>
  <c r="T312" i="261" s="1"/>
  <c r="L312" i="261"/>
  <c r="P312" i="261"/>
  <c r="Q312" i="261"/>
  <c r="R312" i="261"/>
  <c r="V312" i="261"/>
  <c r="W312" i="261" s="1"/>
  <c r="R313" i="261"/>
  <c r="K313" i="261" s="1"/>
  <c r="L313" i="261" s="1"/>
  <c r="P313" i="261"/>
  <c r="Q313" i="261"/>
  <c r="V313" i="261"/>
  <c r="W313" i="261" s="1"/>
  <c r="J314" i="261"/>
  <c r="T314" i="261" s="1"/>
  <c r="R314" i="261"/>
  <c r="K314" i="261" s="1"/>
  <c r="Q314" i="261"/>
  <c r="V314" i="261"/>
  <c r="W314" i="261" s="1"/>
  <c r="R315" i="261"/>
  <c r="K315" i="261" s="1"/>
  <c r="L315" i="261" s="1"/>
  <c r="P315" i="261"/>
  <c r="Q315" i="261"/>
  <c r="V315" i="261"/>
  <c r="X315" i="261"/>
  <c r="R316" i="261"/>
  <c r="K316" i="261" s="1"/>
  <c r="Q316" i="261"/>
  <c r="T316" i="261"/>
  <c r="V316" i="261"/>
  <c r="W316" i="261" s="1"/>
  <c r="X316" i="261"/>
  <c r="J317" i="261"/>
  <c r="T317" i="261"/>
  <c r="R317" i="261"/>
  <c r="K317" i="261"/>
  <c r="P317" i="261" s="1"/>
  <c r="Q317" i="261"/>
  <c r="V317" i="261"/>
  <c r="W317" i="261" s="1"/>
  <c r="R318" i="261"/>
  <c r="K318" i="261" s="1"/>
  <c r="P318" i="261" s="1"/>
  <c r="Q318" i="261"/>
  <c r="T318" i="261"/>
  <c r="V318" i="261"/>
  <c r="W318" i="261" s="1"/>
  <c r="R319" i="261"/>
  <c r="K319" i="261" s="1"/>
  <c r="P319" i="261"/>
  <c r="Q319" i="261"/>
  <c r="T319" i="261"/>
  <c r="V319" i="261"/>
  <c r="W319" i="261"/>
  <c r="R320" i="261"/>
  <c r="K320" i="261" s="1"/>
  <c r="Q320" i="261"/>
  <c r="T320" i="261"/>
  <c r="V320" i="261"/>
  <c r="W320" i="261" s="1"/>
  <c r="R321" i="261"/>
  <c r="K321" i="261"/>
  <c r="P321" i="261" s="1"/>
  <c r="Q321" i="261"/>
  <c r="T321" i="261"/>
  <c r="V321" i="261"/>
  <c r="W321" i="261" s="1"/>
  <c r="R322" i="261"/>
  <c r="K322" i="261" s="1"/>
  <c r="P322" i="261" s="1"/>
  <c r="Q322" i="261"/>
  <c r="T322" i="261"/>
  <c r="V322" i="261"/>
  <c r="W322" i="261" s="1"/>
  <c r="J323" i="261"/>
  <c r="T323" i="261" s="1"/>
  <c r="R323" i="261"/>
  <c r="K323" i="261" s="1"/>
  <c r="L323" i="261" s="1"/>
  <c r="P323" i="261"/>
  <c r="Q323" i="261"/>
  <c r="V323" i="261"/>
  <c r="W323" i="261" s="1"/>
  <c r="R324" i="261"/>
  <c r="K324" i="261" s="1"/>
  <c r="P324" i="261"/>
  <c r="Q324" i="261"/>
  <c r="T324" i="261"/>
  <c r="V324" i="261"/>
  <c r="W324" i="261"/>
  <c r="R325" i="261"/>
  <c r="K325" i="261" s="1"/>
  <c r="P325" i="261" s="1"/>
  <c r="Q325" i="261"/>
  <c r="T325" i="261"/>
  <c r="V325" i="261"/>
  <c r="W325" i="261" s="1"/>
  <c r="J326" i="261"/>
  <c r="R326" i="261"/>
  <c r="K326" i="261" s="1"/>
  <c r="P326" i="261" s="1"/>
  <c r="Q326" i="261"/>
  <c r="T326" i="261"/>
  <c r="V326" i="261"/>
  <c r="W326" i="261" s="1"/>
  <c r="J327" i="261"/>
  <c r="T327" i="261" s="1"/>
  <c r="R327" i="261"/>
  <c r="K327" i="261" s="1"/>
  <c r="P327" i="261" s="1"/>
  <c r="Q327" i="261"/>
  <c r="V327" i="261"/>
  <c r="W327" i="261" s="1"/>
  <c r="L328" i="261"/>
  <c r="Q328" i="261"/>
  <c r="R328" i="261"/>
  <c r="V328" i="261"/>
  <c r="X328" i="261"/>
  <c r="R329" i="261"/>
  <c r="K329" i="261" s="1"/>
  <c r="Q329" i="261"/>
  <c r="V329" i="261"/>
  <c r="X329" i="261"/>
  <c r="J330" i="261"/>
  <c r="T330" i="261" s="1"/>
  <c r="R330" i="261"/>
  <c r="K330" i="261"/>
  <c r="P330" i="261" s="1"/>
  <c r="Q330" i="261"/>
  <c r="V330" i="261"/>
  <c r="W330" i="261" s="1"/>
  <c r="J331" i="261"/>
  <c r="T331" i="261" s="1"/>
  <c r="R331" i="261"/>
  <c r="K331" i="261" s="1"/>
  <c r="P331" i="261" s="1"/>
  <c r="Q331" i="261"/>
  <c r="V331" i="261"/>
  <c r="W331" i="261" s="1"/>
  <c r="R332" i="261"/>
  <c r="K332" i="261" s="1"/>
  <c r="Q332" i="261"/>
  <c r="V332" i="261"/>
  <c r="W332" i="261" s="1"/>
  <c r="R333" i="261"/>
  <c r="K333" i="261" s="1"/>
  <c r="P333" i="261" s="1"/>
  <c r="Q333" i="261"/>
  <c r="T333" i="261"/>
  <c r="V333" i="261"/>
  <c r="W333" i="261" s="1"/>
  <c r="J334" i="261"/>
  <c r="T334" i="261" s="1"/>
  <c r="R334" i="261"/>
  <c r="K334" i="261"/>
  <c r="Q334" i="261"/>
  <c r="V334" i="261"/>
  <c r="W334" i="261" s="1"/>
  <c r="J335" i="261"/>
  <c r="R335" i="261"/>
  <c r="K335" i="261" s="1"/>
  <c r="Q335" i="261"/>
  <c r="T335" i="261"/>
  <c r="V335" i="261"/>
  <c r="W335" i="261" s="1"/>
  <c r="R336" i="261"/>
  <c r="K336" i="261" s="1"/>
  <c r="Q336" i="261"/>
  <c r="T336" i="261"/>
  <c r="V336" i="261"/>
  <c r="X336" i="261"/>
  <c r="W336" i="261" s="1"/>
  <c r="R337" i="261"/>
  <c r="K337" i="261" s="1"/>
  <c r="Q337" i="261"/>
  <c r="T337" i="261"/>
  <c r="V337" i="261"/>
  <c r="X337" i="261"/>
  <c r="W337" i="261" s="1"/>
  <c r="R338" i="261"/>
  <c r="K338" i="261" s="1"/>
  <c r="Q338" i="261"/>
  <c r="V338" i="261"/>
  <c r="W338" i="261" s="1"/>
  <c r="R339" i="261"/>
  <c r="K339" i="261" s="1"/>
  <c r="P339" i="261" s="1"/>
  <c r="Q339" i="261"/>
  <c r="T339" i="261"/>
  <c r="V339" i="261"/>
  <c r="X339" i="261"/>
  <c r="W339" i="261" s="1"/>
  <c r="R340" i="261"/>
  <c r="K340" i="261"/>
  <c r="P340" i="261" s="1"/>
  <c r="Q340" i="261"/>
  <c r="T340" i="261"/>
  <c r="V340" i="261"/>
  <c r="W340" i="261" s="1"/>
  <c r="R341" i="261"/>
  <c r="K341" i="261" s="1"/>
  <c r="L341" i="261" s="1"/>
  <c r="Q341" i="261"/>
  <c r="T341" i="261"/>
  <c r="V341" i="261"/>
  <c r="W341" i="261" s="1"/>
  <c r="Q342" i="261"/>
  <c r="R342" i="261"/>
  <c r="T342" i="261"/>
  <c r="V342" i="261"/>
  <c r="X342" i="261"/>
  <c r="W342" i="261" s="1"/>
  <c r="R343" i="261"/>
  <c r="K343" i="261" s="1"/>
  <c r="L343" i="261" s="1"/>
  <c r="Q343" i="261"/>
  <c r="V343" i="261"/>
  <c r="W343" i="261" s="1"/>
  <c r="J344" i="261"/>
  <c r="T344" i="261" s="1"/>
  <c r="R344" i="261"/>
  <c r="K344" i="261" s="1"/>
  <c r="P344" i="261" s="1"/>
  <c r="Q344" i="261"/>
  <c r="V344" i="261"/>
  <c r="W344" i="261" s="1"/>
  <c r="R345" i="261"/>
  <c r="K345" i="261" s="1"/>
  <c r="L345" i="261" s="1"/>
  <c r="Q345" i="261"/>
  <c r="T345" i="261"/>
  <c r="V345" i="261"/>
  <c r="W345" i="261" s="1"/>
  <c r="J346" i="261"/>
  <c r="T346" i="261" s="1"/>
  <c r="R346" i="261"/>
  <c r="K346" i="261"/>
  <c r="Q346" i="261"/>
  <c r="V346" i="261"/>
  <c r="W346" i="261" s="1"/>
  <c r="J347" i="261"/>
  <c r="R347" i="261"/>
  <c r="K347" i="261" s="1"/>
  <c r="P347" i="261" s="1"/>
  <c r="Q347" i="261"/>
  <c r="T347" i="261"/>
  <c r="V347" i="261"/>
  <c r="W347" i="261" s="1"/>
  <c r="J348" i="261"/>
  <c r="R348" i="261"/>
  <c r="K348" i="261" s="1"/>
  <c r="P348" i="261" s="1"/>
  <c r="Q348" i="261"/>
  <c r="T348" i="261"/>
  <c r="V348" i="261"/>
  <c r="W348" i="261" s="1"/>
  <c r="J349" i="261"/>
  <c r="R349" i="261"/>
  <c r="K349" i="261" s="1"/>
  <c r="P349" i="261" s="1"/>
  <c r="Q349" i="261"/>
  <c r="T349" i="261"/>
  <c r="V349" i="261"/>
  <c r="X349" i="261"/>
  <c r="R350" i="261"/>
  <c r="K350" i="261" s="1"/>
  <c r="P350" i="261" s="1"/>
  <c r="Q350" i="261"/>
  <c r="V350" i="261"/>
  <c r="W350" i="261"/>
  <c r="J351" i="261"/>
  <c r="T351" i="261" s="1"/>
  <c r="R351" i="261"/>
  <c r="K351" i="261" s="1"/>
  <c r="P351" i="261" s="1"/>
  <c r="Q351" i="261"/>
  <c r="V351" i="261"/>
  <c r="W351" i="261" s="1"/>
  <c r="R352" i="261"/>
  <c r="K352" i="261" s="1"/>
  <c r="P352" i="261" s="1"/>
  <c r="Q352" i="261"/>
  <c r="T352" i="261"/>
  <c r="V352" i="261"/>
  <c r="W352" i="261" s="1"/>
  <c r="R353" i="261"/>
  <c r="K353" i="261" s="1"/>
  <c r="P353" i="261" s="1"/>
  <c r="Q353" i="261"/>
  <c r="T353" i="261"/>
  <c r="V353" i="261"/>
  <c r="W353" i="261" s="1"/>
  <c r="R354" i="261"/>
  <c r="K354" i="261" s="1"/>
  <c r="P354" i="261" s="1"/>
  <c r="Q354" i="261"/>
  <c r="T354" i="261"/>
  <c r="V354" i="261"/>
  <c r="W354" i="261" s="1"/>
  <c r="J355" i="261"/>
  <c r="T355" i="261" s="1"/>
  <c r="R355" i="261"/>
  <c r="K355" i="261" s="1"/>
  <c r="P355" i="261" s="1"/>
  <c r="Q355" i="261"/>
  <c r="V355" i="261"/>
  <c r="W355" i="261" s="1"/>
  <c r="J356" i="261"/>
  <c r="R356" i="261"/>
  <c r="K356" i="261" s="1"/>
  <c r="P356" i="261" s="1"/>
  <c r="Q356" i="261"/>
  <c r="T356" i="261"/>
  <c r="V356" i="261"/>
  <c r="W356" i="261" s="1"/>
  <c r="J357" i="261"/>
  <c r="R357" i="261"/>
  <c r="K357" i="261"/>
  <c r="P357" i="261" s="1"/>
  <c r="Q357" i="261"/>
  <c r="T357" i="261"/>
  <c r="V357" i="261"/>
  <c r="W357" i="261" s="1"/>
  <c r="R358" i="261"/>
  <c r="K358" i="261" s="1"/>
  <c r="P358" i="261" s="1"/>
  <c r="Q358" i="261"/>
  <c r="T358" i="261"/>
  <c r="V358" i="261"/>
  <c r="W358" i="261" s="1"/>
  <c r="J359" i="261"/>
  <c r="T359" i="261" s="1"/>
  <c r="R359" i="261"/>
  <c r="K359" i="261" s="1"/>
  <c r="P359" i="261" s="1"/>
  <c r="Q359" i="261"/>
  <c r="V359" i="261"/>
  <c r="X359" i="261"/>
  <c r="R360" i="261"/>
  <c r="K360" i="261" s="1"/>
  <c r="P360" i="261" s="1"/>
  <c r="Q360" i="261"/>
  <c r="T360" i="261"/>
  <c r="V360" i="261"/>
  <c r="W360" i="261"/>
  <c r="J361" i="261"/>
  <c r="T361" i="261" s="1"/>
  <c r="R361" i="261"/>
  <c r="K361" i="261" s="1"/>
  <c r="P361" i="261" s="1"/>
  <c r="Q361" i="261"/>
  <c r="V361" i="261"/>
  <c r="W361" i="261" s="1"/>
  <c r="R362" i="261"/>
  <c r="K362" i="261" s="1"/>
  <c r="P362" i="261" s="1"/>
  <c r="Q362" i="261"/>
  <c r="V362" i="261"/>
  <c r="W362" i="261"/>
  <c r="J363" i="261"/>
  <c r="T363" i="261" s="1"/>
  <c r="R363" i="261"/>
  <c r="K363" i="261" s="1"/>
  <c r="Q363" i="261"/>
  <c r="V363" i="261"/>
  <c r="W363" i="261" s="1"/>
  <c r="R364" i="261"/>
  <c r="K364" i="261" s="1"/>
  <c r="P364" i="261" s="1"/>
  <c r="Q364" i="261"/>
  <c r="T364" i="261"/>
  <c r="V364" i="261"/>
  <c r="W364" i="261" s="1"/>
  <c r="J365" i="261"/>
  <c r="R365" i="261"/>
  <c r="K365" i="261" s="1"/>
  <c r="P365" i="261" s="1"/>
  <c r="Q365" i="261"/>
  <c r="T365" i="261"/>
  <c r="V365" i="261"/>
  <c r="W365" i="261" s="1"/>
  <c r="R366" i="261"/>
  <c r="K366" i="261"/>
  <c r="Q366" i="261"/>
  <c r="T366" i="261"/>
  <c r="V366" i="261"/>
  <c r="W366" i="261" s="1"/>
  <c r="R367" i="261"/>
  <c r="K367" i="261" s="1"/>
  <c r="P367" i="261" s="1"/>
  <c r="Q367" i="261"/>
  <c r="T367" i="261"/>
  <c r="V367" i="261"/>
  <c r="W367" i="261"/>
  <c r="L368" i="261"/>
  <c r="P368" i="261"/>
  <c r="Q368" i="261"/>
  <c r="R368" i="261"/>
  <c r="T368" i="261"/>
  <c r="V368" i="261"/>
  <c r="W368" i="261" s="1"/>
  <c r="R369" i="261"/>
  <c r="K369" i="261" s="1"/>
  <c r="L369" i="261" s="1"/>
  <c r="Q369" i="261"/>
  <c r="T369" i="261"/>
  <c r="V369" i="261"/>
  <c r="W369" i="261" s="1"/>
  <c r="J370" i="261"/>
  <c r="T370" i="261" s="1"/>
  <c r="R370" i="261"/>
  <c r="K370" i="261" s="1"/>
  <c r="Q370" i="261"/>
  <c r="V370" i="261"/>
  <c r="W370" i="261" s="1"/>
  <c r="R371" i="261"/>
  <c r="K371" i="261"/>
  <c r="Q371" i="261"/>
  <c r="T371" i="261"/>
  <c r="V371" i="261"/>
  <c r="W371" i="261"/>
  <c r="R372" i="261"/>
  <c r="K372" i="261" s="1"/>
  <c r="P372" i="261" s="1"/>
  <c r="Q372" i="261"/>
  <c r="T372" i="261"/>
  <c r="V372" i="261"/>
  <c r="W372" i="261" s="1"/>
  <c r="J373" i="261"/>
  <c r="T373" i="261" s="1"/>
  <c r="R373" i="261"/>
  <c r="K373" i="261" s="1"/>
  <c r="P373" i="261"/>
  <c r="Q373" i="261"/>
  <c r="V373" i="261"/>
  <c r="W373" i="261" s="1"/>
  <c r="R374" i="261"/>
  <c r="K374" i="261" s="1"/>
  <c r="P374" i="261" s="1"/>
  <c r="Q374" i="261"/>
  <c r="T374" i="261"/>
  <c r="V374" i="261"/>
  <c r="W374" i="261" s="1"/>
  <c r="R375" i="261"/>
  <c r="K375" i="261" s="1"/>
  <c r="P375" i="261" s="1"/>
  <c r="Q375" i="261"/>
  <c r="T375" i="261"/>
  <c r="V375" i="261"/>
  <c r="R376" i="261"/>
  <c r="K376" i="261" s="1"/>
  <c r="P376" i="261" s="1"/>
  <c r="Q376" i="261"/>
  <c r="T376" i="261"/>
  <c r="V376" i="261"/>
  <c r="W376" i="261"/>
  <c r="J377" i="261"/>
  <c r="T377" i="261" s="1"/>
  <c r="R377" i="261"/>
  <c r="K377" i="261" s="1"/>
  <c r="Q377" i="261"/>
  <c r="V377" i="261"/>
  <c r="W377" i="261" s="1"/>
  <c r="J378" i="261"/>
  <c r="T378" i="261" s="1"/>
  <c r="R378" i="261"/>
  <c r="K378" i="261" s="1"/>
  <c r="Q378" i="261"/>
  <c r="V378" i="261"/>
  <c r="W378" i="261" s="1"/>
  <c r="J379" i="261"/>
  <c r="R379" i="261"/>
  <c r="K379" i="261" s="1"/>
  <c r="P379" i="261" s="1"/>
  <c r="Q379" i="261"/>
  <c r="T379" i="261"/>
  <c r="V379" i="261"/>
  <c r="W379" i="261" s="1"/>
  <c r="R380" i="261"/>
  <c r="K380" i="261"/>
  <c r="Q380" i="261"/>
  <c r="T380" i="261"/>
  <c r="R381" i="261"/>
  <c r="K381" i="261"/>
  <c r="Q381" i="261"/>
  <c r="T381" i="261"/>
  <c r="R382" i="261"/>
  <c r="K382" i="261"/>
  <c r="Q382" i="261"/>
  <c r="T382" i="261"/>
  <c r="R383" i="261"/>
  <c r="K383" i="261"/>
  <c r="P383" i="261" s="1"/>
  <c r="L383" i="261"/>
  <c r="Q383" i="261"/>
  <c r="T383" i="261"/>
  <c r="V383" i="261"/>
  <c r="X383" i="261"/>
  <c r="W383" i="261" s="1"/>
  <c r="R384" i="261"/>
  <c r="K384" i="261" s="1"/>
  <c r="Q384" i="261"/>
  <c r="T384" i="261"/>
  <c r="V384" i="261"/>
  <c r="W384" i="261" s="1"/>
  <c r="R385" i="261"/>
  <c r="K385" i="261" s="1"/>
  <c r="P385" i="261" s="1"/>
  <c r="Q385" i="261"/>
  <c r="T385" i="261"/>
  <c r="V385" i="261"/>
  <c r="W385" i="261" s="1"/>
  <c r="R386" i="261"/>
  <c r="K386" i="261" s="1"/>
  <c r="L386" i="261" s="1"/>
  <c r="P386" i="261"/>
  <c r="Q386" i="261"/>
  <c r="V386" i="261"/>
  <c r="W386" i="261" s="1"/>
  <c r="R387" i="261"/>
  <c r="K387" i="261"/>
  <c r="Q387" i="261"/>
  <c r="V387" i="261"/>
  <c r="W387" i="261"/>
  <c r="P388" i="261"/>
  <c r="Q388" i="261"/>
  <c r="R388" i="261"/>
  <c r="T388" i="261"/>
  <c r="V388" i="261"/>
  <c r="W388" i="261" s="1"/>
  <c r="R389" i="261"/>
  <c r="K389" i="261" s="1"/>
  <c r="Q389" i="261"/>
  <c r="V389" i="261"/>
  <c r="W389" i="261" s="1"/>
  <c r="K390" i="261"/>
  <c r="P390" i="261" s="1"/>
  <c r="Q390" i="261"/>
  <c r="V390" i="261"/>
  <c r="L391" i="261"/>
  <c r="P391" i="261"/>
  <c r="Q391" i="261"/>
  <c r="R391" i="261"/>
  <c r="V391" i="261"/>
  <c r="W391" i="261" s="1"/>
  <c r="Q392" i="261"/>
  <c r="R392" i="261"/>
  <c r="T392" i="261"/>
  <c r="V392" i="261"/>
  <c r="J393" i="261"/>
  <c r="T393" i="261" s="1"/>
  <c r="Q393" i="261"/>
  <c r="R393" i="261"/>
  <c r="V393" i="261"/>
  <c r="J394" i="261"/>
  <c r="T394" i="261" s="1"/>
  <c r="R394" i="261"/>
  <c r="K394" i="261" s="1"/>
  <c r="Q394" i="261"/>
  <c r="V394" i="261"/>
  <c r="W394" i="261" s="1"/>
  <c r="J395" i="261"/>
  <c r="R395" i="261"/>
  <c r="K395" i="261" s="1"/>
  <c r="Q395" i="261"/>
  <c r="T395" i="261"/>
  <c r="V395" i="261"/>
  <c r="W395" i="261" s="1"/>
  <c r="J396" i="261"/>
  <c r="T396" i="261" s="1"/>
  <c r="R396" i="261"/>
  <c r="K396" i="261" s="1"/>
  <c r="P396" i="261" s="1"/>
  <c r="Q396" i="261"/>
  <c r="V396" i="261"/>
  <c r="W396" i="261"/>
  <c r="J397" i="261"/>
  <c r="T397" i="261" s="1"/>
  <c r="R397" i="261"/>
  <c r="K397" i="261"/>
  <c r="P397" i="261" s="1"/>
  <c r="Q397" i="261"/>
  <c r="V397" i="261"/>
  <c r="W397" i="261" s="1"/>
  <c r="J398" i="261"/>
  <c r="T398" i="261" s="1"/>
  <c r="R398" i="261"/>
  <c r="K398" i="261"/>
  <c r="P398" i="261" s="1"/>
  <c r="Q398" i="261"/>
  <c r="V398" i="261"/>
  <c r="W398" i="261"/>
  <c r="P399" i="261"/>
  <c r="Q399" i="261"/>
  <c r="R399" i="261"/>
  <c r="T399" i="261"/>
  <c r="V399" i="261"/>
  <c r="W399" i="261" s="1"/>
  <c r="L400" i="261"/>
  <c r="Q400" i="261"/>
  <c r="V400" i="261"/>
  <c r="X400" i="261"/>
  <c r="W400" i="261" s="1"/>
  <c r="R401" i="261"/>
  <c r="K401" i="261" s="1"/>
  <c r="P401" i="261" s="1"/>
  <c r="Q401" i="261"/>
  <c r="T401" i="261"/>
  <c r="V401" i="261"/>
  <c r="W401" i="261" s="1"/>
  <c r="R402" i="261"/>
  <c r="K402" i="261"/>
  <c r="Q402" i="261"/>
  <c r="V402" i="261"/>
  <c r="W402" i="261" s="1"/>
  <c r="X402" i="261"/>
  <c r="R403" i="261"/>
  <c r="K403" i="261" s="1"/>
  <c r="P403" i="261" s="1"/>
  <c r="Q403" i="261"/>
  <c r="V403" i="261"/>
  <c r="X403" i="261"/>
  <c r="W403" i="261" s="1"/>
  <c r="R405" i="261"/>
  <c r="K405" i="261" s="1"/>
  <c r="P405" i="261" s="1"/>
  <c r="T405" i="261"/>
  <c r="V405" i="261"/>
  <c r="R406" i="261"/>
  <c r="K406" i="261" s="1"/>
  <c r="Q406" i="261"/>
  <c r="V406" i="261"/>
  <c r="X406" i="261"/>
  <c r="R407" i="261"/>
  <c r="K407" i="261" s="1"/>
  <c r="P407" i="261" s="1"/>
  <c r="Q407" i="261"/>
  <c r="T407" i="261"/>
  <c r="V407" i="261"/>
  <c r="X407" i="261"/>
  <c r="W407" i="261"/>
  <c r="J408" i="261"/>
  <c r="T408" i="261" s="1"/>
  <c r="R408" i="261"/>
  <c r="K408" i="261" s="1"/>
  <c r="P408" i="261"/>
  <c r="Q408" i="261"/>
  <c r="V408" i="261"/>
  <c r="W408" i="261" s="1"/>
  <c r="J409" i="261"/>
  <c r="T409" i="261" s="1"/>
  <c r="R409" i="261"/>
  <c r="K409" i="261" s="1"/>
  <c r="P409" i="261" s="1"/>
  <c r="Q409" i="261"/>
  <c r="V409" i="261"/>
  <c r="W409" i="261"/>
  <c r="L410" i="261"/>
  <c r="P410" i="261"/>
  <c r="Q410" i="261"/>
  <c r="R410" i="261"/>
  <c r="V410" i="261"/>
  <c r="W410" i="261" s="1"/>
  <c r="R411" i="261"/>
  <c r="K411" i="261"/>
  <c r="P411" i="261"/>
  <c r="Q411" i="261"/>
  <c r="T411" i="261"/>
  <c r="V411" i="261"/>
  <c r="W411" i="261"/>
  <c r="J412" i="261"/>
  <c r="T412" i="261" s="1"/>
  <c r="V412" i="261"/>
  <c r="R413" i="261"/>
  <c r="K413" i="261" s="1"/>
  <c r="P413" i="261" s="1"/>
  <c r="Q413" i="261"/>
  <c r="T413" i="261"/>
  <c r="V413" i="261"/>
  <c r="X413" i="261"/>
  <c r="W413" i="261"/>
  <c r="R414" i="261"/>
  <c r="K414" i="261" s="1"/>
  <c r="P414" i="261" s="1"/>
  <c r="Q414" i="261"/>
  <c r="T414" i="261"/>
  <c r="V414" i="261"/>
  <c r="W414" i="261" s="1"/>
  <c r="J415" i="261"/>
  <c r="T415" i="261" s="1"/>
  <c r="R415" i="261"/>
  <c r="K415" i="261" s="1"/>
  <c r="L415" i="261" s="1"/>
  <c r="P415" i="261"/>
  <c r="Q415" i="261"/>
  <c r="V415" i="261"/>
  <c r="W415" i="261" s="1"/>
  <c r="X415" i="261"/>
  <c r="J416" i="261"/>
  <c r="T416" i="261" s="1"/>
  <c r="R416" i="261"/>
  <c r="K416" i="261" s="1"/>
  <c r="P416" i="261" s="1"/>
  <c r="Q416" i="261"/>
  <c r="V416" i="261"/>
  <c r="W416" i="261"/>
  <c r="J417" i="261"/>
  <c r="T417" i="261" s="1"/>
  <c r="R417" i="261"/>
  <c r="K417" i="261"/>
  <c r="P417" i="261" s="1"/>
  <c r="Q417" i="261"/>
  <c r="V417" i="261"/>
  <c r="W417" i="261" s="1"/>
  <c r="J418" i="261"/>
  <c r="T418" i="261" s="1"/>
  <c r="R418" i="261"/>
  <c r="K418" i="261" s="1"/>
  <c r="P418" i="261" s="1"/>
  <c r="Q418" i="261"/>
  <c r="V418" i="261"/>
  <c r="W418" i="261"/>
  <c r="J419" i="261"/>
  <c r="T419" i="261" s="1"/>
  <c r="R419" i="261"/>
  <c r="K419" i="261" s="1"/>
  <c r="P419" i="261" s="1"/>
  <c r="Q419" i="261"/>
  <c r="V419" i="261"/>
  <c r="W419" i="261"/>
  <c r="R420" i="261"/>
  <c r="K420" i="261" s="1"/>
  <c r="Q420" i="261"/>
  <c r="V420" i="261"/>
  <c r="X420" i="261"/>
  <c r="R421" i="261"/>
  <c r="K421" i="261" s="1"/>
  <c r="L421" i="261" s="1"/>
  <c r="Q421" i="261"/>
  <c r="T421" i="261"/>
  <c r="V421" i="261"/>
  <c r="X421" i="261"/>
  <c r="R422" i="261"/>
  <c r="K422" i="261" s="1"/>
  <c r="P422" i="261" s="1"/>
  <c r="Q422" i="261"/>
  <c r="T422" i="261"/>
  <c r="V422" i="261"/>
  <c r="W422" i="261"/>
  <c r="R423" i="261"/>
  <c r="K423" i="261" s="1"/>
  <c r="P423" i="261" s="1"/>
  <c r="Q423" i="261"/>
  <c r="T423" i="261"/>
  <c r="V423" i="261"/>
  <c r="W423" i="261" s="1"/>
  <c r="R424" i="261"/>
  <c r="K424" i="261" s="1"/>
  <c r="P424" i="261" s="1"/>
  <c r="Q424" i="261"/>
  <c r="T424" i="261"/>
  <c r="V424" i="261"/>
  <c r="W424" i="261" s="1"/>
  <c r="R425" i="261"/>
  <c r="K425" i="261" s="1"/>
  <c r="P425" i="261" s="1"/>
  <c r="Q425" i="261"/>
  <c r="V425" i="261"/>
  <c r="W425" i="261" s="1"/>
  <c r="R426" i="261"/>
  <c r="K426" i="261" s="1"/>
  <c r="Q426" i="261"/>
  <c r="T426" i="261"/>
  <c r="V426" i="261"/>
  <c r="W426" i="261" s="1"/>
  <c r="R427" i="261"/>
  <c r="K427" i="261"/>
  <c r="Q427" i="261"/>
  <c r="V427" i="261"/>
  <c r="W427" i="261" s="1"/>
  <c r="R428" i="261"/>
  <c r="K428" i="261" s="1"/>
  <c r="L428" i="261" s="1"/>
  <c r="Q428" i="261"/>
  <c r="V428" i="261"/>
  <c r="W428" i="261" s="1"/>
  <c r="K429" i="261"/>
  <c r="P429" i="261"/>
  <c r="Q429" i="261"/>
  <c r="J430" i="261"/>
  <c r="R430" i="261"/>
  <c r="K430" i="261"/>
  <c r="P430" i="261"/>
  <c r="Q430" i="261"/>
  <c r="J431" i="261"/>
  <c r="R431" i="261"/>
  <c r="K431" i="261"/>
  <c r="P431" i="261" s="1"/>
  <c r="Q431" i="261"/>
  <c r="R432" i="261"/>
  <c r="K432" i="261"/>
  <c r="Q432" i="261"/>
  <c r="V432" i="261"/>
  <c r="W432" i="261" s="1"/>
  <c r="R433" i="261"/>
  <c r="K433" i="261" s="1"/>
  <c r="L433" i="261" s="1"/>
  <c r="P433" i="261"/>
  <c r="Q433" i="261"/>
  <c r="V433" i="261"/>
  <c r="W433" i="261" s="1"/>
  <c r="R434" i="261"/>
  <c r="K434" i="261"/>
  <c r="L434" i="261" s="1"/>
  <c r="Q434" i="261"/>
  <c r="T434" i="261"/>
  <c r="V434" i="261"/>
  <c r="W434" i="261"/>
  <c r="R435" i="261"/>
  <c r="K435" i="261" s="1"/>
  <c r="P435" i="261" s="1"/>
  <c r="Q435" i="261"/>
  <c r="T435" i="261"/>
  <c r="V435" i="261"/>
  <c r="R436" i="261"/>
  <c r="K436" i="261" s="1"/>
  <c r="Q436" i="261"/>
  <c r="T436" i="261"/>
  <c r="V436" i="261"/>
  <c r="W436" i="261" s="1"/>
  <c r="R437" i="261"/>
  <c r="K437" i="261" s="1"/>
  <c r="Q437" i="261"/>
  <c r="V437" i="261"/>
  <c r="W437" i="261" s="1"/>
  <c r="R438" i="261"/>
  <c r="K438" i="261"/>
  <c r="L438" i="261"/>
  <c r="Q438" i="261"/>
  <c r="V438" i="261"/>
  <c r="W438" i="261" s="1"/>
  <c r="R439" i="261"/>
  <c r="K439" i="261" s="1"/>
  <c r="L439" i="261" s="1"/>
  <c r="P439" i="261"/>
  <c r="Q439" i="261"/>
  <c r="T439" i="261"/>
  <c r="V439" i="261"/>
  <c r="W439" i="261"/>
  <c r="I440" i="261"/>
  <c r="L432" i="261"/>
  <c r="P432" i="261"/>
  <c r="L420" i="261"/>
  <c r="P420" i="261"/>
  <c r="L403" i="261"/>
  <c r="L402" i="261"/>
  <c r="P402" i="261"/>
  <c r="L395" i="261"/>
  <c r="P395" i="261"/>
  <c r="P345" i="261"/>
  <c r="L336" i="261"/>
  <c r="P336" i="261"/>
  <c r="L335" i="261"/>
  <c r="P335" i="261"/>
  <c r="L320" i="261"/>
  <c r="P320" i="261"/>
  <c r="P305" i="261"/>
  <c r="L294" i="261"/>
  <c r="L272" i="261"/>
  <c r="P272" i="261"/>
  <c r="P438" i="261"/>
  <c r="L437" i="261"/>
  <c r="P437" i="261"/>
  <c r="L436" i="261"/>
  <c r="P436" i="261"/>
  <c r="L427" i="261"/>
  <c r="P427" i="261"/>
  <c r="L426" i="261"/>
  <c r="P426" i="261"/>
  <c r="L387" i="261"/>
  <c r="P387" i="261"/>
  <c r="L384" i="261"/>
  <c r="P384" i="261"/>
  <c r="L371" i="261"/>
  <c r="P371" i="261"/>
  <c r="L370" i="261"/>
  <c r="P370" i="261"/>
  <c r="L363" i="261"/>
  <c r="P363" i="261"/>
  <c r="P341" i="261"/>
  <c r="L338" i="261"/>
  <c r="P338" i="261"/>
  <c r="L304" i="261"/>
  <c r="P304" i="261"/>
  <c r="L299" i="261"/>
  <c r="P299" i="261"/>
  <c r="L277" i="261"/>
  <c r="P277" i="261"/>
  <c r="P267" i="261"/>
  <c r="P247" i="261"/>
  <c r="L245" i="261"/>
  <c r="P242" i="261"/>
  <c r="L239" i="261"/>
  <c r="L237" i="261"/>
  <c r="P235" i="261"/>
  <c r="L230" i="261"/>
  <c r="L227" i="261"/>
  <c r="L226" i="261"/>
  <c r="L224" i="261"/>
  <c r="P214" i="261"/>
  <c r="P213" i="261"/>
  <c r="P212" i="261"/>
  <c r="P211" i="261"/>
  <c r="P182" i="261"/>
  <c r="L176" i="261"/>
  <c r="P176" i="261"/>
  <c r="L175" i="261"/>
  <c r="P175" i="261"/>
  <c r="L174" i="261"/>
  <c r="P174" i="261"/>
  <c r="L170" i="261"/>
  <c r="P170" i="261"/>
  <c r="L165" i="261"/>
  <c r="P165" i="261"/>
  <c r="L161" i="261"/>
  <c r="P161" i="261"/>
  <c r="L142" i="261"/>
  <c r="P142" i="261"/>
  <c r="L139" i="261"/>
  <c r="P139" i="261"/>
  <c r="P136" i="261"/>
  <c r="L136" i="261"/>
  <c r="L127" i="261"/>
  <c r="P127" i="261"/>
  <c r="P124" i="261"/>
  <c r="L124" i="261"/>
  <c r="P122" i="261"/>
  <c r="L122" i="261"/>
  <c r="L102" i="261"/>
  <c r="P102" i="261"/>
  <c r="L15" i="261"/>
  <c r="P15" i="261"/>
  <c r="P210" i="261"/>
  <c r="P208" i="261"/>
  <c r="P205" i="261"/>
  <c r="P201" i="261"/>
  <c r="L195" i="261"/>
  <c r="P195" i="261"/>
  <c r="L192" i="261"/>
  <c r="P192" i="261"/>
  <c r="L184" i="261"/>
  <c r="P184" i="261"/>
  <c r="L177" i="261"/>
  <c r="P177" i="261"/>
  <c r="L172" i="261"/>
  <c r="P172" i="261"/>
  <c r="L168" i="261"/>
  <c r="P168" i="261"/>
  <c r="P164" i="261"/>
  <c r="L162" i="261"/>
  <c r="P162" i="261"/>
  <c r="P137" i="261"/>
  <c r="L137" i="261"/>
  <c r="P130" i="261"/>
  <c r="P120" i="261"/>
  <c r="L120" i="261"/>
  <c r="P119" i="261"/>
  <c r="P106" i="261"/>
  <c r="L106" i="261"/>
  <c r="P101" i="261"/>
  <c r="P100" i="261"/>
  <c r="P92" i="261"/>
  <c r="T159" i="261"/>
  <c r="T157" i="261"/>
  <c r="T155" i="261"/>
  <c r="T153" i="261"/>
  <c r="T151" i="261"/>
  <c r="T149" i="261"/>
  <c r="T115" i="261"/>
  <c r="T114" i="261"/>
  <c r="T93" i="261"/>
  <c r="T70" i="261"/>
  <c r="L69" i="261"/>
  <c r="L63" i="261"/>
  <c r="L57" i="261"/>
  <c r="R54" i="261"/>
  <c r="K54" i="261" s="1"/>
  <c r="T54" i="261"/>
  <c r="R51" i="261"/>
  <c r="K51" i="261"/>
  <c r="P51" i="261" s="1"/>
  <c r="T51" i="261"/>
  <c r="R45" i="261"/>
  <c r="K45" i="261"/>
  <c r="P45" i="261" s="1"/>
  <c r="T45" i="261"/>
  <c r="L40" i="261"/>
  <c r="L35" i="261"/>
  <c r="R29" i="261"/>
  <c r="K29" i="261"/>
  <c r="P29" i="261" s="1"/>
  <c r="T29" i="261"/>
  <c r="L24" i="261"/>
  <c r="R19" i="261"/>
  <c r="K19" i="261" s="1"/>
  <c r="P19" i="261" s="1"/>
  <c r="T19" i="261"/>
  <c r="L13" i="261"/>
  <c r="P10" i="261"/>
  <c r="P7" i="261"/>
  <c r="L6" i="261"/>
  <c r="R220" i="261"/>
  <c r="K220" i="261" s="1"/>
  <c r="P220" i="261" s="1"/>
  <c r="R33" i="261"/>
  <c r="K33" i="261" s="1"/>
  <c r="P33" i="261" s="1"/>
  <c r="T33" i="261"/>
  <c r="W83" i="261"/>
  <c r="T217" i="261"/>
  <c r="R217" i="261"/>
  <c r="K217" i="261"/>
  <c r="P217" i="261" s="1"/>
  <c r="T218" i="261"/>
  <c r="R218" i="261"/>
  <c r="K218" i="261" s="1"/>
  <c r="P218" i="261" s="1"/>
  <c r="T219" i="261"/>
  <c r="R219" i="261"/>
  <c r="K219" i="261"/>
  <c r="T221" i="261"/>
  <c r="R221" i="261"/>
  <c r="K221" i="261"/>
  <c r="P221" i="261" s="1"/>
  <c r="T222" i="261"/>
  <c r="R222" i="261"/>
  <c r="K222" i="261"/>
  <c r="L222" i="261" s="1"/>
  <c r="T79" i="261"/>
  <c r="T50" i="261"/>
  <c r="T52" i="261"/>
  <c r="T72" i="261"/>
  <c r="T77" i="261"/>
  <c r="T141" i="261"/>
  <c r="P222" i="261"/>
  <c r="L221" i="261"/>
  <c r="L218" i="261"/>
  <c r="L220" i="261"/>
  <c r="L70" i="261"/>
  <c r="L54" i="261" l="1"/>
  <c r="P54" i="261"/>
  <c r="R156" i="261"/>
  <c r="K156" i="261" s="1"/>
  <c r="P156" i="261" s="1"/>
  <c r="T156" i="261"/>
  <c r="L84" i="261"/>
  <c r="P84" i="261"/>
  <c r="P241" i="261"/>
  <c r="L241" i="261"/>
  <c r="L217" i="261"/>
  <c r="L332" i="261"/>
  <c r="P332" i="261"/>
  <c r="L316" i="261"/>
  <c r="P316" i="261"/>
  <c r="P276" i="261"/>
  <c r="L276" i="261"/>
  <c r="P258" i="261"/>
  <c r="L258" i="261"/>
  <c r="P207" i="261"/>
  <c r="L207" i="261"/>
  <c r="L249" i="261"/>
  <c r="P249" i="261"/>
  <c r="P206" i="261"/>
  <c r="L206" i="261"/>
  <c r="W421" i="261"/>
  <c r="P421" i="261"/>
  <c r="P369" i="261"/>
  <c r="P346" i="261"/>
  <c r="L346" i="261"/>
  <c r="L286" i="261"/>
  <c r="P286" i="261"/>
  <c r="L183" i="261"/>
  <c r="P183" i="261"/>
  <c r="P334" i="261"/>
  <c r="L334" i="261"/>
  <c r="P200" i="261"/>
  <c r="L200" i="261"/>
  <c r="L190" i="261"/>
  <c r="P190" i="261"/>
  <c r="W359" i="261"/>
  <c r="W315" i="261"/>
  <c r="W306" i="261"/>
  <c r="P257" i="261"/>
  <c r="L246" i="261"/>
  <c r="W238" i="261"/>
  <c r="P199" i="261"/>
  <c r="W196" i="261"/>
  <c r="P178" i="261"/>
  <c r="L104" i="261"/>
  <c r="P104" i="261"/>
  <c r="T7" i="261"/>
  <c r="L7" i="261"/>
  <c r="L125" i="261"/>
  <c r="P125" i="261"/>
  <c r="W349" i="261"/>
  <c r="W329" i="261"/>
  <c r="W255" i="261"/>
  <c r="W235" i="261"/>
  <c r="W206" i="261"/>
  <c r="T437" i="261"/>
  <c r="L133" i="261"/>
  <c r="L103" i="261"/>
  <c r="R55" i="261"/>
  <c r="R53" i="261"/>
  <c r="K53" i="261" s="1"/>
  <c r="P53" i="261" s="1"/>
  <c r="P44" i="261"/>
  <c r="T30" i="261"/>
  <c r="L10" i="261"/>
  <c r="W75" i="261"/>
  <c r="W110" i="261"/>
  <c r="W165" i="261"/>
  <c r="T176" i="261"/>
  <c r="L78" i="261"/>
  <c r="W9" i="261"/>
  <c r="W420" i="261"/>
  <c r="W406" i="261"/>
  <c r="W328" i="261"/>
  <c r="W269" i="261"/>
  <c r="W257" i="261"/>
  <c r="W225" i="261"/>
  <c r="W202" i="261"/>
  <c r="W131" i="261"/>
  <c r="W119" i="261"/>
  <c r="W90" i="261"/>
  <c r="W43" i="261"/>
  <c r="W18" i="261"/>
  <c r="W12" i="261"/>
  <c r="T220" i="261"/>
  <c r="L130" i="261"/>
  <c r="L112" i="261"/>
  <c r="P110" i="261"/>
  <c r="W101" i="261"/>
  <c r="L92" i="261"/>
  <c r="T88" i="261"/>
  <c r="R71" i="261"/>
  <c r="K71" i="261" s="1"/>
  <c r="T35" i="261"/>
  <c r="T32" i="261"/>
  <c r="W15" i="261"/>
  <c r="P14" i="261"/>
  <c r="T12" i="261"/>
  <c r="T6" i="261"/>
  <c r="L219" i="261"/>
  <c r="P219" i="261"/>
  <c r="P209" i="261"/>
  <c r="L209" i="261"/>
  <c r="P77" i="261"/>
  <c r="L77" i="261"/>
  <c r="P27" i="261"/>
  <c r="L27" i="261"/>
  <c r="L314" i="261"/>
  <c r="P314" i="261"/>
  <c r="L232" i="261"/>
  <c r="P232" i="261"/>
  <c r="P215" i="261"/>
  <c r="L215" i="261"/>
  <c r="P79" i="261"/>
  <c r="L79" i="261"/>
  <c r="J179" i="261"/>
  <c r="T179" i="261" s="1"/>
  <c r="P179" i="261"/>
  <c r="T96" i="261"/>
  <c r="L100" i="261"/>
  <c r="P163" i="261"/>
  <c r="P285" i="261"/>
  <c r="P434" i="261"/>
  <c r="L329" i="261"/>
  <c r="P329" i="261"/>
  <c r="L308" i="261"/>
  <c r="P308" i="261"/>
  <c r="P269" i="261"/>
  <c r="L269" i="261"/>
  <c r="L128" i="261"/>
  <c r="P128" i="261"/>
  <c r="L89" i="261"/>
  <c r="T389" i="261"/>
  <c r="L71" i="261"/>
  <c r="P71" i="261"/>
  <c r="P67" i="261"/>
  <c r="L67" i="261"/>
  <c r="L65" i="261"/>
  <c r="P12" i="261"/>
  <c r="L12" i="261"/>
  <c r="U440" i="261"/>
  <c r="W79" i="261"/>
  <c r="W7" i="261"/>
  <c r="X440" i="261"/>
  <c r="J90" i="261"/>
  <c r="T90" i="261" s="1"/>
  <c r="O440" i="261"/>
  <c r="L119" i="261"/>
  <c r="L406" i="261"/>
  <c r="P406" i="261"/>
  <c r="P366" i="261"/>
  <c r="L366" i="261"/>
  <c r="P273" i="261"/>
  <c r="L273" i="261"/>
  <c r="L266" i="261"/>
  <c r="P266" i="261"/>
  <c r="L238" i="261"/>
  <c r="P238" i="261"/>
  <c r="L228" i="261"/>
  <c r="P228" i="261"/>
  <c r="P204" i="261"/>
  <c r="L204" i="261"/>
  <c r="L189" i="261"/>
  <c r="P189" i="261"/>
  <c r="L171" i="261"/>
  <c r="P171" i="261"/>
  <c r="P394" i="261"/>
  <c r="L394" i="261"/>
  <c r="P389" i="261"/>
  <c r="L389" i="261"/>
  <c r="L337" i="261"/>
  <c r="P337" i="261"/>
  <c r="L141" i="261"/>
  <c r="P141" i="261"/>
  <c r="L86" i="261"/>
  <c r="P86" i="261"/>
  <c r="L173" i="261"/>
  <c r="P173" i="261"/>
  <c r="L167" i="261"/>
  <c r="P167" i="261"/>
  <c r="L223" i="261"/>
  <c r="P223" i="261"/>
  <c r="L135" i="261"/>
  <c r="P135" i="261"/>
  <c r="W240" i="261"/>
  <c r="W234" i="261"/>
  <c r="P197" i="261"/>
  <c r="L185" i="261"/>
  <c r="L138" i="261"/>
  <c r="P138" i="261"/>
  <c r="W91" i="261"/>
  <c r="L85" i="261"/>
  <c r="P85" i="261"/>
  <c r="L83" i="261"/>
  <c r="P75" i="261"/>
  <c r="L75" i="261"/>
  <c r="W197" i="261"/>
  <c r="W195" i="261"/>
  <c r="L169" i="261"/>
  <c r="P169" i="261"/>
  <c r="L105" i="261"/>
  <c r="P105" i="261"/>
  <c r="W99" i="261"/>
  <c r="P99" i="261"/>
  <c r="L99" i="261"/>
  <c r="L61" i="261"/>
  <c r="P61" i="261"/>
  <c r="L38" i="261"/>
  <c r="P38" i="261"/>
  <c r="P18" i="261"/>
  <c r="L18" i="261"/>
  <c r="P9" i="261"/>
  <c r="L9" i="261"/>
  <c r="R152" i="261"/>
  <c r="K152" i="261" s="1"/>
  <c r="P152" i="261" s="1"/>
  <c r="T152" i="261"/>
  <c r="W144" i="261"/>
  <c r="L134" i="261"/>
  <c r="L129" i="261"/>
  <c r="L123" i="261"/>
  <c r="P113" i="261"/>
  <c r="W92" i="261"/>
  <c r="P90" i="261"/>
  <c r="P43" i="261"/>
  <c r="P34" i="261"/>
  <c r="L34" i="261"/>
  <c r="L22" i="261"/>
  <c r="P22" i="261"/>
  <c r="W8" i="261"/>
  <c r="W100" i="261"/>
  <c r="W88" i="261"/>
  <c r="W85" i="261"/>
  <c r="W57" i="261"/>
  <c r="W37" i="261"/>
  <c r="L26" i="261"/>
  <c r="P26" i="261"/>
  <c r="R17" i="261"/>
  <c r="T17" i="261"/>
  <c r="T175" i="261"/>
  <c r="L440" i="261" l="1"/>
  <c r="T440" i="261"/>
  <c r="P440" i="261"/>
</calcChain>
</file>

<file path=xl/comments1.xml><?xml version="1.0" encoding="utf-8"?>
<comments xmlns="http://schemas.openxmlformats.org/spreadsheetml/2006/main">
  <authors>
    <author>Admin</author>
  </authors>
  <commentList>
    <comment ref="U3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25 шт*20=500 упак.
</t>
        </r>
      </text>
    </comment>
    <comment ref="X3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25 шт*20=500 упак.
</t>
        </r>
      </text>
    </comment>
    <comment ref="U13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НАМАГ.-2500*36к= 90000 шт.
</t>
        </r>
      </text>
    </comment>
    <comment ref="X13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НАМАГ.-2500*36к= 90000 шт.
</t>
        </r>
      </text>
    </comment>
    <comment ref="U22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N38SH</t>
        </r>
      </text>
    </comment>
    <comment ref="X22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N38SH</t>
        </r>
      </text>
    </comment>
    <comment ref="U226" authorId="0">
      <text>
        <r>
          <rPr>
            <b/>
            <sz val="10"/>
            <color indexed="81"/>
            <rFont val="Tahoma"/>
            <family val="2"/>
            <charset val="204"/>
          </rPr>
          <t>Ad
min:</t>
        </r>
        <r>
          <rPr>
            <sz val="10"/>
            <color indexed="81"/>
            <rFont val="Tahoma"/>
            <family val="2"/>
            <charset val="204"/>
          </rPr>
          <t xml:space="preserve">
1678 шт.-N38SH</t>
        </r>
      </text>
    </comment>
    <comment ref="X226" authorId="0">
      <text>
        <r>
          <rPr>
            <b/>
            <sz val="10"/>
            <color indexed="81"/>
            <rFont val="Tahoma"/>
            <family val="2"/>
            <charset val="204"/>
          </rPr>
          <t>Ad
min:</t>
        </r>
        <r>
          <rPr>
            <sz val="10"/>
            <color indexed="81"/>
            <rFont val="Tahoma"/>
            <family val="2"/>
            <charset val="204"/>
          </rPr>
          <t xml:space="preserve">
1678 шт.-N38SH</t>
        </r>
      </text>
    </comment>
    <comment ref="U227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
</t>
        </r>
      </text>
    </comment>
    <comment ref="X227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
</t>
        </r>
      </text>
    </comment>
    <comment ref="U22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4000 шт.-N38SH
</t>
        </r>
      </text>
    </comment>
    <comment ref="X22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4000 шт.-N38SH
</t>
        </r>
      </text>
    </comment>
    <comment ref="U22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1562 шт-хор.покр.
3000 шт-плох.покр.
</t>
        </r>
      </text>
    </comment>
    <comment ref="X22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1562 шт-хор.покр.
3000 шт-плох.покр.
</t>
        </r>
      </text>
    </comment>
    <comment ref="U23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с цн.покр.
</t>
        </r>
      </text>
    </comment>
    <comment ref="X23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с цн.покр.
</t>
        </r>
      </text>
    </comment>
    <comment ref="U23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D5*3-1 шт намагн. По Д
Д5*3-20 шт N42H</t>
        </r>
      </text>
    </comment>
    <comment ref="X23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D5*3-1 шт намагн. По Д
Д5*3-20 шт N42H</t>
        </r>
      </text>
    </comment>
    <comment ref="X24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10 шт -заготовка
</t>
        </r>
      </text>
    </comment>
    <comment ref="U25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из них 10000 на замену брака
</t>
        </r>
      </text>
    </comment>
    <comment ref="X25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из них 10000 на замену брака
</t>
        </r>
      </text>
    </comment>
    <comment ref="U25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4800-авг.12г-33SH
4620- 38SH</t>
        </r>
      </text>
    </comment>
    <comment ref="X25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4800-авг.12г-33SH
4620- 38SH</t>
        </r>
      </text>
    </comment>
    <comment ref="U26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без покрытия
</t>
        </r>
      </text>
    </comment>
    <comment ref="X26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без покрытия
</t>
        </r>
      </text>
    </comment>
    <comment ref="U26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87 шт намагничены по диаметру 10</t>
        </r>
      </text>
    </comment>
    <comment ref="W268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Admin:пришли в ноябре-10000 шт
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X26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87 шт намагничены по диаметру 10</t>
        </r>
      </text>
    </comment>
    <comment ref="U26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3550-ненамаг.
</t>
        </r>
      </text>
    </comment>
    <comment ref="X26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3550-ненамаг.
</t>
        </r>
      </text>
    </comment>
    <comment ref="U27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
22 шт</t>
        </r>
      </text>
    </comment>
    <comment ref="X27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
22 шт</t>
        </r>
      </text>
    </comment>
    <comment ref="U27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5 шт -без покрытия
9257 шт.- N33M
3633 шт.- 38SH
</t>
        </r>
      </text>
    </comment>
    <comment ref="X27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5 шт -без покрытия
9257 шт.- N33M
3633 шт.- 38SH
</t>
        </r>
      </text>
    </comment>
    <comment ref="E27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N33SH</t>
        </r>
      </text>
    </comment>
    <comment ref="U28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N42SH</t>
        </r>
      </text>
    </comment>
    <comment ref="X28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N42SH</t>
        </r>
      </text>
    </comment>
    <comment ref="U30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37 шт- N38SH 
500 шт.-N38H</t>
        </r>
      </text>
    </comment>
    <comment ref="X30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37 шт- N38SH 
500 шт.-N38H</t>
        </r>
      </text>
    </comment>
    <comment ref="U32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 шт -размагн.
</t>
        </r>
      </text>
    </comment>
    <comment ref="X32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 шт -размагн.
</t>
        </r>
      </text>
    </comment>
    <comment ref="U33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X33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U33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38SH
</t>
        </r>
      </text>
    </comment>
    <comment ref="X33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38SH
</t>
        </r>
      </text>
    </comment>
    <comment ref="U33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14 шт со сколом</t>
        </r>
      </text>
    </comment>
    <comment ref="X33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14 шт со сколом</t>
        </r>
      </text>
    </comment>
    <comment ref="U341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X341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U34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920 шт с цинком
</t>
        </r>
      </text>
    </comment>
    <comment ref="X34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920 шт с цинком
</t>
        </r>
      </text>
    </comment>
    <comment ref="U34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</t>
        </r>
      </text>
    </comment>
    <comment ref="X34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</t>
        </r>
      </text>
    </comment>
    <comment ref="U35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120 шт -размагничены</t>
        </r>
      </text>
    </comment>
    <comment ref="X35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120 шт -размагничены</t>
        </r>
      </text>
    </comment>
    <comment ref="U351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N38SH
</t>
        </r>
      </text>
    </comment>
    <comment ref="X351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N38SH
</t>
        </r>
      </text>
    </comment>
    <comment ref="U35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X356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U36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ненамагничены</t>
        </r>
      </text>
    </comment>
    <comment ref="X364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ненамагничены</t>
        </r>
      </text>
    </comment>
    <comment ref="U36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
</t>
        </r>
      </text>
    </comment>
    <comment ref="X367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
</t>
        </r>
      </text>
    </comment>
    <comment ref="U36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7 шт -размагн.
</t>
        </r>
      </text>
    </comment>
    <comment ref="X368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7 шт -размагн.
</t>
        </r>
      </text>
    </comment>
    <comment ref="U36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есть и размагниченные
</t>
        </r>
      </text>
    </comment>
    <comment ref="X36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есть и размагниченные
</t>
        </r>
      </text>
    </comment>
    <comment ref="U37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</t>
        </r>
      </text>
    </comment>
    <comment ref="X37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</t>
        </r>
      </text>
    </comment>
    <comment ref="U37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
</t>
        </r>
      </text>
    </comment>
    <comment ref="X372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ненамагн
</t>
        </r>
      </text>
    </comment>
    <comment ref="U373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8 шт. -без радиуса скругл. 29 iшт. Не намагн.
</t>
        </r>
      </text>
    </comment>
    <comment ref="X373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8 шт. -без радиуса скругл. 29 iшт. Не намагн.
</t>
        </r>
      </text>
    </comment>
    <comment ref="U37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X37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размагничены
</t>
        </r>
      </text>
    </comment>
    <comment ref="U38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199 шт. -намагничены</t>
        </r>
      </text>
    </comment>
    <comment ref="X389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199 шт. -намагничены</t>
        </r>
      </text>
    </comment>
    <comment ref="U40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св-ва меньше 300- 220-240 мТл</t>
        </r>
      </text>
    </comment>
    <comment ref="X400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св-ва меньше 300- 220-240 мТл</t>
        </r>
      </text>
    </comment>
    <comment ref="U403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
Admin:</t>
        </r>
        <r>
          <rPr>
            <sz val="10"/>
            <color indexed="81"/>
            <rFont val="Tahoma"/>
            <family val="2"/>
            <charset val="204"/>
          </rPr>
          <t xml:space="preserve">
180-160 мТл
 свойства
</t>
        </r>
      </text>
    </comment>
    <comment ref="X403" authorId="0">
      <text>
        <r>
          <rPr>
            <b/>
            <sz val="10"/>
            <color indexed="81"/>
            <rFont val="Tahoma"/>
            <family val="2"/>
            <charset val="204"/>
          </rPr>
          <t xml:space="preserve">
Admin:</t>
        </r>
        <r>
          <rPr>
            <sz val="10"/>
            <color indexed="81"/>
            <rFont val="Tahoma"/>
            <family val="2"/>
            <charset val="204"/>
          </rPr>
          <t xml:space="preserve">
180-160 мТл
 свойства
</t>
        </r>
      </text>
    </comment>
    <comment ref="U40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160 - 170 мТл</t>
        </r>
      </text>
    </comment>
    <comment ref="X405" authorId="0">
      <text>
        <r>
          <rPr>
            <b/>
            <sz val="10"/>
            <color indexed="81"/>
            <rFont val="Tahoma"/>
            <family val="2"/>
            <charset val="204"/>
          </rPr>
          <t>Admin:</t>
        </r>
        <r>
          <rPr>
            <sz val="10"/>
            <color indexed="81"/>
            <rFont val="Tahoma"/>
            <family val="2"/>
            <charset val="204"/>
          </rPr>
          <t xml:space="preserve">
160 - 170 мТл</t>
        </r>
      </text>
    </comment>
  </commentList>
</comments>
</file>

<file path=xl/sharedStrings.xml><?xml version="1.0" encoding="utf-8"?>
<sst xmlns="http://schemas.openxmlformats.org/spreadsheetml/2006/main" count="1951" uniqueCount="764">
  <si>
    <t>шт</t>
  </si>
  <si>
    <t>ОТИБ 757.151.001</t>
  </si>
  <si>
    <t>ОТИБ 757.152.001</t>
  </si>
  <si>
    <t>ИТОГО:</t>
  </si>
  <si>
    <t>Приход на склад за месяц</t>
  </si>
  <si>
    <t>МЛП 1б-04</t>
  </si>
  <si>
    <t>№ по п/п</t>
  </si>
  <si>
    <t>Ед.изм.</t>
  </si>
  <si>
    <t>Остаток на складе</t>
  </si>
  <si>
    <t>28СА250</t>
  </si>
  <si>
    <t>Отпускная  цена</t>
  </si>
  <si>
    <t>Реализовано товара       К-во</t>
  </si>
  <si>
    <t>Цена по произв.затратам в руб.</t>
  </si>
  <si>
    <t>АУИБ 757.159.003</t>
  </si>
  <si>
    <t>затрачена заготовка</t>
  </si>
  <si>
    <t>2000НМ</t>
  </si>
  <si>
    <t>Условное обозначение или номер чертежа</t>
  </si>
  <si>
    <t>Наименование товара</t>
  </si>
  <si>
    <t>Магнит</t>
  </si>
  <si>
    <t>Сердечник</t>
  </si>
  <si>
    <t xml:space="preserve">Сердечник </t>
  </si>
  <si>
    <t>К10х6х4,5</t>
  </si>
  <si>
    <t xml:space="preserve"> Ч22 </t>
  </si>
  <si>
    <t xml:space="preserve"> СГ 210-001 Г5,5х3х7,4</t>
  </si>
  <si>
    <t>Д22,7хд8,2х8,9 ЭПГ 112.001</t>
  </si>
  <si>
    <t>ЮНДКБА</t>
  </si>
  <si>
    <t>Сепаратор</t>
  </si>
  <si>
    <t>г.Минск, ул.Бабушкина, 14</t>
  </si>
  <si>
    <t>П10х20х33</t>
  </si>
  <si>
    <t>П38х27х7,5 (ЭПГ110.088)</t>
  </si>
  <si>
    <t xml:space="preserve"> СпГ210-004 Пг 2,8х2,3х3,5</t>
  </si>
  <si>
    <t xml:space="preserve">АУИБ 757.159.001 </t>
  </si>
  <si>
    <t>Д 8,2х6,4</t>
  </si>
  <si>
    <t>К20х10х5</t>
  </si>
  <si>
    <t>Для производства использована заготовка</t>
  </si>
  <si>
    <t>КЦИР 757.125.001-04</t>
  </si>
  <si>
    <t>к-т</t>
  </si>
  <si>
    <t>ПРЕДПРИЯТИЕ: НП ООО "Эртекс"  СКЛАД ГОТОВОЙ ПРОДУКЦИИ</t>
  </si>
  <si>
    <t>СИДТ  7.770.002 Д36х24х6</t>
  </si>
  <si>
    <t>К85х44х9</t>
  </si>
  <si>
    <t>НЖБ</t>
  </si>
  <si>
    <t>Код в 1С</t>
  </si>
  <si>
    <t>003</t>
  </si>
  <si>
    <t>007</t>
  </si>
  <si>
    <t>064</t>
  </si>
  <si>
    <t>066</t>
  </si>
  <si>
    <t>011</t>
  </si>
  <si>
    <t>014</t>
  </si>
  <si>
    <t>016</t>
  </si>
  <si>
    <t>018</t>
  </si>
  <si>
    <t>019</t>
  </si>
  <si>
    <t>099</t>
  </si>
  <si>
    <t>188</t>
  </si>
  <si>
    <t>069</t>
  </si>
  <si>
    <t>357</t>
  </si>
  <si>
    <t>055</t>
  </si>
  <si>
    <t>133</t>
  </si>
  <si>
    <t>031</t>
  </si>
  <si>
    <t>057</t>
  </si>
  <si>
    <t>212</t>
  </si>
  <si>
    <t>308</t>
  </si>
  <si>
    <t>К38х19х9</t>
  </si>
  <si>
    <t>084</t>
  </si>
  <si>
    <t>021</t>
  </si>
  <si>
    <t>020</t>
  </si>
  <si>
    <t>ЭПГ110.148(П120х35х34)</t>
  </si>
  <si>
    <t>ЭПГ110.149(П90х35х34)</t>
  </si>
  <si>
    <t>317</t>
  </si>
  <si>
    <t>229</t>
  </si>
  <si>
    <t>Приход в рублях</t>
  </si>
  <si>
    <t>394</t>
  </si>
  <si>
    <t>Д5х10</t>
  </si>
  <si>
    <t>КС-37</t>
  </si>
  <si>
    <t>Стержневой  СКЛ Д32-175</t>
  </si>
  <si>
    <t>Ч30</t>
  </si>
  <si>
    <t>С10х40</t>
  </si>
  <si>
    <t>428</t>
  </si>
  <si>
    <t>П8,5х13х8,5</t>
  </si>
  <si>
    <t>С10х26</t>
  </si>
  <si>
    <t>СП210-028</t>
  </si>
  <si>
    <t>173</t>
  </si>
  <si>
    <t>438</t>
  </si>
  <si>
    <t>Якорь магн.однор.(200 шт в к-те)</t>
  </si>
  <si>
    <t>Отпускная  цена для статистики</t>
  </si>
  <si>
    <t>Объем производства  без НДС</t>
  </si>
  <si>
    <t>Д16х4</t>
  </si>
  <si>
    <t>К45х28х8</t>
  </si>
  <si>
    <t xml:space="preserve"> СК210-23 К14х9х 5</t>
  </si>
  <si>
    <t>П32х18х40 ЭПГ110.155</t>
  </si>
  <si>
    <t>П4,8х4х3,8 ЭПГ110.150</t>
  </si>
  <si>
    <t>ЭПГ 110.157 П19х15х14,5</t>
  </si>
  <si>
    <t>П5х5х2</t>
  </si>
  <si>
    <t>серд СТ210-005(Т3,5х1,2х10)</t>
  </si>
  <si>
    <t>571</t>
  </si>
  <si>
    <t>К45х22х7</t>
  </si>
  <si>
    <t>Ш7х7 М2000НМ</t>
  </si>
  <si>
    <t>П3х6х7</t>
  </si>
  <si>
    <t>П24х18х14 АБПК 757.153.028</t>
  </si>
  <si>
    <t>535</t>
  </si>
  <si>
    <t>П10х10х7</t>
  </si>
  <si>
    <t>Ш12х15</t>
  </si>
  <si>
    <t>К20х12х6 с п/п</t>
  </si>
  <si>
    <t xml:space="preserve"> Остаток на  сумму по произ.себес.без косв. налогов в рублях</t>
  </si>
  <si>
    <t>594</t>
  </si>
  <si>
    <t>43.3701-200211 (S)</t>
  </si>
  <si>
    <t>43.3701-200211 (N)</t>
  </si>
  <si>
    <t>593</t>
  </si>
  <si>
    <t>ЭПГ110.158(П50х35х40)</t>
  </si>
  <si>
    <t>К36х18х6</t>
  </si>
  <si>
    <t>Ш 10х10</t>
  </si>
  <si>
    <t>К10х6х4,5 с п/п</t>
  </si>
  <si>
    <t>559</t>
  </si>
  <si>
    <t>Ч36</t>
  </si>
  <si>
    <t>ЖЕ7.074.896   (К14,2*9,5*4,6)</t>
  </si>
  <si>
    <t>К72*32*10</t>
  </si>
  <si>
    <t>602</t>
  </si>
  <si>
    <t>612</t>
  </si>
  <si>
    <t>611</t>
  </si>
  <si>
    <t>477</t>
  </si>
  <si>
    <t>Загот.сердечника ЕЕ25Д -19500 ,ЕЕ25Е-1000   шт</t>
  </si>
  <si>
    <t>Загот.сердечника ЕЕ42/21/15-1070    шт</t>
  </si>
  <si>
    <t>ЖЕ7.074.975   (К23,6*9,5*21)</t>
  </si>
  <si>
    <t xml:space="preserve">К28х16х9 </t>
  </si>
  <si>
    <t>Д5х3</t>
  </si>
  <si>
    <t>624</t>
  </si>
  <si>
    <t>538</t>
  </si>
  <si>
    <t>050</t>
  </si>
  <si>
    <t>П3х3х4 (ЭПГ 111.022)</t>
  </si>
  <si>
    <t>Магнитопласт</t>
  </si>
  <si>
    <t>К21,5х15х2 (8ПМ610.033)</t>
  </si>
  <si>
    <t>ПП30*15*10</t>
  </si>
  <si>
    <t>Заг.магн.ЮНДК Д5х16- 15 шт.</t>
  </si>
  <si>
    <t>СКЛ   Д22х90</t>
  </si>
  <si>
    <t>ЭПГ110.084</t>
  </si>
  <si>
    <t>43.3701-200212(К36х18х6)</t>
  </si>
  <si>
    <t>магнит</t>
  </si>
  <si>
    <t>К21х7х25</t>
  </si>
  <si>
    <t>П2,5х2,5х2</t>
  </si>
  <si>
    <t>Ш6х6 М2000НМ1</t>
  </si>
  <si>
    <t>600НН</t>
  </si>
  <si>
    <t>5000НМ</t>
  </si>
  <si>
    <t>6БИ240</t>
  </si>
  <si>
    <t>К 20х12х6</t>
  </si>
  <si>
    <t>К45х28х12</t>
  </si>
  <si>
    <t>П7х7х4,8</t>
  </si>
  <si>
    <t>С10х200 М400НН</t>
  </si>
  <si>
    <t>400НН</t>
  </si>
  <si>
    <t>К38х19х9 п/п</t>
  </si>
  <si>
    <t>П17х6х2</t>
  </si>
  <si>
    <t>магнит Ne-Fe-B П17х6х2 -10 шт</t>
  </si>
  <si>
    <t>Д10х3</t>
  </si>
  <si>
    <t>Серд. DМР30 Н38-1000 шт</t>
  </si>
  <si>
    <t>Д13.5х4,5 (ненамаг)</t>
  </si>
  <si>
    <t>С6х30</t>
  </si>
  <si>
    <t>получен из магнита Н=4,5 мм</t>
  </si>
  <si>
    <t>Ш42х21х13</t>
  </si>
  <si>
    <t>К12х3х4,5</t>
  </si>
  <si>
    <t>Д5х2</t>
  </si>
  <si>
    <t>ПРИХОД</t>
  </si>
  <si>
    <t>к10</t>
  </si>
  <si>
    <t>П84х64х14</t>
  </si>
  <si>
    <t>Магнит КС Д5х2,5-25 шт</t>
  </si>
  <si>
    <t xml:space="preserve">Ш20х28 </t>
  </si>
  <si>
    <t>657</t>
  </si>
  <si>
    <t>П10х20х33-Литопласт</t>
  </si>
  <si>
    <t>П32х27х18</t>
  </si>
  <si>
    <t>ЭПГ110.166 (16х15х12)</t>
  </si>
  <si>
    <t>СК95х56х40х3,2</t>
  </si>
  <si>
    <t>Магнит НЖБR47хr28х3,2 -100 шт</t>
  </si>
  <si>
    <t>магнит НЖБД6х30-37 шт</t>
  </si>
  <si>
    <t>Заг.магн. НЖБ Д11х62-80 шт</t>
  </si>
  <si>
    <t>К10х6х3</t>
  </si>
  <si>
    <t>ЖЕ7.074.978   (Д14)</t>
  </si>
  <si>
    <t>024</t>
  </si>
  <si>
    <t>413</t>
  </si>
  <si>
    <t>010</t>
  </si>
  <si>
    <t>25БА170</t>
  </si>
  <si>
    <t>013</t>
  </si>
  <si>
    <t>839</t>
  </si>
  <si>
    <t>649</t>
  </si>
  <si>
    <t>831</t>
  </si>
  <si>
    <t xml:space="preserve">Д9х3 </t>
  </si>
  <si>
    <t>619</t>
  </si>
  <si>
    <t>826</t>
  </si>
  <si>
    <t>К9,7х4,5х12,5</t>
  </si>
  <si>
    <t>Д3х6</t>
  </si>
  <si>
    <t>Ш6х6 М2500НМ</t>
  </si>
  <si>
    <t>894</t>
  </si>
  <si>
    <t>164</t>
  </si>
  <si>
    <t xml:space="preserve">     </t>
  </si>
  <si>
    <t>902</t>
  </si>
  <si>
    <t>2500НМ</t>
  </si>
  <si>
    <t>514</t>
  </si>
  <si>
    <t>П98х42х32</t>
  </si>
  <si>
    <t>П8,5х8,5х13</t>
  </si>
  <si>
    <t>К16 х  10  х 4,5 c  п/п</t>
  </si>
  <si>
    <t>629</t>
  </si>
  <si>
    <t>510</t>
  </si>
  <si>
    <t>929</t>
  </si>
  <si>
    <t>469</t>
  </si>
  <si>
    <t>П40х40х8</t>
  </si>
  <si>
    <t>6000НМ</t>
  </si>
  <si>
    <t>Ш6х6 М6000НМ</t>
  </si>
  <si>
    <t>Заг.сердеч.R7K   ЕЕ24Д- 25920 шт</t>
  </si>
  <si>
    <t>Магнит НЖБ П 40х20х20-6 шт+обр.с 2 отв.-2 шт.</t>
  </si>
  <si>
    <t>ПС6х25</t>
  </si>
  <si>
    <t>С8х160 М400НН</t>
  </si>
  <si>
    <t>К85х32х9</t>
  </si>
  <si>
    <t>Д3х2</t>
  </si>
  <si>
    <t>С DMR30 ЕС49А2-100 шт.</t>
  </si>
  <si>
    <t>Акт на сепараторы</t>
  </si>
  <si>
    <t>Д11х5</t>
  </si>
  <si>
    <t>ЭПГ110.165(К45*22*6)</t>
  </si>
  <si>
    <t>Д6х2</t>
  </si>
  <si>
    <t>П24х10х5 (Метиз)</t>
  </si>
  <si>
    <t>422</t>
  </si>
  <si>
    <t>954</t>
  </si>
  <si>
    <t>103</t>
  </si>
  <si>
    <t>042</t>
  </si>
  <si>
    <t>П40х20х10</t>
  </si>
  <si>
    <t>Марка материала</t>
  </si>
  <si>
    <t>38</t>
  </si>
  <si>
    <t>Д18х3</t>
  </si>
  <si>
    <t>Д3х3</t>
  </si>
  <si>
    <t>Д3х4</t>
  </si>
  <si>
    <t>Д3,5х3</t>
  </si>
  <si>
    <t>Д4,5х3</t>
  </si>
  <si>
    <t>Д10х0,5</t>
  </si>
  <si>
    <t>Д10х1</t>
  </si>
  <si>
    <t>М НЖБ Д3х4-2 шт</t>
  </si>
  <si>
    <t>П32х18х27</t>
  </si>
  <si>
    <t>964</t>
  </si>
  <si>
    <t>981</t>
  </si>
  <si>
    <t>022</t>
  </si>
  <si>
    <t>К36х18х6 намагн.с заниж.Д</t>
  </si>
  <si>
    <t>Ч14</t>
  </si>
  <si>
    <t>.</t>
  </si>
  <si>
    <t>М НЖБ Д6х3- 400 шт</t>
  </si>
  <si>
    <t>М  НЖБ Д8х10- 20 шт.</t>
  </si>
  <si>
    <t>М  НЖБ Д8х4- 100 шт.</t>
  </si>
  <si>
    <t>Д3х5</t>
  </si>
  <si>
    <t>738</t>
  </si>
  <si>
    <t>Д3,5х2 с цн.пок.</t>
  </si>
  <si>
    <t xml:space="preserve">Д3,5х2 </t>
  </si>
  <si>
    <t>П30х30х15</t>
  </si>
  <si>
    <t>К14,5х10х3,3 ЭПГ110.173</t>
  </si>
  <si>
    <t>П20х10х7,5</t>
  </si>
  <si>
    <t>П24х10х5,6</t>
  </si>
  <si>
    <t>СМУ-СКЛ НЖБ- 22х120</t>
  </si>
  <si>
    <t>П30х15х10</t>
  </si>
  <si>
    <t>П40х40х10</t>
  </si>
  <si>
    <t>П26х19х3</t>
  </si>
  <si>
    <t>934</t>
  </si>
  <si>
    <t>807</t>
  </si>
  <si>
    <t>318</t>
  </si>
  <si>
    <t>М НЖБ П40х40х12- 2шт</t>
  </si>
  <si>
    <t>М НЖБ П14х7х2,3-100 шт.</t>
  </si>
  <si>
    <t>М НЖБ П14х7х2,3- 60 шт.</t>
  </si>
  <si>
    <t>М НЖБ  Д28х8 -4 шт</t>
  </si>
  <si>
    <t>С SQ2K Е30х16х10-110 шт</t>
  </si>
  <si>
    <t>К36х13х8</t>
  </si>
  <si>
    <t>056</t>
  </si>
  <si>
    <t>ЭПГ110.151-01</t>
  </si>
  <si>
    <t>Д5х6 ЭПГ111.035</t>
  </si>
  <si>
    <t>1070</t>
  </si>
  <si>
    <t>1068</t>
  </si>
  <si>
    <t>П7х7х2,5</t>
  </si>
  <si>
    <t>П42х42х47</t>
  </si>
  <si>
    <t>М Д45*22*7 -2360 шт.</t>
  </si>
  <si>
    <t>С К16х10- 50 шт.</t>
  </si>
  <si>
    <t>Магнит КС П35*55*3-5шт</t>
  </si>
  <si>
    <t>М КС П45*55*24-1 шт.</t>
  </si>
  <si>
    <t>П34х19х3</t>
  </si>
  <si>
    <t>К40х24х3,5</t>
  </si>
  <si>
    <t>К24,3х16,2х4</t>
  </si>
  <si>
    <t>К61х24х8</t>
  </si>
  <si>
    <t>С10х100</t>
  </si>
  <si>
    <t>Д4х2</t>
  </si>
  <si>
    <t xml:space="preserve">Д5х5 </t>
  </si>
  <si>
    <t>Д10х2</t>
  </si>
  <si>
    <t>Д8х2</t>
  </si>
  <si>
    <t>Д8х3</t>
  </si>
  <si>
    <t>Д12х3</t>
  </si>
  <si>
    <t>К15х5х5</t>
  </si>
  <si>
    <t>ЭПГ110.135(Д32х8х8)</t>
  </si>
  <si>
    <t xml:space="preserve">малая Фронда П24х12х10 </t>
  </si>
  <si>
    <t>ЦИКС 741611018(П34х19х6)</t>
  </si>
  <si>
    <t>ИЖКС 005 (27х18х11)</t>
  </si>
  <si>
    <t>ИЖКС 007 (31х19х11)</t>
  </si>
  <si>
    <t>ЭПГ-110.086 (П37х27х4,5)</t>
  </si>
  <si>
    <t>Д40х10</t>
  </si>
  <si>
    <t>К12,5х5,2х7</t>
  </si>
  <si>
    <t>1091</t>
  </si>
  <si>
    <t>1084</t>
  </si>
  <si>
    <t>1082</t>
  </si>
  <si>
    <t>1077</t>
  </si>
  <si>
    <t>П50х30х5</t>
  </si>
  <si>
    <t>П41,5х23х1,5</t>
  </si>
  <si>
    <t>029</t>
  </si>
  <si>
    <t>Д8,2х3</t>
  </si>
  <si>
    <t>Д7х10 без покр.</t>
  </si>
  <si>
    <t>Д7,9х10 с цн.пок.</t>
  </si>
  <si>
    <t>К47х20х15</t>
  </si>
  <si>
    <t>П18х18х3</t>
  </si>
  <si>
    <t>П10х4х1</t>
  </si>
  <si>
    <t>П30х20х10</t>
  </si>
  <si>
    <t>Д20х3</t>
  </si>
  <si>
    <t>Д9,5х4х40</t>
  </si>
  <si>
    <t>П98х23х30</t>
  </si>
  <si>
    <t>С8,2х24 ЭПГ110.001</t>
  </si>
  <si>
    <t>К26,6х11х0,7</t>
  </si>
  <si>
    <t>П31х26х4</t>
  </si>
  <si>
    <t>П50х43х12,5</t>
  </si>
  <si>
    <t>913</t>
  </si>
  <si>
    <t>П5х5х4</t>
  </si>
  <si>
    <t>П5х5х5</t>
  </si>
  <si>
    <t>К7х4х2</t>
  </si>
  <si>
    <t>П15х9х5</t>
  </si>
  <si>
    <t>МД61х8-10 шт.</t>
  </si>
  <si>
    <t>Фер.М2000НМ К7х4х2 - 10 шт.</t>
  </si>
  <si>
    <t>Магнит НЖБ Д 8,2х24- 100 шт.</t>
  </si>
  <si>
    <t>М НЖБ П50х3-2 шт</t>
  </si>
  <si>
    <t>М-КС П20х10-200 шт.</t>
  </si>
  <si>
    <t>К20х8х5</t>
  </si>
  <si>
    <t>Д12х5,5</t>
  </si>
  <si>
    <t>акт на порошок</t>
  </si>
  <si>
    <t>К102х56х12</t>
  </si>
  <si>
    <t>22РА220</t>
  </si>
  <si>
    <t>1132</t>
  </si>
  <si>
    <t>921</t>
  </si>
  <si>
    <t>Д5х3 С  ЦН.ПОК.</t>
  </si>
  <si>
    <t>ВМ-1950.5679.13.03.003 (Д16х3)</t>
  </si>
  <si>
    <t>К22х6,2х3,2(ПМ-36Б-200)</t>
  </si>
  <si>
    <t>П14х7х2,5 для Рифтека</t>
  </si>
  <si>
    <t>КС П35х55х3-34 шт.</t>
  </si>
  <si>
    <t>К17х8,2х5</t>
  </si>
  <si>
    <t xml:space="preserve">Ш7х7 </t>
  </si>
  <si>
    <t>871</t>
  </si>
  <si>
    <t>П40х10х5</t>
  </si>
  <si>
    <t>Фер.М2000НМ К17х8,2х5 - 427 шт.</t>
  </si>
  <si>
    <t>К19,5х10,2х3,2</t>
  </si>
  <si>
    <t>Д20х6</t>
  </si>
  <si>
    <t>1029</t>
  </si>
  <si>
    <t>746</t>
  </si>
  <si>
    <t>731</t>
  </si>
  <si>
    <t>1152</t>
  </si>
  <si>
    <t>1158</t>
  </si>
  <si>
    <t>С R7K ЕЕ24-1728 шт.</t>
  </si>
  <si>
    <t>П8х3х0,7</t>
  </si>
  <si>
    <t xml:space="preserve">п30х16х3 R50 </t>
  </si>
  <si>
    <t>П40х40х2</t>
  </si>
  <si>
    <t>1167</t>
  </si>
  <si>
    <t>Д8х2,5</t>
  </si>
  <si>
    <t>П10х10х0,5</t>
  </si>
  <si>
    <t>П40х10х10</t>
  </si>
  <si>
    <t>П20х10х5</t>
  </si>
  <si>
    <t>М НЖБ П10х4х1-500 шт.</t>
  </si>
  <si>
    <t>Д5х6 нжб1400</t>
  </si>
  <si>
    <t xml:space="preserve">П3,5х2х4 </t>
  </si>
  <si>
    <t>П88х50х12,5</t>
  </si>
  <si>
    <t>К80х10х10</t>
  </si>
  <si>
    <t>К60х36х20</t>
  </si>
  <si>
    <t xml:space="preserve">проверено </t>
  </si>
  <si>
    <t>М НЖБ Д6х3-20 шт</t>
  </si>
  <si>
    <t>М НЖБ Д11х15-100 шт</t>
  </si>
  <si>
    <t>ЭПГ-110.093</t>
  </si>
  <si>
    <t>ЭПГ-110.103</t>
  </si>
  <si>
    <t>ЭПГ-110.102</t>
  </si>
  <si>
    <t>ЭПГ 110.139 (К18х10х6)</t>
  </si>
  <si>
    <t>Пробка магнит</t>
  </si>
  <si>
    <t>ПМ-8</t>
  </si>
  <si>
    <t>К36х5х10</t>
  </si>
  <si>
    <t>772</t>
  </si>
  <si>
    <t>398</t>
  </si>
  <si>
    <t>884</t>
  </si>
  <si>
    <t>1003</t>
  </si>
  <si>
    <t>Д8х24</t>
  </si>
  <si>
    <t>С DMR30-38 -1000 шт</t>
  </si>
  <si>
    <t>М НЖБ Д8,2х24 -5 шт.</t>
  </si>
  <si>
    <t>Д25х15</t>
  </si>
  <si>
    <t>П98х64х14</t>
  </si>
  <si>
    <t>Д6х30</t>
  </si>
  <si>
    <t>П20х5х2</t>
  </si>
  <si>
    <t>П5х2х20</t>
  </si>
  <si>
    <t>1171</t>
  </si>
  <si>
    <t>1193</t>
  </si>
  <si>
    <t>1192</t>
  </si>
  <si>
    <t>п33х20х2,5</t>
  </si>
  <si>
    <t>К72х32х12</t>
  </si>
  <si>
    <t>К36х8х8</t>
  </si>
  <si>
    <t>Ш  4х4 М2000НМ</t>
  </si>
  <si>
    <t>19800 шт на размол для получения порошка</t>
  </si>
  <si>
    <t>Д30х10</t>
  </si>
  <si>
    <t>1231</t>
  </si>
  <si>
    <t>1211</t>
  </si>
  <si>
    <t>16БА190</t>
  </si>
  <si>
    <t>ЕАЖИ 757.155.066 (пластина)</t>
  </si>
  <si>
    <t>ЕАЖИ 757.156.066 (замыкающая)</t>
  </si>
  <si>
    <t>К32х8,2х8</t>
  </si>
  <si>
    <t>С6х3 НЖБ1400-100 град</t>
  </si>
  <si>
    <t>1233</t>
  </si>
  <si>
    <t>КС П40х55х3-7 шт.</t>
  </si>
  <si>
    <t>Д 8х15</t>
  </si>
  <si>
    <t>ЭПГ 110.107(К30х5(10)х8)</t>
  </si>
  <si>
    <t>К22,8х8,2х8,9</t>
  </si>
  <si>
    <t>П5х5х3</t>
  </si>
  <si>
    <t xml:space="preserve">М НЖБ П14х7х2,3-1шт </t>
  </si>
  <si>
    <t>П20х16х2,5</t>
  </si>
  <si>
    <t>П24х14х10</t>
  </si>
  <si>
    <t>1145</t>
  </si>
  <si>
    <t>1247</t>
  </si>
  <si>
    <t>С ЕЕ24D-1450 шт.</t>
  </si>
  <si>
    <t>АКТ- расчет на списание магнитов для ремонта</t>
  </si>
  <si>
    <t>М- ЮНДК П45х55х24-1 шт</t>
  </si>
  <si>
    <t>М НЖБ Д28х8-100 шт</t>
  </si>
  <si>
    <t>Д7,9х10</t>
  </si>
  <si>
    <t>П50х40х10</t>
  </si>
  <si>
    <t>П50х40х5</t>
  </si>
  <si>
    <t>Д16х3 ВМ-1950.5679.13.03.003</t>
  </si>
  <si>
    <t>П55х40х3</t>
  </si>
  <si>
    <t>П55х24х3</t>
  </si>
  <si>
    <t>П14х7х2,4</t>
  </si>
  <si>
    <t>П7х6х3</t>
  </si>
  <si>
    <t>Д40х5х3</t>
  </si>
  <si>
    <t>Д40х5х2</t>
  </si>
  <si>
    <t>П 5х5х20 (ЭПГ110.156)</t>
  </si>
  <si>
    <t>Д40х9</t>
  </si>
  <si>
    <t>1262</t>
  </si>
  <si>
    <t>П30х30х9</t>
  </si>
  <si>
    <t>К35х5(10)х6</t>
  </si>
  <si>
    <t>К25х5,5(10)х5</t>
  </si>
  <si>
    <t>Д8х10</t>
  </si>
  <si>
    <t>П10х10х4</t>
  </si>
  <si>
    <t>К11,2х7х15</t>
  </si>
  <si>
    <t>1245</t>
  </si>
  <si>
    <t>М НЖБ Д8*3 - 300 шт.</t>
  </si>
  <si>
    <t>АУИБ 757.159.004</t>
  </si>
  <si>
    <t>Д15х7х5</t>
  </si>
  <si>
    <t>М НЖБ П20х10х8-50 шт</t>
  </si>
  <si>
    <t>М НЖБ П40х40х10-4 шт</t>
  </si>
  <si>
    <t>К60х25х9</t>
  </si>
  <si>
    <t>С  R5K R14*5-1000 шт</t>
  </si>
  <si>
    <t>П2х3.5х3.8 DFM</t>
  </si>
  <si>
    <t>П7х8х17</t>
  </si>
  <si>
    <t>П50х8,5х2,7(БРАС757157.001)</t>
  </si>
  <si>
    <t>П50х8,5х2,7(БРАС757157.001-01)</t>
  </si>
  <si>
    <t>д12х4 нжб1200-150</t>
  </si>
  <si>
    <t>Д12х2</t>
  </si>
  <si>
    <t>П10х5х5</t>
  </si>
  <si>
    <t>972</t>
  </si>
  <si>
    <t>1303</t>
  </si>
  <si>
    <t xml:space="preserve">М НЖБ П40х40х9-230шт </t>
  </si>
  <si>
    <t>М НЖБ Д5х3- 50 шт</t>
  </si>
  <si>
    <t>М НЖБ Д8х4 -1100шт.</t>
  </si>
  <si>
    <t>М НЖБ Д12х5 -50шт.</t>
  </si>
  <si>
    <t>М П10х10х8-5 шт</t>
  </si>
  <si>
    <t>30М7115.01.30.007(П27х24х27)</t>
  </si>
  <si>
    <t>Д10*12</t>
  </si>
  <si>
    <t>Д40х5</t>
  </si>
  <si>
    <t>П7х6х2,5</t>
  </si>
  <si>
    <t>Д5х2,5</t>
  </si>
  <si>
    <t>МД72х12-12 шт</t>
  </si>
  <si>
    <t>М НЖБ Д20х5- 18 шт</t>
  </si>
  <si>
    <t>Э.200116.020-01 П50х37х13</t>
  </si>
  <si>
    <t>К22,4х8,9х10 ЭПГ110.138</t>
  </si>
  <si>
    <t>магнитопл П250х25х1</t>
  </si>
  <si>
    <t>Д8х4 ЭПГ111.011</t>
  </si>
  <si>
    <t>1322</t>
  </si>
  <si>
    <t>МД36-115 шт.</t>
  </si>
  <si>
    <t>М.гиб.рез-1 шт.</t>
  </si>
  <si>
    <t>С SQ2K P3622-200 шт</t>
  </si>
  <si>
    <t>М НЖБ Д4х2-80 шт+Д5х2-1360шт.</t>
  </si>
  <si>
    <t>М НЖБN35 8/00-2,5-6 шт</t>
  </si>
  <si>
    <t>М НЖБ Д5х6 -10 шт</t>
  </si>
  <si>
    <t>М НЖБ Д8х5 -66шт</t>
  </si>
  <si>
    <t>П84*66-8 шт</t>
  </si>
  <si>
    <t>К86х32х9 Кр.Борец</t>
  </si>
  <si>
    <t>П50х55х10</t>
  </si>
  <si>
    <t>К38х24х7</t>
  </si>
  <si>
    <t>К23х10х7</t>
  </si>
  <si>
    <t>П84*66-10 шт</t>
  </si>
  <si>
    <t>М НЖБ д30х7- 8 шт</t>
  </si>
  <si>
    <t>К14,5х6х22, К29х6х22</t>
  </si>
  <si>
    <t>К16х10х4,5</t>
  </si>
  <si>
    <t>П98х32х42</t>
  </si>
  <si>
    <t>П5,5х1,5х5,5</t>
  </si>
  <si>
    <t>П5,5х2х5,5</t>
  </si>
  <si>
    <t>П5,5х2,5х5,5</t>
  </si>
  <si>
    <t>C4х32</t>
  </si>
  <si>
    <t>магнит в оправе Д20+-0,5</t>
  </si>
  <si>
    <t>П27х24х27</t>
  </si>
  <si>
    <t>909</t>
  </si>
  <si>
    <t>910</t>
  </si>
  <si>
    <t>1352</t>
  </si>
  <si>
    <t>Д12х5</t>
  </si>
  <si>
    <t>Д12х25</t>
  </si>
  <si>
    <t>Д8х3(5)х2</t>
  </si>
  <si>
    <t>П4х4х3 б/п</t>
  </si>
  <si>
    <t>Д10х5</t>
  </si>
  <si>
    <t>МД85х9-20 шт.</t>
  </si>
  <si>
    <t>М НЖБ П50х30х5- 4 шт.</t>
  </si>
  <si>
    <t>М КС П24х55х3-2 шт</t>
  </si>
  <si>
    <t>П10х7х2,5</t>
  </si>
  <si>
    <t>Плоский магнит "стрелка"</t>
  </si>
  <si>
    <t>Кольцевой магнит большой Д17 со вставкой(110.045)</t>
  </si>
  <si>
    <t xml:space="preserve"> Малый Д5 со звездочкой (110.015)</t>
  </si>
  <si>
    <t>Кольцевой магнит большой усиленной намагниченности</t>
  </si>
  <si>
    <t>Круглый магнит аурикулярный Д2,5</t>
  </si>
  <si>
    <t>Круглый магнит малый Д3,5</t>
  </si>
  <si>
    <t>Круглый магнит большой Д5</t>
  </si>
  <si>
    <t>Кольцевой магнит малый Д11 со вставкой (110.044)</t>
  </si>
  <si>
    <t>4х кольцевой магнит</t>
  </si>
  <si>
    <t xml:space="preserve"> Односторонний под наклейку  Д7</t>
  </si>
  <si>
    <t xml:space="preserve"> Большой Д7 со звездочкой (110.015)</t>
  </si>
  <si>
    <t>30М.14.2990.011(Д19,8х6)</t>
  </si>
  <si>
    <t>П25х14х7</t>
  </si>
  <si>
    <t>1302</t>
  </si>
  <si>
    <t>Д22х25((сост.из 3 штук)</t>
  </si>
  <si>
    <t>Д27х5</t>
  </si>
  <si>
    <t>П50х20х20</t>
  </si>
  <si>
    <t>МНЖБ П40х10-4 шт.</t>
  </si>
  <si>
    <t>М НЖБД20х5-70 шт.</t>
  </si>
  <si>
    <t>М НЖБК22х6х3-72 шт.</t>
  </si>
  <si>
    <t>М НЖБ П25х14-700 шт</t>
  </si>
  <si>
    <t>ЯНВАРЬ</t>
  </si>
  <si>
    <t>П64х27х27</t>
  </si>
  <si>
    <t>П7х7х17</t>
  </si>
  <si>
    <t>119</t>
  </si>
  <si>
    <t>1217</t>
  </si>
  <si>
    <t>М НЖБД20х6-405 шт.</t>
  </si>
  <si>
    <t>М НЖБ Д12*3 - 14 шт.</t>
  </si>
  <si>
    <t>М КС Д10х5- 10 шт</t>
  </si>
  <si>
    <t>М К 7*5-1 шт.</t>
  </si>
  <si>
    <t xml:space="preserve">Д13.5х2,5 </t>
  </si>
  <si>
    <t>П30х10х4</t>
  </si>
  <si>
    <t>М НЖБ Д11х16-100 шт</t>
  </si>
  <si>
    <t>П64х20х14</t>
  </si>
  <si>
    <t>6ти кольцевой</t>
  </si>
  <si>
    <t>П5х5х6</t>
  </si>
  <si>
    <t>ЭПГ 110.094 (П24х16х10)-Чебоксары</t>
  </si>
  <si>
    <t>большая Фронда</t>
  </si>
  <si>
    <t>Д5х20</t>
  </si>
  <si>
    <t>пж 06.56.026(П40х10х10)</t>
  </si>
  <si>
    <t>пж 06.56.029 (П40х10х10 с прорез)</t>
  </si>
  <si>
    <t>1403</t>
  </si>
  <si>
    <t>1396</t>
  </si>
  <si>
    <t>М НЖБ Д11х6- 21 шт</t>
  </si>
  <si>
    <t>М НЖБ Д5х2- 2 шт</t>
  </si>
  <si>
    <t>М НЖБ П20х10х8-10 шт</t>
  </si>
  <si>
    <t>М НЖБ 30х16хR50,15х3,1       -50 шт</t>
  </si>
  <si>
    <t>М НЖБД80х10-15 шт</t>
  </si>
  <si>
    <t>П25х8х6</t>
  </si>
  <si>
    <t>Д11х7х62</t>
  </si>
  <si>
    <t>П10х7х2,4</t>
  </si>
  <si>
    <t>Д25х5</t>
  </si>
  <si>
    <t>Д6х2-Днамаг N48H</t>
  </si>
  <si>
    <t>K20х5(8)х5</t>
  </si>
  <si>
    <t>К25х5,5(10)х3</t>
  </si>
  <si>
    <t>К31х12х22</t>
  </si>
  <si>
    <t>Д5х2 с ник.покр.</t>
  </si>
  <si>
    <t>Д11х12</t>
  </si>
  <si>
    <t>Д8х4 ЭПГ111.011МЗКТ</t>
  </si>
  <si>
    <t>П17х8х7</t>
  </si>
  <si>
    <t>Д28х5</t>
  </si>
  <si>
    <t>С D20*6- 35 шт.</t>
  </si>
  <si>
    <t>МД72х10-220 шт</t>
  </si>
  <si>
    <t>М НЖБ Д5х10- 60 шт</t>
  </si>
  <si>
    <t>М НЖБ П25х14- 14 шт</t>
  </si>
  <si>
    <t>М. НЖБ Д11х15-40 шт</t>
  </si>
  <si>
    <t>КС П10х7х2,4-40 шт.</t>
  </si>
  <si>
    <t>КС П14х7х2,5-91 +П35х55х3-11 шт..</t>
  </si>
  <si>
    <t>П84*64*20</t>
  </si>
  <si>
    <t>П50х23х52 (ИНТЕГРАЛ)</t>
  </si>
  <si>
    <t>К47х8(12)х14,5</t>
  </si>
  <si>
    <t>Д20х4</t>
  </si>
  <si>
    <t>П40х20х20(ЭПГ111.039)с д3,5</t>
  </si>
  <si>
    <t>Д11,9х3,3</t>
  </si>
  <si>
    <t>П12х10х20 (скл. Интеграл)</t>
  </si>
  <si>
    <t>П40х25х10</t>
  </si>
  <si>
    <t>ЭПГ110.014</t>
  </si>
  <si>
    <t>ЭПГ110.044</t>
  </si>
  <si>
    <t>Д8х7</t>
  </si>
  <si>
    <t>Д8х5</t>
  </si>
  <si>
    <t>П2х5х2</t>
  </si>
  <si>
    <t xml:space="preserve">8ПМ.610.033    МП-1  </t>
  </si>
  <si>
    <t>П20х20х5</t>
  </si>
  <si>
    <t>П15х4,5х4</t>
  </si>
  <si>
    <t>424</t>
  </si>
  <si>
    <t>МД36-230 шт</t>
  </si>
  <si>
    <t>МП17х8х7-1420 шт.</t>
  </si>
  <si>
    <t>С M400НН С10х200- 16 шт</t>
  </si>
  <si>
    <t>С600НН С8х160-28 шт.</t>
  </si>
  <si>
    <t>М НЖБ Д14х5-50 шт</t>
  </si>
  <si>
    <t>М НЖБ Д28х5-10 шт</t>
  </si>
  <si>
    <t>МНЖБ П20х20х5-23  шт</t>
  </si>
  <si>
    <t>М- ЮНДК Д22,7х8,2х8,9--1600 шт</t>
  </si>
  <si>
    <t>КС П5х2,5-25 шт.</t>
  </si>
  <si>
    <t>КС Д10х5-4 шт.</t>
  </si>
  <si>
    <t>КС П40х55х3-6 шт.</t>
  </si>
  <si>
    <t>КС К7х5-100 шт.</t>
  </si>
  <si>
    <t>П30х16х10</t>
  </si>
  <si>
    <t>П55х16х25</t>
  </si>
  <si>
    <t>П55х18х5</t>
  </si>
  <si>
    <t>Д8,2х6,4</t>
  </si>
  <si>
    <t>Д9х7</t>
  </si>
  <si>
    <t>С8х30</t>
  </si>
  <si>
    <t>1428</t>
  </si>
  <si>
    <t>1439</t>
  </si>
  <si>
    <t>1438</t>
  </si>
  <si>
    <t>1409</t>
  </si>
  <si>
    <t>1410</t>
  </si>
  <si>
    <t>Д6х2 НЖБ1400</t>
  </si>
  <si>
    <t>Д6х1 НЖБ1400</t>
  </si>
  <si>
    <t>1445</t>
  </si>
  <si>
    <t>МЭ250-3730-102</t>
  </si>
  <si>
    <t>М НЖБ Д3х6-10 шт</t>
  </si>
  <si>
    <t>М НЖБ Д6х1-100 шт</t>
  </si>
  <si>
    <t>М НЖБ Д6х2-100 шт</t>
  </si>
  <si>
    <t>М НЖБ Д6х2-10 шт</t>
  </si>
  <si>
    <t>М НЖБ Д8,2х4-5000 шт</t>
  </si>
  <si>
    <t>М НЖБ Д9,6,8-50 шт</t>
  </si>
  <si>
    <t>М НЖБ Д28х5-17 шт</t>
  </si>
  <si>
    <t>М НЖБ П25х14-3 шт</t>
  </si>
  <si>
    <t>М НЖБ П25х14-33 шт</t>
  </si>
  <si>
    <t>М НЖБ П30х20х10-6 шт</t>
  </si>
  <si>
    <t>М НЖБ П30х20х3-3 шт.</t>
  </si>
  <si>
    <t>М НЖБ П52х16-4 шт</t>
  </si>
  <si>
    <t>КС Д5х2,5-30 шт.</t>
  </si>
  <si>
    <t>ИБЯД.04.00.001</t>
  </si>
  <si>
    <t>П31х35х8</t>
  </si>
  <si>
    <t>Магнит Д90/2</t>
  </si>
  <si>
    <t>П60х20х7</t>
  </si>
  <si>
    <t>К59х44х4</t>
  </si>
  <si>
    <t>К45х22х5</t>
  </si>
  <si>
    <t>АЮДИ 757.159.001</t>
  </si>
  <si>
    <t>Д13,5х4 б/п</t>
  </si>
  <si>
    <t>Д20х20</t>
  </si>
  <si>
    <t>П80х40х20</t>
  </si>
  <si>
    <t>774</t>
  </si>
  <si>
    <t>1449</t>
  </si>
  <si>
    <t>МД36-550 шт.</t>
  </si>
  <si>
    <t>МД45х7-12 шт</t>
  </si>
  <si>
    <t>МД61х24х7-80 шт</t>
  </si>
  <si>
    <t>МП2х4х4-80 шт</t>
  </si>
  <si>
    <t>МП84*64*14-60 шт</t>
  </si>
  <si>
    <t>МП85х65-1463 шт</t>
  </si>
  <si>
    <t>МП31х19-300 шт</t>
  </si>
  <si>
    <t>М НЖБ  Д8х5-31 шт</t>
  </si>
  <si>
    <t>М НЖБ Д10х3-210 шт</t>
  </si>
  <si>
    <t>М НЖБ Д12х3- 15 шт</t>
  </si>
  <si>
    <t>М НЖБ Д12х5- 100 шт</t>
  </si>
  <si>
    <t>М НЖБ  Д13х7-3 шт</t>
  </si>
  <si>
    <t>М НЖБ П7х7х3-3 шт</t>
  </si>
  <si>
    <t>М НЖБ П40х40х9-11 шт</t>
  </si>
  <si>
    <t>СД523007</t>
  </si>
  <si>
    <t>АУИБ 757.159.008</t>
  </si>
  <si>
    <t>К25х5(10)х5</t>
  </si>
  <si>
    <t>СМР1 L220х165/7</t>
  </si>
  <si>
    <t>П50х50х24</t>
  </si>
  <si>
    <t>К15х5х5с зенк</t>
  </si>
  <si>
    <t>П26х15х4 б/п</t>
  </si>
  <si>
    <t>П20х8х3</t>
  </si>
  <si>
    <t>Д14,5х4(Химволокно)</t>
  </si>
  <si>
    <t>Д12х12</t>
  </si>
  <si>
    <t>П14х7х2</t>
  </si>
  <si>
    <t>П70х4х11</t>
  </si>
  <si>
    <t>П80х40х20 и П88х24х12,5</t>
  </si>
  <si>
    <t>0861-8569.05 (Д20х25 с резьбой)</t>
  </si>
  <si>
    <t>К53х23х15</t>
  </si>
  <si>
    <t>ПС30х16х3</t>
  </si>
  <si>
    <t>М П2х4х4-920 шт.</t>
  </si>
  <si>
    <t>МП24х10-6174 шт</t>
  </si>
  <si>
    <t>М НЖБ Д5х2-820 шт</t>
  </si>
  <si>
    <t>С DMR30 Н20х12х6 -120 шт.</t>
  </si>
  <si>
    <t>М НЖБ Д28х5-  4 шт.</t>
  </si>
  <si>
    <t>М НЖБ П31х35х8- 6 шт.</t>
  </si>
  <si>
    <t>М НЖБД30х7-  2шт.</t>
  </si>
  <si>
    <t xml:space="preserve">ОСТАТОК   2017 г. </t>
  </si>
  <si>
    <t>Планка магнит.</t>
  </si>
  <si>
    <t>Планка магнитная  1 м</t>
  </si>
  <si>
    <t>Планка магнитная 0,75 м</t>
  </si>
  <si>
    <t>23х6,4х12,5</t>
  </si>
  <si>
    <t>К6х4х3</t>
  </si>
  <si>
    <t>Д13,5х2</t>
  </si>
  <si>
    <t>К34х26х3</t>
  </si>
  <si>
    <t>Д8,5х2,5 Магнитопласт</t>
  </si>
  <si>
    <t>Зам.директора по производству</t>
  </si>
  <si>
    <t>939</t>
  </si>
  <si>
    <t>1493</t>
  </si>
  <si>
    <t>1482</t>
  </si>
  <si>
    <t>926</t>
  </si>
  <si>
    <t>М К85х9-120 шт</t>
  </si>
  <si>
    <t>МП25х16-7680 шт</t>
  </si>
  <si>
    <t>С R3K ЕЕ30-3350 шт</t>
  </si>
  <si>
    <t>М НЖБ Д3х2 -10 шт</t>
  </si>
  <si>
    <t>М НЖБ Д3,5х3 -50 шт</t>
  </si>
  <si>
    <t>М НЖБ Д5х3- 100 шт</t>
  </si>
  <si>
    <t>М МЦО НЖБ N35 8/00-2,5</t>
  </si>
  <si>
    <t>М НЖБ Д11х16-506шт.</t>
  </si>
  <si>
    <t>М НЖБД15х5-187 шт.</t>
  </si>
  <si>
    <t>М НЖБ д22х8х8- 6 шт</t>
  </si>
  <si>
    <t>М НЖБ П3х3х5-  1500 шт</t>
  </si>
  <si>
    <t>М НЖБ П14х7х2,5-200 шт</t>
  </si>
  <si>
    <t>М НЖБ П20х10х8- 50 шт.</t>
  </si>
  <si>
    <t>М НЖБ П40х10х5- 50 шт.</t>
  </si>
  <si>
    <t>М НЖБ П50х13-2 шт</t>
  </si>
  <si>
    <t>М ЮНДК Д21х25- 100 шт.</t>
  </si>
  <si>
    <t>КС П3х6х8-1800 шт.</t>
  </si>
  <si>
    <t>КС 7х5-200 шт.</t>
  </si>
  <si>
    <t xml:space="preserve">Д12х18 </t>
  </si>
  <si>
    <t>П100х30х15</t>
  </si>
  <si>
    <t>Д16х3</t>
  </si>
  <si>
    <t>ЭПГ110.032</t>
  </si>
  <si>
    <t>Д10х14,5</t>
  </si>
  <si>
    <t>СМР1 300х250/5 с корпусом</t>
  </si>
  <si>
    <t>СМБ1-305/400</t>
  </si>
  <si>
    <t>1343</t>
  </si>
  <si>
    <t>МД20х5-12 шт</t>
  </si>
  <si>
    <t>МД18х3-1200 шт</t>
  </si>
  <si>
    <t>МП5х20-220 шт.</t>
  </si>
  <si>
    <t>МД72х12-3276 шт.</t>
  </si>
  <si>
    <t>Д5х3 N42H</t>
  </si>
  <si>
    <t>Д20х10</t>
  </si>
  <si>
    <t>П70х15х8</t>
  </si>
  <si>
    <t>С6х3</t>
  </si>
  <si>
    <t>уловитель НЖБ стерж 22х125</t>
  </si>
  <si>
    <t>1437</t>
  </si>
  <si>
    <t>01.01.18г.</t>
  </si>
  <si>
    <t>МД45х7-40 шт</t>
  </si>
  <si>
    <t>МД18х3-1000 шт</t>
  </si>
  <si>
    <t>С DMR40H38-1029 шт.</t>
  </si>
  <si>
    <t>СLP3 Н45х8х12-860 шт.</t>
  </si>
  <si>
    <t>Сердечник  LPE E16х8х4-1100 шт</t>
  </si>
  <si>
    <t>С R3K ЕЕ30-4000 шт</t>
  </si>
  <si>
    <t>М НЖБ Д3х3-1600 шт</t>
  </si>
  <si>
    <t>М НЖБ Д3,5х2-21 шт</t>
  </si>
  <si>
    <t>М НЖБ Д8х3-100 шт</t>
  </si>
  <si>
    <t>М НЖБ Д8х10-50 шт</t>
  </si>
  <si>
    <t>М  НЖБ Д8х10- 9514 шт.</t>
  </si>
  <si>
    <t>М НЖБ Д10х3-665 шт</t>
  </si>
  <si>
    <t>М НЖБ Д11х6-100 шт</t>
  </si>
  <si>
    <t>М AMTC/N35/Д.0.20.5-8 шт</t>
  </si>
  <si>
    <t>М НЖБ П47х28х3,5-27 шт</t>
  </si>
  <si>
    <t>М НЖБ Д22х8х8-8 шт</t>
  </si>
  <si>
    <t>на 01.01.18</t>
  </si>
  <si>
    <t>на 01.02.18</t>
  </si>
  <si>
    <t>Д2Ох5</t>
  </si>
  <si>
    <t>К32х12х5 нам.D</t>
  </si>
  <si>
    <t>П53х3,5х4,5</t>
  </si>
  <si>
    <t>СМП1 470х450х200</t>
  </si>
  <si>
    <t>к21х12х7</t>
  </si>
  <si>
    <t>к38х22х7</t>
  </si>
  <si>
    <t>8000НМ</t>
  </si>
  <si>
    <t>10000НМ</t>
  </si>
  <si>
    <t xml:space="preserve">П4х4х3 </t>
  </si>
  <si>
    <t>1502</t>
  </si>
  <si>
    <t>1503</t>
  </si>
  <si>
    <t>1504</t>
  </si>
  <si>
    <t>1505</t>
  </si>
  <si>
    <t>1506</t>
  </si>
  <si>
    <t>1507</t>
  </si>
  <si>
    <t>ЭПГ110.045</t>
  </si>
  <si>
    <t>1514</t>
  </si>
  <si>
    <t>ЯНВАРЬ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</si>
</sst>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#,##0_р_."/>
    <numFmt numFmtId="166" formatCode="#,##0\ _р_."/>
    <numFmt numFmtId="167" formatCode="#,##0.00_р_."/>
    <numFmt numFmtId="168" formatCode="#,##0.000_р_."/>
  </numFmts>
  <fonts count="61" x14ac:knownFonts="1">
    <font>
      <sz val="10"/>
      <name val="Arial Cyr"/>
      <charset val="204"/>
    </font>
    <font>
      <sz val="10"/>
      <name val="Arial Cyr"/>
      <charset val="204"/>
    </font>
    <font>
      <sz val="14"/>
      <name val="Arial Cyr"/>
      <family val="2"/>
      <charset val="204"/>
    </font>
    <font>
      <b/>
      <sz val="14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6"/>
      <name val="Arial Cyr"/>
      <family val="2"/>
      <charset val="204"/>
    </font>
    <font>
      <sz val="11"/>
      <name val="Arial Cyr"/>
      <family val="2"/>
      <charset val="204"/>
    </font>
    <font>
      <b/>
      <sz val="16"/>
      <name val="Arial Cyr"/>
      <family val="2"/>
      <charset val="204"/>
    </font>
    <font>
      <b/>
      <sz val="14"/>
      <name val="Arial Cyr"/>
      <charset val="204"/>
    </font>
    <font>
      <b/>
      <sz val="9"/>
      <name val="Arial Cyr"/>
      <family val="2"/>
      <charset val="204"/>
    </font>
    <font>
      <b/>
      <sz val="12"/>
      <name val="Arial Cyr"/>
      <charset val="204"/>
    </font>
    <font>
      <sz val="11"/>
      <name val="Arial Cyr"/>
      <charset val="204"/>
    </font>
    <font>
      <sz val="9"/>
      <name val="Arial Cyr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4"/>
      <name val="Arial Cyr"/>
      <charset val="204"/>
    </font>
    <font>
      <sz val="8"/>
      <name val="Arial Cyr"/>
      <charset val="204"/>
    </font>
    <font>
      <b/>
      <sz val="11"/>
      <name val="Arial Cyr"/>
      <charset val="204"/>
    </font>
    <font>
      <b/>
      <sz val="8"/>
      <name val="Arial Cyr"/>
      <family val="2"/>
      <charset val="204"/>
    </font>
    <font>
      <b/>
      <sz val="9"/>
      <name val="Arial Cyr"/>
      <charset val="204"/>
    </font>
    <font>
      <b/>
      <sz val="10"/>
      <name val="Arial Cyr"/>
      <charset val="204"/>
    </font>
    <font>
      <b/>
      <sz val="16"/>
      <name val="Arial Cyr"/>
      <charset val="204"/>
    </font>
    <font>
      <b/>
      <sz val="14"/>
      <color indexed="9"/>
      <name val="Arial Cyr"/>
      <charset val="204"/>
    </font>
    <font>
      <b/>
      <sz val="14"/>
      <color indexed="9"/>
      <name val="Arial Cyr"/>
      <family val="2"/>
      <charset val="204"/>
    </font>
    <font>
      <sz val="14"/>
      <color indexed="9"/>
      <name val="Arial Cyr"/>
      <charset val="204"/>
    </font>
    <font>
      <sz val="10"/>
      <name val="Helv"/>
    </font>
    <font>
      <sz val="10"/>
      <color indexed="9"/>
      <name val="Helv"/>
    </font>
    <font>
      <b/>
      <sz val="8"/>
      <name val="Arial Cyr"/>
      <charset val="204"/>
    </font>
    <font>
      <sz val="9"/>
      <name val="Arial Black"/>
      <family val="2"/>
      <charset val="204"/>
    </font>
    <font>
      <b/>
      <sz val="8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 Black"/>
      <family val="2"/>
      <charset val="204"/>
    </font>
    <font>
      <sz val="10"/>
      <name val="Arial Black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b/>
      <sz val="9"/>
      <name val="Arial Black"/>
      <family val="2"/>
      <charset val="204"/>
    </font>
    <font>
      <sz val="9"/>
      <name val="Helv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6"/>
      <color indexed="9"/>
      <name val="Arial Cyr"/>
      <charset val="204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9"/>
      <color indexed="9"/>
      <name val="Arial Black"/>
      <family val="2"/>
      <charset val="204"/>
    </font>
    <font>
      <b/>
      <sz val="16"/>
      <color indexed="9"/>
      <name val="Arial"/>
      <family val="2"/>
      <charset val="204"/>
    </font>
    <font>
      <b/>
      <sz val="11"/>
      <name val="Arial"/>
      <family val="2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b/>
      <sz val="12"/>
      <color indexed="9"/>
      <name val="Arial Cyr"/>
      <charset val="204"/>
    </font>
    <font>
      <sz val="9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b/>
      <sz val="12"/>
      <name val="Arial Black"/>
      <family val="2"/>
      <charset val="204"/>
    </font>
    <font>
      <sz val="8"/>
      <name val="Arial"/>
      <family val="2"/>
      <charset val="204"/>
    </font>
    <font>
      <sz val="8"/>
      <color indexed="9"/>
      <name val="Arial"/>
      <family val="2"/>
      <charset val="204"/>
    </font>
    <font>
      <b/>
      <sz val="12"/>
      <color indexed="10"/>
      <name val="Arial"/>
      <family val="2"/>
      <charset val="204"/>
    </font>
    <font>
      <sz val="9"/>
      <name val="Arial"/>
      <family val="2"/>
      <charset val="204"/>
    </font>
    <font>
      <sz val="14"/>
      <color indexed="9"/>
      <name val="Arial Cy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7" fillId="0" borderId="0"/>
  </cellStyleXfs>
  <cellXfs count="410">
    <xf numFmtId="0" fontId="0" fillId="0" borderId="0" xfId="0"/>
    <xf numFmtId="166" fontId="22" fillId="2" borderId="1" xfId="0" applyNumberFormat="1" applyFont="1" applyFill="1" applyBorder="1" applyAlignment="1">
      <alignment wrapText="1"/>
    </xf>
    <xf numFmtId="0" fontId="9" fillId="2" borderId="0" xfId="1" applyFont="1" applyFill="1"/>
    <xf numFmtId="0" fontId="8" fillId="2" borderId="0" xfId="1" applyFont="1" applyFill="1"/>
    <xf numFmtId="0" fontId="1" fillId="3" borderId="0" xfId="1" applyFont="1" applyFill="1"/>
    <xf numFmtId="0" fontId="3" fillId="2" borderId="0" xfId="1" applyFont="1" applyFill="1"/>
    <xf numFmtId="0" fontId="21" fillId="2" borderId="1" xfId="1" applyFont="1" applyFill="1" applyBorder="1" applyAlignment="1">
      <alignment horizontal="center" wrapText="1"/>
    </xf>
    <xf numFmtId="0" fontId="30" fillId="2" borderId="1" xfId="1" applyFont="1" applyFill="1" applyBorder="1" applyAlignment="1">
      <alignment wrapText="1"/>
    </xf>
    <xf numFmtId="0" fontId="3" fillId="3" borderId="0" xfId="1" applyFont="1" applyFill="1"/>
    <xf numFmtId="166" fontId="22" fillId="2" borderId="1" xfId="1" applyNumberFormat="1" applyFont="1" applyFill="1" applyBorder="1" applyAlignment="1">
      <alignment wrapText="1"/>
    </xf>
    <xf numFmtId="0" fontId="1" fillId="2" borderId="0" xfId="1" applyFont="1" applyFill="1"/>
    <xf numFmtId="0" fontId="3" fillId="2" borderId="1" xfId="1" applyFont="1" applyFill="1" applyBorder="1" applyAlignment="1">
      <alignment horizontal="right"/>
    </xf>
    <xf numFmtId="0" fontId="11" fillId="2" borderId="1" xfId="1" applyFont="1" applyFill="1" applyBorder="1"/>
    <xf numFmtId="0" fontId="5" fillId="2" borderId="1" xfId="1" applyFont="1" applyFill="1" applyBorder="1"/>
    <xf numFmtId="0" fontId="3" fillId="2" borderId="1" xfId="1" applyFont="1" applyFill="1" applyBorder="1"/>
    <xf numFmtId="0" fontId="10" fillId="2" borderId="1" xfId="1" applyFont="1" applyFill="1" applyBorder="1" applyAlignment="1">
      <alignment horizontal="right"/>
    </xf>
    <xf numFmtId="165" fontId="3" fillId="2" borderId="1" xfId="1" applyNumberFormat="1" applyFont="1" applyFill="1" applyBorder="1"/>
    <xf numFmtId="0" fontId="10" fillId="2" borderId="1" xfId="1" applyFont="1" applyFill="1" applyBorder="1"/>
    <xf numFmtId="165" fontId="3" fillId="2" borderId="2" xfId="1" applyNumberFormat="1" applyFont="1" applyFill="1" applyBorder="1"/>
    <xf numFmtId="0" fontId="13" fillId="2" borderId="0" xfId="1" applyFont="1" applyFill="1"/>
    <xf numFmtId="0" fontId="1" fillId="4" borderId="0" xfId="1" applyFont="1" applyFill="1"/>
    <xf numFmtId="0" fontId="18" fillId="2" borderId="1" xfId="1" applyFont="1" applyFill="1" applyBorder="1" applyAlignment="1">
      <alignment horizontal="left" wrapText="1"/>
    </xf>
    <xf numFmtId="0" fontId="10" fillId="2" borderId="0" xfId="1" applyFont="1" applyFill="1"/>
    <xf numFmtId="0" fontId="2" fillId="2" borderId="0" xfId="1" applyFont="1" applyFill="1" applyAlignment="1">
      <alignment horizontal="right"/>
    </xf>
    <xf numFmtId="0" fontId="10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7" fillId="2" borderId="0" xfId="1" applyFont="1" applyFill="1" applyBorder="1"/>
    <xf numFmtId="0" fontId="26" fillId="2" borderId="0" xfId="1" applyFont="1" applyFill="1" applyBorder="1" applyAlignment="1">
      <alignment horizontal="right"/>
    </xf>
    <xf numFmtId="0" fontId="1" fillId="2" borderId="0" xfId="1" applyFont="1" applyFill="1" applyBorder="1"/>
    <xf numFmtId="0" fontId="17" fillId="2" borderId="0" xfId="1" applyFont="1" applyFill="1" applyBorder="1" applyAlignment="1">
      <alignment horizontal="right"/>
    </xf>
    <xf numFmtId="0" fontId="11" fillId="2" borderId="0" xfId="1" applyFont="1" applyFill="1" applyBorder="1"/>
    <xf numFmtId="0" fontId="24" fillId="2" borderId="0" xfId="1" applyFont="1" applyFill="1" applyBorder="1" applyAlignment="1">
      <alignment horizontal="right"/>
    </xf>
    <xf numFmtId="165" fontId="7" fillId="2" borderId="1" xfId="1" applyNumberFormat="1" applyFont="1" applyFill="1" applyBorder="1"/>
    <xf numFmtId="0" fontId="9" fillId="2" borderId="3" xfId="1" applyFont="1" applyFill="1" applyBorder="1"/>
    <xf numFmtId="0" fontId="35" fillId="2" borderId="0" xfId="1" applyFont="1" applyFill="1" applyAlignment="1">
      <alignment vertical="center"/>
    </xf>
    <xf numFmtId="0" fontId="36" fillId="2" borderId="0" xfId="1" applyFont="1" applyFill="1" applyBorder="1" applyAlignment="1">
      <alignment wrapText="1"/>
    </xf>
    <xf numFmtId="3" fontId="36" fillId="2" borderId="1" xfId="1" applyNumberFormat="1" applyFont="1" applyFill="1" applyBorder="1"/>
    <xf numFmtId="3" fontId="36" fillId="2" borderId="1" xfId="1" applyNumberFormat="1" applyFont="1" applyFill="1" applyBorder="1" applyAlignment="1">
      <alignment horizontal="right"/>
    </xf>
    <xf numFmtId="165" fontId="36" fillId="2" borderId="1" xfId="1" applyNumberFormat="1" applyFont="1" applyFill="1" applyBorder="1"/>
    <xf numFmtId="165" fontId="37" fillId="2" borderId="1" xfId="1" applyNumberFormat="1" applyFont="1" applyFill="1" applyBorder="1" applyAlignment="1">
      <alignment wrapText="1"/>
    </xf>
    <xf numFmtId="166" fontId="36" fillId="2" borderId="1" xfId="1" applyNumberFormat="1" applyFont="1" applyFill="1" applyBorder="1" applyAlignment="1">
      <alignment wrapText="1"/>
    </xf>
    <xf numFmtId="3" fontId="36" fillId="2" borderId="0" xfId="1" applyNumberFormat="1" applyFont="1" applyFill="1" applyBorder="1"/>
    <xf numFmtId="0" fontId="36" fillId="2" borderId="0" xfId="1" applyFont="1" applyFill="1" applyBorder="1"/>
    <xf numFmtId="0" fontId="36" fillId="2" borderId="0" xfId="1" applyFont="1" applyFill="1"/>
    <xf numFmtId="0" fontId="33" fillId="2" borderId="1" xfId="1" applyFont="1" applyFill="1" applyBorder="1" applyAlignment="1" applyProtection="1">
      <alignment horizontal="left" vertical="center" wrapText="1"/>
      <protection locked="0"/>
    </xf>
    <xf numFmtId="0" fontId="14" fillId="2" borderId="1" xfId="1" applyFont="1" applyFill="1" applyBorder="1"/>
    <xf numFmtId="0" fontId="14" fillId="2" borderId="0" xfId="1" applyFont="1" applyFill="1" applyBorder="1"/>
    <xf numFmtId="0" fontId="14" fillId="2" borderId="0" xfId="1" applyFont="1" applyFill="1"/>
    <xf numFmtId="3" fontId="34" fillId="2" borderId="1" xfId="1" applyNumberFormat="1" applyFont="1" applyFill="1" applyBorder="1" applyAlignment="1">
      <alignment vertical="center"/>
    </xf>
    <xf numFmtId="165" fontId="3" fillId="2" borderId="4" xfId="1" applyNumberFormat="1" applyFont="1" applyFill="1" applyBorder="1"/>
    <xf numFmtId="0" fontId="30" fillId="2" borderId="0" xfId="1" applyFont="1" applyFill="1"/>
    <xf numFmtId="0" fontId="4" fillId="2" borderId="0" xfId="1" applyFont="1" applyFill="1" applyBorder="1" applyAlignment="1">
      <alignment horizontal="center"/>
    </xf>
    <xf numFmtId="0" fontId="14" fillId="2" borderId="5" xfId="1" applyFont="1" applyFill="1" applyBorder="1" applyAlignment="1">
      <alignment horizontal="center"/>
    </xf>
    <xf numFmtId="0" fontId="3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left" vertical="center"/>
    </xf>
    <xf numFmtId="0" fontId="30" fillId="2" borderId="8" xfId="1" applyFont="1" applyFill="1" applyBorder="1" applyAlignment="1">
      <alignment horizontal="center" vertical="center" wrapText="1"/>
    </xf>
    <xf numFmtId="165" fontId="36" fillId="2" borderId="1" xfId="1" applyNumberFormat="1" applyFont="1" applyFill="1" applyBorder="1" applyAlignment="1">
      <alignment wrapText="1"/>
    </xf>
    <xf numFmtId="165" fontId="36" fillId="2" borderId="0" xfId="1" applyNumberFormat="1" applyFont="1" applyFill="1"/>
    <xf numFmtId="165" fontId="28" fillId="2" borderId="1" xfId="0" applyNumberFormat="1" applyFont="1" applyFill="1" applyBorder="1" applyAlignment="1">
      <alignment wrapText="1"/>
    </xf>
    <xf numFmtId="165" fontId="33" fillId="2" borderId="1" xfId="1" applyNumberFormat="1" applyFont="1" applyFill="1" applyBorder="1" applyAlignment="1">
      <alignment wrapText="1"/>
    </xf>
    <xf numFmtId="0" fontId="38" fillId="2" borderId="1" xfId="1" applyFont="1" applyFill="1" applyBorder="1" applyAlignment="1" applyProtection="1">
      <alignment horizontal="left" vertical="center" wrapText="1"/>
      <protection locked="0"/>
    </xf>
    <xf numFmtId="0" fontId="30" fillId="2" borderId="9" xfId="1" applyFont="1" applyFill="1" applyBorder="1" applyAlignment="1">
      <alignment horizontal="right" vertical="center" wrapText="1"/>
    </xf>
    <xf numFmtId="0" fontId="39" fillId="2" borderId="10" xfId="1" applyFont="1" applyFill="1" applyBorder="1" applyAlignment="1">
      <alignment horizontal="center" vertical="center" wrapText="1"/>
    </xf>
    <xf numFmtId="0" fontId="39" fillId="2" borderId="8" xfId="1" applyFont="1" applyFill="1" applyBorder="1" applyAlignment="1">
      <alignment horizontal="center" vertical="center" wrapText="1"/>
    </xf>
    <xf numFmtId="0" fontId="41" fillId="2" borderId="1" xfId="1" applyFont="1" applyFill="1" applyBorder="1" applyAlignment="1">
      <alignment wrapText="1"/>
    </xf>
    <xf numFmtId="0" fontId="42" fillId="2" borderId="1" xfId="1" applyFont="1" applyFill="1" applyBorder="1" applyAlignment="1" applyProtection="1">
      <alignment horizontal="left" vertical="center" wrapText="1"/>
      <protection locked="0"/>
    </xf>
    <xf numFmtId="165" fontId="3" fillId="3" borderId="2" xfId="1" applyNumberFormat="1" applyFont="1" applyFill="1" applyBorder="1"/>
    <xf numFmtId="165" fontId="42" fillId="2" borderId="0" xfId="1" applyNumberFormat="1" applyFont="1" applyFill="1" applyBorder="1" applyAlignment="1">
      <alignment horizontal="left" wrapText="1"/>
    </xf>
    <xf numFmtId="165" fontId="38" fillId="2" borderId="1" xfId="0" applyNumberFormat="1" applyFont="1" applyFill="1" applyBorder="1" applyAlignment="1">
      <alignment wrapText="1"/>
    </xf>
    <xf numFmtId="165" fontId="36" fillId="2" borderId="11" xfId="1" applyNumberFormat="1" applyFont="1" applyFill="1" applyBorder="1" applyAlignment="1">
      <alignment horizontal="right"/>
    </xf>
    <xf numFmtId="165" fontId="23" fillId="2" borderId="1" xfId="1" applyNumberFormat="1" applyFont="1" applyFill="1" applyBorder="1"/>
    <xf numFmtId="165" fontId="8" fillId="2" borderId="1" xfId="1" applyNumberFormat="1" applyFont="1" applyFill="1" applyBorder="1"/>
    <xf numFmtId="0" fontId="18" fillId="2" borderId="0" xfId="1" applyFont="1" applyFill="1" applyAlignment="1">
      <alignment horizontal="left"/>
    </xf>
    <xf numFmtId="0" fontId="18" fillId="2" borderId="8" xfId="1" applyFont="1" applyFill="1" applyBorder="1" applyAlignment="1">
      <alignment horizontal="left" vertical="center" wrapText="1"/>
    </xf>
    <xf numFmtId="0" fontId="18" fillId="2" borderId="6" xfId="1" applyFont="1" applyFill="1" applyBorder="1" applyAlignment="1">
      <alignment horizontal="left"/>
    </xf>
    <xf numFmtId="0" fontId="29" fillId="2" borderId="1" xfId="1" applyFont="1" applyFill="1" applyBorder="1" applyAlignment="1">
      <alignment horizontal="left" wrapText="1"/>
    </xf>
    <xf numFmtId="0" fontId="29" fillId="2" borderId="0" xfId="1" applyFont="1" applyFill="1" applyBorder="1" applyAlignment="1">
      <alignment horizontal="left"/>
    </xf>
    <xf numFmtId="0" fontId="18" fillId="2" borderId="0" xfId="1" applyFont="1" applyFill="1" applyBorder="1" applyAlignment="1">
      <alignment horizontal="left"/>
    </xf>
    <xf numFmtId="165" fontId="38" fillId="2" borderId="1" xfId="1" applyNumberFormat="1" applyFont="1" applyFill="1" applyBorder="1" applyAlignment="1">
      <alignment horizontal="left" wrapText="1"/>
    </xf>
    <xf numFmtId="0" fontId="36" fillId="2" borderId="0" xfId="1" applyFont="1" applyFill="1" applyAlignment="1"/>
    <xf numFmtId="166" fontId="19" fillId="2" borderId="1" xfId="0" applyNumberFormat="1" applyFont="1" applyFill="1" applyBorder="1" applyAlignment="1"/>
    <xf numFmtId="165" fontId="33" fillId="2" borderId="1" xfId="1" applyNumberFormat="1" applyFont="1" applyFill="1" applyBorder="1" applyAlignment="1">
      <alignment horizontal="left" wrapText="1"/>
    </xf>
    <xf numFmtId="0" fontId="31" fillId="2" borderId="1" xfId="1" applyFont="1" applyFill="1" applyBorder="1" applyAlignment="1">
      <alignment wrapText="1"/>
    </xf>
    <xf numFmtId="166" fontId="19" fillId="2" borderId="1" xfId="0" applyNumberFormat="1" applyFont="1" applyFill="1" applyBorder="1" applyAlignment="1">
      <alignment wrapText="1"/>
    </xf>
    <xf numFmtId="165" fontId="43" fillId="2" borderId="1" xfId="1" applyNumberFormat="1" applyFont="1" applyFill="1" applyBorder="1" applyAlignment="1">
      <alignment wrapText="1"/>
    </xf>
    <xf numFmtId="165" fontId="38" fillId="2" borderId="1" xfId="1" applyNumberFormat="1" applyFont="1" applyFill="1" applyBorder="1" applyAlignment="1">
      <alignment wrapText="1"/>
    </xf>
    <xf numFmtId="0" fontId="37" fillId="2" borderId="1" xfId="1" applyFont="1" applyFill="1" applyBorder="1" applyAlignment="1" applyProtection="1">
      <alignment horizontal="left" vertical="center" wrapText="1"/>
      <protection locked="0"/>
    </xf>
    <xf numFmtId="0" fontId="43" fillId="2" borderId="1" xfId="1" applyFont="1" applyFill="1" applyBorder="1" applyAlignment="1" applyProtection="1">
      <alignment horizontal="left" vertical="center" wrapText="1"/>
      <protection locked="0"/>
    </xf>
    <xf numFmtId="165" fontId="37" fillId="2" borderId="1" xfId="1" applyNumberFormat="1" applyFont="1" applyFill="1" applyBorder="1" applyAlignment="1">
      <alignment horizontal="left" wrapText="1"/>
    </xf>
    <xf numFmtId="0" fontId="37" fillId="2" borderId="1" xfId="1" applyFont="1" applyFill="1" applyBorder="1" applyAlignment="1">
      <alignment wrapText="1"/>
    </xf>
    <xf numFmtId="2" fontId="32" fillId="2" borderId="1" xfId="1" applyNumberFormat="1" applyFont="1" applyFill="1" applyBorder="1" applyAlignment="1" applyProtection="1">
      <alignment horizontal="left" vertical="center" wrapText="1"/>
      <protection locked="0"/>
    </xf>
    <xf numFmtId="167" fontId="43" fillId="2" borderId="1" xfId="1" applyNumberFormat="1" applyFont="1" applyFill="1" applyBorder="1" applyAlignment="1">
      <alignment wrapText="1"/>
    </xf>
    <xf numFmtId="2" fontId="38" fillId="2" borderId="1" xfId="1" applyNumberFormat="1" applyFont="1" applyFill="1" applyBorder="1" applyAlignment="1" applyProtection="1">
      <alignment horizontal="left" vertical="center" wrapText="1"/>
      <protection locked="0"/>
    </xf>
    <xf numFmtId="2" fontId="37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2" fillId="2" borderId="1" xfId="1" applyFont="1" applyFill="1" applyBorder="1" applyAlignment="1">
      <alignment wrapText="1"/>
    </xf>
    <xf numFmtId="2" fontId="38" fillId="2" borderId="1" xfId="1" applyNumberFormat="1" applyFont="1" applyFill="1" applyBorder="1" applyAlignment="1">
      <alignment wrapText="1"/>
    </xf>
    <xf numFmtId="0" fontId="49" fillId="2" borderId="1" xfId="1" applyFont="1" applyFill="1" applyBorder="1"/>
    <xf numFmtId="0" fontId="49" fillId="2" borderId="1" xfId="1" applyFont="1" applyFill="1" applyBorder="1" applyAlignment="1">
      <alignment wrapText="1"/>
    </xf>
    <xf numFmtId="166" fontId="49" fillId="2" borderId="1" xfId="0" applyNumberFormat="1" applyFont="1" applyFill="1" applyBorder="1" applyAlignment="1">
      <alignment wrapText="1"/>
    </xf>
    <xf numFmtId="166" fontId="49" fillId="2" borderId="1" xfId="1" applyNumberFormat="1" applyFont="1" applyFill="1" applyBorder="1" applyAlignment="1">
      <alignment wrapText="1"/>
    </xf>
    <xf numFmtId="0" fontId="49" fillId="2" borderId="0" xfId="1" applyFont="1" applyFill="1" applyBorder="1"/>
    <xf numFmtId="165" fontId="3" fillId="2" borderId="0" xfId="1" applyNumberFormat="1" applyFont="1" applyFill="1" applyBorder="1"/>
    <xf numFmtId="0" fontId="0" fillId="2" borderId="1" xfId="0" applyFill="1" applyBorder="1"/>
    <xf numFmtId="165" fontId="43" fillId="2" borderId="1" xfId="0" applyNumberFormat="1" applyFont="1" applyFill="1" applyBorder="1" applyAlignment="1">
      <alignment wrapText="1"/>
    </xf>
    <xf numFmtId="167" fontId="38" fillId="2" borderId="1" xfId="0" applyNumberFormat="1" applyFont="1" applyFill="1" applyBorder="1" applyAlignment="1">
      <alignment wrapText="1"/>
    </xf>
    <xf numFmtId="168" fontId="25" fillId="2" borderId="0" xfId="1" applyNumberFormat="1" applyFont="1" applyFill="1" applyBorder="1"/>
    <xf numFmtId="165" fontId="52" fillId="2" borderId="0" xfId="1" applyNumberFormat="1" applyFont="1" applyFill="1" applyBorder="1"/>
    <xf numFmtId="165" fontId="39" fillId="5" borderId="12" xfId="1" applyNumberFormat="1" applyFont="1" applyFill="1" applyBorder="1" applyAlignment="1">
      <alignment horizontal="center" vertical="center" wrapText="1"/>
    </xf>
    <xf numFmtId="165" fontId="36" fillId="5" borderId="13" xfId="1" applyNumberFormat="1" applyFont="1" applyFill="1" applyBorder="1" applyAlignment="1">
      <alignment horizontal="center"/>
    </xf>
    <xf numFmtId="165" fontId="36" fillId="5" borderId="1" xfId="1" applyNumberFormat="1" applyFont="1" applyFill="1" applyBorder="1"/>
    <xf numFmtId="165" fontId="36" fillId="5" borderId="1" xfId="1" applyNumberFormat="1" applyFont="1" applyFill="1" applyBorder="1" applyAlignment="1">
      <alignment wrapText="1"/>
    </xf>
    <xf numFmtId="165" fontId="36" fillId="5" borderId="1" xfId="1" applyNumberFormat="1" applyFont="1" applyFill="1" applyBorder="1" applyAlignment="1">
      <alignment horizontal="right"/>
    </xf>
    <xf numFmtId="165" fontId="36" fillId="5" borderId="1" xfId="1" applyNumberFormat="1" applyFont="1" applyFill="1" applyBorder="1" applyAlignment="1">
      <alignment horizontal="right" wrapText="1"/>
    </xf>
    <xf numFmtId="165" fontId="36" fillId="5" borderId="0" xfId="1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wrapText="1"/>
    </xf>
    <xf numFmtId="165" fontId="3" fillId="6" borderId="1" xfId="1" applyNumberFormat="1" applyFont="1" applyFill="1" applyBorder="1"/>
    <xf numFmtId="165" fontId="3" fillId="6" borderId="2" xfId="1" applyNumberFormat="1" applyFont="1" applyFill="1" applyBorder="1"/>
    <xf numFmtId="0" fontId="35" fillId="2" borderId="0" xfId="1" applyFont="1" applyFill="1" applyBorder="1" applyAlignment="1">
      <alignment vertical="center"/>
    </xf>
    <xf numFmtId="3" fontId="14" fillId="2" borderId="0" xfId="1" applyNumberFormat="1" applyFont="1" applyFill="1" applyBorder="1"/>
    <xf numFmtId="165" fontId="10" fillId="2" borderId="0" xfId="1" applyNumberFormat="1" applyFont="1" applyFill="1" applyBorder="1"/>
    <xf numFmtId="165" fontId="44" fillId="2" borderId="0" xfId="1" applyNumberFormat="1" applyFont="1" applyFill="1" applyBorder="1"/>
    <xf numFmtId="0" fontId="41" fillId="2" borderId="1" xfId="1" applyFont="1" applyFill="1" applyBorder="1" applyAlignment="1" applyProtection="1">
      <alignment horizontal="left" vertical="center" wrapText="1"/>
      <protection locked="0"/>
    </xf>
    <xf numFmtId="0" fontId="54" fillId="2" borderId="1" xfId="1" applyFont="1" applyFill="1" applyBorder="1" applyAlignment="1" applyProtection="1">
      <alignment horizontal="left" vertical="center" wrapText="1"/>
      <protection locked="0"/>
    </xf>
    <xf numFmtId="2" fontId="53" fillId="2" borderId="1" xfId="1" applyNumberFormat="1" applyFont="1" applyFill="1" applyBorder="1" applyAlignment="1">
      <alignment wrapText="1"/>
    </xf>
    <xf numFmtId="2" fontId="53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33" fillId="2" borderId="1" xfId="0" applyNumberFormat="1" applyFont="1" applyFill="1" applyBorder="1" applyAlignment="1">
      <alignment wrapText="1"/>
    </xf>
    <xf numFmtId="165" fontId="41" fillId="2" borderId="1" xfId="1" applyNumberFormat="1" applyFont="1" applyFill="1" applyBorder="1" applyAlignment="1">
      <alignment wrapText="1"/>
    </xf>
    <xf numFmtId="165" fontId="42" fillId="2" borderId="1" xfId="1" applyNumberFormat="1" applyFont="1" applyFill="1" applyBorder="1" applyAlignment="1">
      <alignment wrapText="1"/>
    </xf>
    <xf numFmtId="165" fontId="41" fillId="2" borderId="1" xfId="1" applyNumberFormat="1" applyFont="1" applyFill="1" applyBorder="1" applyAlignment="1">
      <alignment horizontal="left" wrapText="1"/>
    </xf>
    <xf numFmtId="2" fontId="41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25" fillId="2" borderId="2" xfId="1" applyNumberFormat="1" applyFont="1" applyFill="1" applyBorder="1"/>
    <xf numFmtId="2" fontId="54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43" fillId="2" borderId="1" xfId="1" applyNumberFormat="1" applyFont="1" applyFill="1" applyBorder="1" applyAlignment="1">
      <alignment horizontal="left" wrapText="1"/>
    </xf>
    <xf numFmtId="165" fontId="54" fillId="2" borderId="1" xfId="1" applyNumberFormat="1" applyFont="1" applyFill="1" applyBorder="1" applyAlignment="1">
      <alignment wrapText="1"/>
    </xf>
    <xf numFmtId="14" fontId="9" fillId="2" borderId="3" xfId="1" applyNumberFormat="1" applyFont="1" applyFill="1" applyBorder="1"/>
    <xf numFmtId="0" fontId="33" fillId="2" borderId="1" xfId="1" applyNumberFormat="1" applyFont="1" applyFill="1" applyBorder="1" applyAlignment="1">
      <alignment horizontal="center"/>
    </xf>
    <xf numFmtId="0" fontId="33" fillId="2" borderId="1" xfId="1" applyNumberFormat="1" applyFont="1" applyFill="1" applyBorder="1" applyAlignment="1">
      <alignment horizontal="right"/>
    </xf>
    <xf numFmtId="0" fontId="33" fillId="2" borderId="1" xfId="1" applyNumberFormat="1" applyFont="1" applyFill="1" applyBorder="1" applyAlignment="1"/>
    <xf numFmtId="49" fontId="33" fillId="2" borderId="1" xfId="1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wrapText="1"/>
    </xf>
    <xf numFmtId="167" fontId="28" fillId="2" borderId="1" xfId="0" applyNumberFormat="1" applyFont="1" applyFill="1" applyBorder="1" applyAlignment="1">
      <alignment wrapText="1"/>
    </xf>
    <xf numFmtId="167" fontId="38" fillId="2" borderId="1" xfId="1" applyNumberFormat="1" applyFont="1" applyFill="1" applyBorder="1" applyAlignment="1">
      <alignment wrapText="1"/>
    </xf>
    <xf numFmtId="2" fontId="43" fillId="2" borderId="1" xfId="1" applyNumberFormat="1" applyFont="1" applyFill="1" applyBorder="1" applyAlignment="1">
      <alignment wrapText="1"/>
    </xf>
    <xf numFmtId="2" fontId="33" fillId="2" borderId="1" xfId="1" applyNumberFormat="1" applyFont="1" applyFill="1" applyBorder="1" applyAlignment="1" applyProtection="1">
      <alignment horizontal="left" vertical="center" wrapText="1"/>
      <protection locked="0"/>
    </xf>
    <xf numFmtId="0" fontId="28" fillId="2" borderId="1" xfId="0" applyFont="1" applyFill="1" applyBorder="1" applyAlignment="1">
      <alignment wrapText="1"/>
    </xf>
    <xf numFmtId="167" fontId="41" fillId="2" borderId="1" xfId="0" applyNumberFormat="1" applyFont="1" applyFill="1" applyBorder="1" applyAlignment="1">
      <alignment wrapText="1"/>
    </xf>
    <xf numFmtId="2" fontId="41" fillId="2" borderId="1" xfId="1" applyNumberFormat="1" applyFont="1" applyFill="1" applyBorder="1" applyAlignment="1">
      <alignment wrapText="1"/>
    </xf>
    <xf numFmtId="165" fontId="41" fillId="2" borderId="1" xfId="0" applyNumberFormat="1" applyFont="1" applyFill="1" applyBorder="1" applyAlignment="1">
      <alignment wrapText="1"/>
    </xf>
    <xf numFmtId="165" fontId="41" fillId="2" borderId="0" xfId="1" applyNumberFormat="1" applyFont="1" applyFill="1" applyAlignment="1">
      <alignment horizontal="left" wrapText="1"/>
    </xf>
    <xf numFmtId="0" fontId="41" fillId="2" borderId="0" xfId="1" applyFont="1" applyFill="1" applyBorder="1" applyAlignment="1">
      <alignment wrapText="1"/>
    </xf>
    <xf numFmtId="0" fontId="41" fillId="2" borderId="14" xfId="1" applyFont="1" applyFill="1" applyBorder="1" applyAlignment="1">
      <alignment horizontal="left" vertical="center" wrapText="1"/>
    </xf>
    <xf numFmtId="165" fontId="41" fillId="2" borderId="15" xfId="1" applyNumberFormat="1" applyFont="1" applyFill="1" applyBorder="1" applyAlignment="1">
      <alignment horizontal="center" wrapText="1"/>
    </xf>
    <xf numFmtId="165" fontId="41" fillId="2" borderId="0" xfId="1" applyNumberFormat="1" applyFont="1" applyFill="1" applyBorder="1" applyAlignment="1">
      <alignment horizontal="left" wrapText="1"/>
    </xf>
    <xf numFmtId="166" fontId="33" fillId="2" borderId="0" xfId="1" applyNumberFormat="1" applyFont="1" applyFill="1" applyAlignment="1">
      <alignment horizontal="right"/>
    </xf>
    <xf numFmtId="166" fontId="33" fillId="2" borderId="1" xfId="1" applyNumberFormat="1" applyFont="1" applyFill="1" applyBorder="1" applyAlignment="1">
      <alignment horizontal="right"/>
    </xf>
    <xf numFmtId="3" fontId="33" fillId="2" borderId="0" xfId="1" applyNumberFormat="1" applyFont="1" applyFill="1" applyBorder="1"/>
    <xf numFmtId="166" fontId="33" fillId="2" borderId="0" xfId="1" applyNumberFormat="1" applyFont="1" applyFill="1" applyBorder="1" applyAlignment="1">
      <alignment horizontal="right"/>
    </xf>
    <xf numFmtId="165" fontId="54" fillId="2" borderId="1" xfId="0" applyNumberFormat="1" applyFont="1" applyFill="1" applyBorder="1" applyAlignment="1">
      <alignment wrapText="1"/>
    </xf>
    <xf numFmtId="0" fontId="54" fillId="2" borderId="1" xfId="1" applyFont="1" applyFill="1" applyBorder="1" applyAlignment="1">
      <alignment wrapText="1"/>
    </xf>
    <xf numFmtId="3" fontId="34" fillId="2" borderId="18" xfId="1" applyNumberFormat="1" applyFont="1" applyFill="1" applyBorder="1" applyAlignment="1">
      <alignment vertical="center"/>
    </xf>
    <xf numFmtId="0" fontId="36" fillId="2" borderId="8" xfId="1" applyFont="1" applyFill="1" applyBorder="1" applyAlignment="1">
      <alignment horizontal="center" vertical="center" wrapText="1"/>
    </xf>
    <xf numFmtId="0" fontId="36" fillId="2" borderId="1" xfId="1" applyFont="1" applyFill="1" applyBorder="1"/>
    <xf numFmtId="0" fontId="36" fillId="2" borderId="1" xfId="1" applyFont="1" applyFill="1" applyBorder="1" applyAlignment="1">
      <alignment wrapText="1"/>
    </xf>
    <xf numFmtId="166" fontId="36" fillId="2" borderId="1" xfId="0" applyNumberFormat="1" applyFont="1" applyFill="1" applyBorder="1" applyAlignment="1">
      <alignment wrapText="1"/>
    </xf>
    <xf numFmtId="0" fontId="50" fillId="2" borderId="1" xfId="0" applyFont="1" applyFill="1" applyBorder="1"/>
    <xf numFmtId="164" fontId="6" fillId="2" borderId="0" xfId="1" applyNumberFormat="1" applyFont="1" applyFill="1" applyBorder="1" applyAlignment="1">
      <alignment horizontal="right" wrapText="1"/>
    </xf>
    <xf numFmtId="164" fontId="6" fillId="2" borderId="0" xfId="1" applyNumberFormat="1" applyFont="1" applyFill="1" applyBorder="1" applyAlignment="1">
      <alignment horizontal="right"/>
    </xf>
    <xf numFmtId="1" fontId="20" fillId="2" borderId="0" xfId="1" applyNumberFormat="1" applyFont="1" applyFill="1" applyAlignment="1">
      <alignment horizontal="left" vertical="center"/>
    </xf>
    <xf numFmtId="0" fontId="33" fillId="2" borderId="0" xfId="1" applyFont="1" applyFill="1" applyBorder="1" applyAlignment="1">
      <alignment wrapText="1"/>
    </xf>
    <xf numFmtId="0" fontId="9" fillId="2" borderId="6" xfId="1" applyFont="1" applyFill="1" applyBorder="1"/>
    <xf numFmtId="0" fontId="57" fillId="2" borderId="1" xfId="0" applyFont="1" applyFill="1" applyBorder="1" applyAlignment="1">
      <alignment wrapText="1"/>
    </xf>
    <xf numFmtId="2" fontId="54" fillId="2" borderId="1" xfId="1" applyNumberFormat="1" applyFont="1" applyFill="1" applyBorder="1" applyAlignment="1">
      <alignment wrapText="1"/>
    </xf>
    <xf numFmtId="3" fontId="34" fillId="2" borderId="0" xfId="1" applyNumberFormat="1" applyFont="1" applyFill="1" applyBorder="1" applyAlignment="1"/>
    <xf numFmtId="0" fontId="29" fillId="2" borderId="19" xfId="1" applyFont="1" applyFill="1" applyBorder="1"/>
    <xf numFmtId="0" fontId="49" fillId="2" borderId="20" xfId="1" applyFont="1" applyFill="1" applyBorder="1" applyAlignment="1">
      <alignment horizontal="left"/>
    </xf>
    <xf numFmtId="0" fontId="14" fillId="2" borderId="20" xfId="1" applyFont="1" applyFill="1" applyBorder="1"/>
    <xf numFmtId="165" fontId="36" fillId="5" borderId="21" xfId="1" applyNumberFormat="1" applyFont="1" applyFill="1" applyBorder="1" applyAlignment="1">
      <alignment horizontal="right"/>
    </xf>
    <xf numFmtId="3" fontId="34" fillId="2" borderId="22" xfId="1" applyNumberFormat="1" applyFont="1" applyFill="1" applyBorder="1" applyAlignment="1">
      <alignment vertical="center"/>
    </xf>
    <xf numFmtId="165" fontId="23" fillId="6" borderId="1" xfId="1" applyNumberFormat="1" applyFont="1" applyFill="1" applyBorder="1"/>
    <xf numFmtId="3" fontId="34" fillId="2" borderId="23" xfId="1" applyNumberFormat="1" applyFont="1" applyFill="1" applyBorder="1" applyAlignment="1">
      <alignment vertical="center"/>
    </xf>
    <xf numFmtId="3" fontId="34" fillId="2" borderId="24" xfId="1" applyNumberFormat="1" applyFont="1" applyFill="1" applyBorder="1" applyAlignment="1">
      <alignment vertical="center"/>
    </xf>
    <xf numFmtId="3" fontId="34" fillId="2" borderId="25" xfId="1" applyNumberFormat="1" applyFont="1" applyFill="1" applyBorder="1" applyAlignment="1">
      <alignment vertical="center"/>
    </xf>
    <xf numFmtId="3" fontId="34" fillId="2" borderId="26" xfId="1" applyNumberFormat="1" applyFont="1" applyFill="1" applyBorder="1" applyAlignment="1">
      <alignment vertical="center"/>
    </xf>
    <xf numFmtId="3" fontId="34" fillId="2" borderId="27" xfId="1" applyNumberFormat="1" applyFont="1" applyFill="1" applyBorder="1" applyAlignment="1">
      <alignment vertical="center"/>
    </xf>
    <xf numFmtId="3" fontId="34" fillId="2" borderId="28" xfId="1" applyNumberFormat="1" applyFont="1" applyFill="1" applyBorder="1" applyAlignment="1">
      <alignment vertical="center"/>
    </xf>
    <xf numFmtId="3" fontId="34" fillId="2" borderId="13" xfId="1" applyNumberFormat="1" applyFont="1" applyFill="1" applyBorder="1" applyAlignment="1">
      <alignment vertical="center"/>
    </xf>
    <xf numFmtId="3" fontId="34" fillId="2" borderId="29" xfId="1" applyNumberFormat="1" applyFont="1" applyFill="1" applyBorder="1" applyAlignment="1">
      <alignment vertical="center"/>
    </xf>
    <xf numFmtId="3" fontId="34" fillId="2" borderId="30" xfId="1" applyNumberFormat="1" applyFont="1" applyFill="1" applyBorder="1" applyAlignment="1">
      <alignment vertical="center"/>
    </xf>
    <xf numFmtId="0" fontId="10" fillId="2" borderId="16" xfId="1" applyFont="1" applyFill="1" applyBorder="1" applyAlignment="1">
      <alignment horizontal="right"/>
    </xf>
    <xf numFmtId="165" fontId="33" fillId="2" borderId="22" xfId="1" applyNumberFormat="1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165" fontId="33" fillId="2" borderId="1" xfId="1" applyNumberFormat="1" applyFont="1" applyFill="1" applyBorder="1" applyAlignment="1">
      <alignment horizontal="center"/>
    </xf>
    <xf numFmtId="165" fontId="36" fillId="2" borderId="1" xfId="1" applyNumberFormat="1" applyFont="1" applyFill="1" applyBorder="1" applyAlignment="1">
      <alignment horizontal="left" wrapText="1"/>
    </xf>
    <xf numFmtId="2" fontId="37" fillId="2" borderId="1" xfId="1" applyNumberFormat="1" applyFont="1" applyFill="1" applyBorder="1" applyAlignment="1">
      <alignment wrapText="1"/>
    </xf>
    <xf numFmtId="2" fontId="43" fillId="2" borderId="1" xfId="1" applyNumberFormat="1" applyFont="1" applyFill="1" applyBorder="1" applyAlignment="1" applyProtection="1">
      <alignment horizontal="left" vertical="center" wrapText="1"/>
      <protection locked="0"/>
    </xf>
    <xf numFmtId="167" fontId="48" fillId="2" borderId="1" xfId="1" applyNumberFormat="1" applyFont="1" applyFill="1" applyBorder="1" applyAlignment="1">
      <alignment wrapText="1"/>
    </xf>
    <xf numFmtId="167" fontId="47" fillId="2" borderId="1" xfId="0" applyNumberFormat="1" applyFont="1" applyFill="1" applyBorder="1" applyAlignment="1">
      <alignment wrapText="1"/>
    </xf>
    <xf numFmtId="0" fontId="12" fillId="2" borderId="1" xfId="0" applyFont="1" applyFill="1" applyBorder="1"/>
    <xf numFmtId="167" fontId="33" fillId="2" borderId="1" xfId="1" applyNumberFormat="1" applyFont="1" applyFill="1" applyBorder="1" applyAlignment="1">
      <alignment wrapText="1"/>
    </xf>
    <xf numFmtId="165" fontId="36" fillId="5" borderId="0" xfId="1" applyNumberFormat="1" applyFont="1" applyFill="1" applyAlignment="1">
      <alignment horizontal="center"/>
    </xf>
    <xf numFmtId="165" fontId="36" fillId="5" borderId="1" xfId="1" applyNumberFormat="1" applyFont="1" applyFill="1" applyBorder="1" applyAlignment="1">
      <alignment horizontal="center"/>
    </xf>
    <xf numFmtId="165" fontId="36" fillId="5" borderId="1" xfId="1" applyNumberFormat="1" applyFont="1" applyFill="1" applyBorder="1" applyAlignment="1">
      <alignment horizontal="center" wrapText="1"/>
    </xf>
    <xf numFmtId="165" fontId="36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36" fillId="5" borderId="1" xfId="1" applyNumberFormat="1" applyFont="1" applyFill="1" applyBorder="1" applyAlignment="1">
      <alignment horizontal="center" wrapText="1"/>
    </xf>
    <xf numFmtId="3" fontId="36" fillId="3" borderId="1" xfId="1" applyNumberFormat="1" applyFont="1" applyFill="1" applyBorder="1"/>
    <xf numFmtId="166" fontId="21" fillId="2" borderId="1" xfId="0" applyNumberFormat="1" applyFont="1" applyFill="1" applyBorder="1" applyAlignment="1">
      <alignment wrapText="1"/>
    </xf>
    <xf numFmtId="3" fontId="34" fillId="2" borderId="0" xfId="1" applyNumberFormat="1" applyFont="1" applyFill="1" applyBorder="1" applyAlignment="1">
      <alignment vertical="center"/>
    </xf>
    <xf numFmtId="165" fontId="27" fillId="2" borderId="1" xfId="0" applyNumberFormat="1" applyFont="1" applyFill="1" applyBorder="1" applyAlignment="1">
      <alignment wrapText="1"/>
    </xf>
    <xf numFmtId="167" fontId="27" fillId="2" borderId="1" xfId="0" applyNumberFormat="1" applyFont="1" applyFill="1" applyBorder="1" applyAlignment="1">
      <alignment wrapText="1"/>
    </xf>
    <xf numFmtId="167" fontId="15" fillId="2" borderId="0" xfId="1" applyNumberFormat="1" applyFont="1" applyFill="1" applyBorder="1" applyAlignment="1">
      <alignment horizontal="right"/>
    </xf>
    <xf numFmtId="167" fontId="36" fillId="2" borderId="0" xfId="1" applyNumberFormat="1" applyFont="1" applyFill="1" applyAlignment="1"/>
    <xf numFmtId="165" fontId="56" fillId="2" borderId="1" xfId="1" applyNumberFormat="1" applyFont="1" applyFill="1" applyBorder="1" applyAlignment="1">
      <alignment wrapText="1"/>
    </xf>
    <xf numFmtId="165" fontId="56" fillId="2" borderId="1" xfId="0" applyNumberFormat="1" applyFont="1" applyFill="1" applyBorder="1" applyAlignment="1">
      <alignment wrapText="1"/>
    </xf>
    <xf numFmtId="2" fontId="31" fillId="2" borderId="1" xfId="1" applyNumberFormat="1" applyFont="1" applyFill="1" applyBorder="1" applyAlignment="1" applyProtection="1">
      <alignment horizontal="left" vertical="center" wrapText="1"/>
      <protection locked="0"/>
    </xf>
    <xf numFmtId="2" fontId="31" fillId="2" borderId="1" xfId="1" applyNumberFormat="1" applyFont="1" applyFill="1" applyBorder="1" applyAlignment="1">
      <alignment wrapText="1"/>
    </xf>
    <xf numFmtId="167" fontId="56" fillId="2" borderId="1" xfId="0" applyNumberFormat="1" applyFont="1" applyFill="1" applyBorder="1" applyAlignment="1">
      <alignment wrapText="1"/>
    </xf>
    <xf numFmtId="165" fontId="31" fillId="2" borderId="1" xfId="0" applyNumberFormat="1" applyFont="1" applyFill="1" applyBorder="1" applyAlignment="1">
      <alignment wrapText="1"/>
    </xf>
    <xf numFmtId="167" fontId="15" fillId="2" borderId="0" xfId="1" applyNumberFormat="1" applyFont="1" applyFill="1" applyAlignment="1">
      <alignment horizontal="right"/>
    </xf>
    <xf numFmtId="167" fontId="15" fillId="2" borderId="0" xfId="1" applyNumberFormat="1" applyFont="1" applyFill="1" applyAlignment="1">
      <alignment horizontal="left"/>
    </xf>
    <xf numFmtId="167" fontId="30" fillId="2" borderId="17" xfId="1" applyNumberFormat="1" applyFont="1" applyFill="1" applyBorder="1" applyAlignment="1">
      <alignment horizontal="right" wrapText="1"/>
    </xf>
    <xf numFmtId="167" fontId="15" fillId="2" borderId="17" xfId="1" applyNumberFormat="1" applyFont="1" applyFill="1" applyBorder="1" applyAlignment="1">
      <alignment horizontal="right"/>
    </xf>
    <xf numFmtId="167" fontId="15" fillId="2" borderId="17" xfId="1" applyNumberFormat="1" applyFont="1" applyFill="1" applyBorder="1"/>
    <xf numFmtId="167" fontId="15" fillId="8" borderId="18" xfId="1" applyNumberFormat="1" applyFont="1" applyFill="1" applyBorder="1"/>
    <xf numFmtId="167" fontId="36" fillId="2" borderId="0" xfId="1" applyNumberFormat="1" applyFont="1" applyFill="1" applyBorder="1" applyAlignment="1">
      <alignment wrapText="1"/>
    </xf>
    <xf numFmtId="167" fontId="36" fillId="2" borderId="1" xfId="1" applyNumberFormat="1" applyFont="1" applyFill="1" applyBorder="1" applyAlignment="1">
      <alignment horizontal="right"/>
    </xf>
    <xf numFmtId="167" fontId="37" fillId="2" borderId="0" xfId="1" applyNumberFormat="1" applyFont="1" applyFill="1" applyBorder="1" applyAlignment="1">
      <alignment horizontal="left"/>
    </xf>
    <xf numFmtId="167" fontId="36" fillId="2" borderId="0" xfId="1" applyNumberFormat="1" applyFont="1" applyFill="1" applyBorder="1" applyAlignment="1">
      <alignment horizontal="right"/>
    </xf>
    <xf numFmtId="167" fontId="36" fillId="2" borderId="0" xfId="1" applyNumberFormat="1" applyFont="1" applyFill="1" applyAlignment="1">
      <alignment horizontal="right"/>
    </xf>
    <xf numFmtId="167" fontId="39" fillId="2" borderId="7" xfId="1" applyNumberFormat="1" applyFont="1" applyFill="1" applyBorder="1" applyAlignment="1">
      <alignment horizontal="center" vertical="center" wrapText="1"/>
    </xf>
    <xf numFmtId="167" fontId="36" fillId="2" borderId="0" xfId="1" applyNumberFormat="1" applyFont="1" applyFill="1" applyBorder="1"/>
    <xf numFmtId="167" fontId="36" fillId="2" borderId="0" xfId="1" applyNumberFormat="1" applyFont="1" applyFill="1"/>
    <xf numFmtId="167" fontId="11" fillId="2" borderId="0" xfId="1" applyNumberFormat="1" applyFont="1" applyFill="1" applyBorder="1"/>
    <xf numFmtId="167" fontId="4" fillId="2" borderId="0" xfId="1" applyNumberFormat="1" applyFont="1" applyFill="1" applyAlignment="1">
      <alignment horizontal="left"/>
    </xf>
    <xf numFmtId="167" fontId="39" fillId="2" borderId="1" xfId="1" applyNumberFormat="1" applyFont="1" applyFill="1" applyBorder="1" applyAlignment="1">
      <alignment horizontal="right" wrapText="1"/>
    </xf>
    <xf numFmtId="167" fontId="11" fillId="2" borderId="1" xfId="1" applyNumberFormat="1" applyFont="1" applyFill="1" applyBorder="1"/>
    <xf numFmtId="167" fontId="21" fillId="2" borderId="1" xfId="1" applyNumberFormat="1" applyFont="1" applyFill="1" applyBorder="1"/>
    <xf numFmtId="167" fontId="21" fillId="2" borderId="3" xfId="1" applyNumberFormat="1" applyFont="1" applyFill="1" applyBorder="1"/>
    <xf numFmtId="167" fontId="11" fillId="2" borderId="6" xfId="1" applyNumberFormat="1" applyFont="1" applyFill="1" applyBorder="1"/>
    <xf numFmtId="167" fontId="40" fillId="2" borderId="1" xfId="0" applyNumberFormat="1" applyFont="1" applyFill="1" applyBorder="1" applyAlignment="1">
      <alignment horizontal="right"/>
    </xf>
    <xf numFmtId="167" fontId="40" fillId="2" borderId="2" xfId="0" applyNumberFormat="1" applyFont="1" applyFill="1" applyBorder="1" applyAlignment="1">
      <alignment horizontal="right"/>
    </xf>
    <xf numFmtId="167" fontId="40" fillId="2" borderId="3" xfId="0" applyNumberFormat="1" applyFont="1" applyFill="1" applyBorder="1" applyAlignment="1">
      <alignment horizontal="right"/>
    </xf>
    <xf numFmtId="167" fontId="11" fillId="2" borderId="2" xfId="1" applyNumberFormat="1" applyFont="1" applyFill="1" applyBorder="1"/>
    <xf numFmtId="167" fontId="21" fillId="2" borderId="13" xfId="1" applyNumberFormat="1" applyFont="1" applyFill="1" applyBorder="1"/>
    <xf numFmtId="167" fontId="11" fillId="2" borderId="28" xfId="1" applyNumberFormat="1" applyFont="1" applyFill="1" applyBorder="1"/>
    <xf numFmtId="167" fontId="12" fillId="2" borderId="3" xfId="0" applyNumberFormat="1" applyFont="1" applyFill="1" applyBorder="1" applyAlignment="1">
      <alignment wrapText="1"/>
    </xf>
    <xf numFmtId="167" fontId="11" fillId="2" borderId="13" xfId="1" applyNumberFormat="1" applyFont="1" applyFill="1" applyBorder="1"/>
    <xf numFmtId="167" fontId="40" fillId="2" borderId="6" xfId="0" applyNumberFormat="1" applyFont="1" applyFill="1" applyBorder="1" applyAlignment="1">
      <alignment horizontal="right"/>
    </xf>
    <xf numFmtId="167" fontId="16" fillId="2" borderId="1" xfId="1" applyNumberFormat="1" applyFont="1" applyFill="1" applyBorder="1"/>
    <xf numFmtId="167" fontId="21" fillId="2" borderId="2" xfId="1" applyNumberFormat="1" applyFont="1" applyFill="1" applyBorder="1"/>
    <xf numFmtId="167" fontId="0" fillId="0" borderId="1" xfId="0" applyNumberFormat="1" applyBorder="1"/>
    <xf numFmtId="167" fontId="0" fillId="0" borderId="3" xfId="0" applyNumberFormat="1" applyBorder="1"/>
    <xf numFmtId="167" fontId="16" fillId="2" borderId="6" xfId="1" applyNumberFormat="1" applyFont="1" applyFill="1" applyBorder="1"/>
    <xf numFmtId="167" fontId="21" fillId="2" borderId="6" xfId="1" applyNumberFormat="1" applyFont="1" applyFill="1" applyBorder="1"/>
    <xf numFmtId="167" fontId="14" fillId="2" borderId="1" xfId="1" applyNumberFormat="1" applyFont="1" applyFill="1" applyBorder="1"/>
    <xf numFmtId="167" fontId="11" fillId="2" borderId="3" xfId="1" applyNumberFormat="1" applyFont="1" applyFill="1" applyBorder="1"/>
    <xf numFmtId="167" fontId="14" fillId="2" borderId="6" xfId="1" applyNumberFormat="1" applyFont="1" applyFill="1" applyBorder="1"/>
    <xf numFmtId="167" fontId="16" fillId="2" borderId="2" xfId="1" applyNumberFormat="1" applyFont="1" applyFill="1" applyBorder="1"/>
    <xf numFmtId="167" fontId="40" fillId="2" borderId="13" xfId="0" applyNumberFormat="1" applyFont="1" applyFill="1" applyBorder="1" applyAlignment="1">
      <alignment horizontal="right"/>
    </xf>
    <xf numFmtId="167" fontId="16" fillId="2" borderId="1" xfId="1" applyNumberFormat="1" applyFont="1" applyFill="1" applyBorder="1" applyAlignment="1">
      <alignment wrapText="1"/>
    </xf>
    <xf numFmtId="167" fontId="11" fillId="2" borderId="20" xfId="1" applyNumberFormat="1" applyFont="1" applyFill="1" applyBorder="1"/>
    <xf numFmtId="167" fontId="3" fillId="2" borderId="0" xfId="1" applyNumberFormat="1" applyFont="1" applyFill="1" applyBorder="1"/>
    <xf numFmtId="0" fontId="16" fillId="2" borderId="1" xfId="1" applyFont="1" applyFill="1" applyBorder="1"/>
    <xf numFmtId="166" fontId="31" fillId="2" borderId="1" xfId="0" applyNumberFormat="1" applyFont="1" applyFill="1" applyBorder="1" applyAlignment="1">
      <alignment wrapText="1"/>
    </xf>
    <xf numFmtId="167" fontId="1" fillId="2" borderId="0" xfId="1" applyNumberFormat="1" applyFont="1" applyFill="1"/>
    <xf numFmtId="167" fontId="9" fillId="2" borderId="0" xfId="1" applyNumberFormat="1" applyFont="1" applyFill="1"/>
    <xf numFmtId="167" fontId="39" fillId="2" borderId="1" xfId="1" applyNumberFormat="1" applyFont="1" applyFill="1" applyBorder="1" applyAlignment="1">
      <alignment wrapText="1"/>
    </xf>
    <xf numFmtId="167" fontId="8" fillId="2" borderId="0" xfId="1" applyNumberFormat="1" applyFont="1" applyFill="1"/>
    <xf numFmtId="167" fontId="3" fillId="2" borderId="18" xfId="1" applyNumberFormat="1" applyFont="1" applyFill="1" applyBorder="1"/>
    <xf numFmtId="167" fontId="36" fillId="2" borderId="29" xfId="1" applyNumberFormat="1" applyFont="1" applyFill="1" applyBorder="1" applyAlignment="1">
      <alignment wrapText="1"/>
    </xf>
    <xf numFmtId="167" fontId="1" fillId="2" borderId="0" xfId="1" applyNumberFormat="1" applyFont="1" applyFill="1" applyBorder="1"/>
    <xf numFmtId="167" fontId="39" fillId="2" borderId="10" xfId="1" applyNumberFormat="1" applyFont="1" applyFill="1" applyBorder="1" applyAlignment="1">
      <alignment horizontal="right" vertical="center" wrapText="1"/>
    </xf>
    <xf numFmtId="167" fontId="36" fillId="2" borderId="31" xfId="1" applyNumberFormat="1" applyFont="1" applyFill="1" applyBorder="1" applyAlignment="1">
      <alignment horizontal="right"/>
    </xf>
    <xf numFmtId="167" fontId="36" fillId="2" borderId="22" xfId="1" applyNumberFormat="1" applyFont="1" applyFill="1" applyBorder="1" applyAlignment="1">
      <alignment horizontal="right"/>
    </xf>
    <xf numFmtId="167" fontId="36" fillId="2" borderId="32" xfId="1" applyNumberFormat="1" applyFont="1" applyFill="1" applyBorder="1" applyAlignment="1">
      <alignment horizontal="right"/>
    </xf>
    <xf numFmtId="0" fontId="39" fillId="2" borderId="24" xfId="1" applyFont="1" applyFill="1" applyBorder="1" applyAlignment="1">
      <alignment vertical="center" wrapText="1"/>
    </xf>
    <xf numFmtId="0" fontId="35" fillId="2" borderId="30" xfId="1" applyFont="1" applyFill="1" applyBorder="1" applyAlignment="1">
      <alignment vertical="center"/>
    </xf>
    <xf numFmtId="165" fontId="57" fillId="2" borderId="1" xfId="0" applyNumberFormat="1" applyFont="1" applyFill="1" applyBorder="1" applyAlignment="1">
      <alignment wrapText="1"/>
    </xf>
    <xf numFmtId="2" fontId="32" fillId="2" borderId="1" xfId="1" applyNumberFormat="1" applyFont="1" applyFill="1" applyBorder="1" applyAlignment="1">
      <alignment wrapText="1"/>
    </xf>
    <xf numFmtId="167" fontId="32" fillId="2" borderId="1" xfId="1" applyNumberFormat="1" applyFont="1" applyFill="1" applyBorder="1" applyAlignment="1">
      <alignment wrapText="1"/>
    </xf>
    <xf numFmtId="165" fontId="32" fillId="2" borderId="1" xfId="0" applyNumberFormat="1" applyFont="1" applyFill="1" applyBorder="1" applyAlignment="1">
      <alignment wrapText="1"/>
    </xf>
    <xf numFmtId="0" fontId="32" fillId="2" borderId="1" xfId="1" applyFont="1" applyFill="1" applyBorder="1" applyAlignment="1" applyProtection="1">
      <alignment horizontal="left" vertical="center" wrapText="1"/>
      <protection locked="0"/>
    </xf>
    <xf numFmtId="2" fontId="57" fillId="2" borderId="1" xfId="1" applyNumberFormat="1" applyFont="1" applyFill="1" applyBorder="1" applyAlignment="1" applyProtection="1">
      <alignment horizontal="left" vertical="center" wrapText="1"/>
      <protection locked="0"/>
    </xf>
    <xf numFmtId="2" fontId="42" fillId="2" borderId="1" xfId="1" applyNumberFormat="1" applyFont="1" applyFill="1" applyBorder="1" applyAlignment="1">
      <alignment wrapText="1"/>
    </xf>
    <xf numFmtId="167" fontId="57" fillId="2" borderId="1" xfId="0" applyNumberFormat="1" applyFont="1" applyFill="1" applyBorder="1" applyAlignment="1">
      <alignment wrapText="1"/>
    </xf>
    <xf numFmtId="1" fontId="33" fillId="2" borderId="1" xfId="1" applyNumberFormat="1" applyFont="1" applyFill="1" applyBorder="1" applyAlignment="1">
      <alignment horizontal="right"/>
    </xf>
    <xf numFmtId="1" fontId="33" fillId="2" borderId="1" xfId="1" applyNumberFormat="1" applyFont="1" applyFill="1" applyBorder="1" applyAlignment="1"/>
    <xf numFmtId="0" fontId="36" fillId="2" borderId="0" xfId="1" applyFont="1" applyFill="1" applyBorder="1" applyAlignment="1">
      <alignment horizontal="center"/>
    </xf>
    <xf numFmtId="167" fontId="15" fillId="2" borderId="18" xfId="1" applyNumberFormat="1" applyFont="1" applyFill="1" applyBorder="1"/>
    <xf numFmtId="167" fontId="0" fillId="2" borderId="1" xfId="0" applyNumberFormat="1" applyFill="1" applyBorder="1"/>
    <xf numFmtId="4" fontId="22" fillId="2" borderId="1" xfId="0" applyNumberFormat="1" applyFont="1" applyFill="1" applyBorder="1" applyAlignment="1">
      <alignment wrapText="1"/>
    </xf>
    <xf numFmtId="165" fontId="36" fillId="2" borderId="0" xfId="1" applyNumberFormat="1" applyFont="1" applyFill="1" applyBorder="1" applyAlignment="1">
      <alignment horizontal="center"/>
    </xf>
    <xf numFmtId="167" fontId="36" fillId="6" borderId="1" xfId="1" applyNumberFormat="1" applyFont="1" applyFill="1" applyBorder="1" applyAlignment="1">
      <alignment horizontal="right"/>
    </xf>
    <xf numFmtId="1" fontId="33" fillId="2" borderId="1" xfId="1" applyNumberFormat="1" applyFont="1" applyFill="1" applyBorder="1" applyAlignment="1">
      <alignment horizontal="center"/>
    </xf>
    <xf numFmtId="0" fontId="33" fillId="2" borderId="1" xfId="1" applyNumberFormat="1" applyFont="1" applyFill="1" applyBorder="1" applyAlignment="1">
      <alignment horizontal="left"/>
    </xf>
    <xf numFmtId="165" fontId="33" fillId="2" borderId="1" xfId="1" applyNumberFormat="1" applyFont="1" applyFill="1" applyBorder="1" applyAlignment="1">
      <alignment horizontal="left"/>
    </xf>
    <xf numFmtId="49" fontId="33" fillId="2" borderId="1" xfId="1" applyNumberFormat="1" applyFont="1" applyFill="1" applyBorder="1" applyAlignment="1">
      <alignment horizontal="left"/>
    </xf>
    <xf numFmtId="0" fontId="33" fillId="2" borderId="1" xfId="1" applyFont="1" applyFill="1" applyBorder="1"/>
    <xf numFmtId="49" fontId="33" fillId="2" borderId="1" xfId="1" applyNumberFormat="1" applyFont="1" applyFill="1" applyBorder="1"/>
    <xf numFmtId="0" fontId="33" fillId="2" borderId="1" xfId="1" applyFont="1" applyFill="1" applyBorder="1" applyAlignment="1">
      <alignment horizontal="left"/>
    </xf>
    <xf numFmtId="0" fontId="33" fillId="2" borderId="0" xfId="1" applyNumberFormat="1" applyFont="1" applyFill="1" applyBorder="1" applyAlignment="1"/>
    <xf numFmtId="0" fontId="33" fillId="2" borderId="1" xfId="1" applyFont="1" applyFill="1" applyBorder="1" applyAlignment="1">
      <alignment horizontal="center"/>
    </xf>
    <xf numFmtId="49" fontId="33" fillId="2" borderId="1" xfId="1" applyNumberFormat="1" applyFont="1" applyFill="1" applyBorder="1" applyAlignment="1">
      <alignment wrapText="1"/>
    </xf>
    <xf numFmtId="0" fontId="33" fillId="2" borderId="1" xfId="1" applyNumberFormat="1" applyFont="1" applyFill="1" applyBorder="1" applyAlignment="1">
      <alignment horizontal="center" wrapText="1"/>
    </xf>
    <xf numFmtId="49" fontId="33" fillId="2" borderId="1" xfId="1" applyNumberFormat="1" applyFont="1" applyFill="1" applyBorder="1" applyAlignment="1">
      <alignment horizontal="right"/>
    </xf>
    <xf numFmtId="165" fontId="33" fillId="2" borderId="1" xfId="1" applyNumberFormat="1" applyFont="1" applyFill="1" applyBorder="1" applyAlignment="1"/>
    <xf numFmtId="0" fontId="33" fillId="2" borderId="1" xfId="1" applyFont="1" applyFill="1" applyBorder="1" applyAlignment="1">
      <alignment horizontal="right"/>
    </xf>
    <xf numFmtId="0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33" fillId="2" borderId="1" xfId="1" applyNumberFormat="1" applyFont="1" applyFill="1" applyBorder="1"/>
    <xf numFmtId="1" fontId="33" fillId="2" borderId="1" xfId="1" applyNumberFormat="1" applyFont="1" applyFill="1" applyBorder="1" applyAlignment="1">
      <alignment horizontal="left"/>
    </xf>
    <xf numFmtId="2" fontId="57" fillId="2" borderId="1" xfId="1" applyNumberFormat="1" applyFont="1" applyFill="1" applyBorder="1" applyAlignment="1">
      <alignment wrapText="1"/>
    </xf>
    <xf numFmtId="167" fontId="0" fillId="0" borderId="2" xfId="0" applyNumberFormat="1" applyBorder="1"/>
    <xf numFmtId="166" fontId="29" fillId="2" borderId="1" xfId="0" applyNumberFormat="1" applyFont="1" applyFill="1" applyBorder="1" applyAlignment="1">
      <alignment wrapText="1"/>
    </xf>
    <xf numFmtId="3" fontId="34" fillId="2" borderId="33" xfId="1" applyNumberFormat="1" applyFont="1" applyFill="1" applyBorder="1" applyAlignment="1">
      <alignment vertical="center"/>
    </xf>
    <xf numFmtId="3" fontId="34" fillId="2" borderId="34" xfId="1" applyNumberFormat="1" applyFont="1" applyFill="1" applyBorder="1" applyAlignment="1">
      <alignment vertical="center"/>
    </xf>
    <xf numFmtId="167" fontId="58" fillId="2" borderId="0" xfId="1" applyNumberFormat="1" applyFont="1" applyFill="1" applyBorder="1" applyAlignment="1">
      <alignment horizontal="right"/>
    </xf>
    <xf numFmtId="166" fontId="33" fillId="3" borderId="1" xfId="1" applyNumberFormat="1" applyFont="1" applyFill="1" applyBorder="1" applyAlignment="1">
      <alignment horizontal="right"/>
    </xf>
    <xf numFmtId="0" fontId="2" fillId="2" borderId="35" xfId="1" applyFont="1" applyFill="1" applyBorder="1" applyAlignment="1">
      <alignment horizontal="right"/>
    </xf>
    <xf numFmtId="166" fontId="22" fillId="5" borderId="1" xfId="0" applyNumberFormat="1" applyFont="1" applyFill="1" applyBorder="1" applyAlignment="1">
      <alignment wrapText="1"/>
    </xf>
    <xf numFmtId="167" fontId="36" fillId="7" borderId="1" xfId="1" applyNumberFormat="1" applyFont="1" applyFill="1" applyBorder="1" applyAlignment="1">
      <alignment horizontal="right"/>
    </xf>
    <xf numFmtId="165" fontId="3" fillId="3" borderId="1" xfId="1" applyNumberFormat="1" applyFont="1" applyFill="1" applyBorder="1"/>
    <xf numFmtId="165" fontId="23" fillId="3" borderId="1" xfId="1" applyNumberFormat="1" applyFont="1" applyFill="1" applyBorder="1"/>
    <xf numFmtId="3" fontId="34" fillId="2" borderId="2" xfId="1" applyNumberFormat="1" applyFont="1" applyFill="1" applyBorder="1" applyAlignment="1">
      <alignment vertical="center"/>
    </xf>
    <xf numFmtId="3" fontId="34" fillId="2" borderId="3" xfId="1" applyNumberFormat="1" applyFont="1" applyFill="1" applyBorder="1" applyAlignment="1">
      <alignment vertical="center"/>
    </xf>
    <xf numFmtId="3" fontId="34" fillId="2" borderId="6" xfId="1" applyNumberFormat="1" applyFont="1" applyFill="1" applyBorder="1" applyAlignment="1">
      <alignment vertical="center"/>
    </xf>
    <xf numFmtId="165" fontId="3" fillId="7" borderId="2" xfId="1" applyNumberFormat="1" applyFont="1" applyFill="1" applyBorder="1"/>
    <xf numFmtId="167" fontId="54" fillId="2" borderId="1" xfId="0" applyNumberFormat="1" applyFont="1" applyFill="1" applyBorder="1" applyAlignment="1">
      <alignment wrapText="1"/>
    </xf>
    <xf numFmtId="165" fontId="59" fillId="2" borderId="1" xfId="0" applyNumberFormat="1" applyFont="1" applyFill="1" applyBorder="1" applyAlignment="1">
      <alignment wrapText="1"/>
    </xf>
    <xf numFmtId="0" fontId="33" fillId="2" borderId="1" xfId="1" applyFont="1" applyFill="1" applyBorder="1" applyAlignment="1">
      <alignment wrapText="1"/>
    </xf>
    <xf numFmtId="166" fontId="19" fillId="0" borderId="1" xfId="0" applyNumberFormat="1" applyFont="1" applyFill="1" applyBorder="1" applyAlignment="1">
      <alignment wrapText="1"/>
    </xf>
    <xf numFmtId="165" fontId="3" fillId="2" borderId="1" xfId="1" applyNumberFormat="1" applyFont="1" applyFill="1" applyBorder="1" applyAlignment="1">
      <alignment horizontal="center"/>
    </xf>
    <xf numFmtId="166" fontId="22" fillId="0" borderId="1" xfId="0" applyNumberFormat="1" applyFont="1" applyFill="1" applyBorder="1" applyAlignment="1">
      <alignment wrapText="1"/>
    </xf>
    <xf numFmtId="166" fontId="42" fillId="2" borderId="1" xfId="1" applyNumberFormat="1" applyFont="1" applyFill="1" applyBorder="1" applyAlignment="1">
      <alignment wrapText="1"/>
    </xf>
    <xf numFmtId="167" fontId="36" fillId="8" borderId="1" xfId="1" applyNumberFormat="1" applyFont="1" applyFill="1" applyBorder="1" applyAlignment="1">
      <alignment horizontal="right"/>
    </xf>
    <xf numFmtId="167" fontId="36" fillId="2" borderId="4" xfId="1" applyNumberFormat="1" applyFont="1" applyFill="1" applyBorder="1" applyAlignment="1">
      <alignment horizontal="right"/>
    </xf>
    <xf numFmtId="167" fontId="36" fillId="2" borderId="36" xfId="1" applyNumberFormat="1" applyFont="1" applyFill="1" applyBorder="1" applyAlignment="1">
      <alignment horizontal="right"/>
    </xf>
    <xf numFmtId="167" fontId="36" fillId="2" borderId="37" xfId="1" applyNumberFormat="1" applyFont="1" applyFill="1" applyBorder="1" applyAlignment="1">
      <alignment horizontal="right"/>
    </xf>
    <xf numFmtId="167" fontId="54" fillId="2" borderId="1" xfId="1" applyNumberFormat="1" applyFont="1" applyFill="1" applyBorder="1" applyAlignment="1">
      <alignment wrapText="1"/>
    </xf>
    <xf numFmtId="0" fontId="3" fillId="2" borderId="2" xfId="1" applyFont="1" applyFill="1" applyBorder="1" applyAlignment="1">
      <alignment horizontal="right"/>
    </xf>
    <xf numFmtId="0" fontId="21" fillId="2" borderId="2" xfId="1" applyFont="1" applyFill="1" applyBorder="1" applyAlignment="1">
      <alignment horizontal="center" wrapText="1"/>
    </xf>
    <xf numFmtId="0" fontId="18" fillId="2" borderId="2" xfId="1" applyFont="1" applyFill="1" applyBorder="1" applyAlignment="1">
      <alignment horizontal="left" wrapText="1"/>
    </xf>
    <xf numFmtId="166" fontId="36" fillId="2" borderId="2" xfId="0" applyNumberFormat="1" applyFont="1" applyFill="1" applyBorder="1" applyAlignment="1">
      <alignment wrapText="1"/>
    </xf>
    <xf numFmtId="49" fontId="33" fillId="2" borderId="2" xfId="1" applyNumberFormat="1" applyFont="1" applyFill="1" applyBorder="1" applyAlignment="1">
      <alignment horizontal="center"/>
    </xf>
    <xf numFmtId="3" fontId="36" fillId="2" borderId="2" xfId="1" applyNumberFormat="1" applyFont="1" applyFill="1" applyBorder="1"/>
    <xf numFmtId="167" fontId="36" fillId="2" borderId="2" xfId="1" applyNumberFormat="1" applyFont="1" applyFill="1" applyBorder="1" applyAlignment="1">
      <alignment horizontal="right"/>
    </xf>
    <xf numFmtId="166" fontId="33" fillId="2" borderId="2" xfId="1" applyNumberFormat="1" applyFont="1" applyFill="1" applyBorder="1" applyAlignment="1">
      <alignment horizontal="right"/>
    </xf>
    <xf numFmtId="165" fontId="36" fillId="5" borderId="2" xfId="1" applyNumberFormat="1" applyFont="1" applyFill="1" applyBorder="1" applyAlignment="1">
      <alignment horizontal="center"/>
    </xf>
    <xf numFmtId="167" fontId="15" fillId="2" borderId="27" xfId="1" applyNumberFormat="1" applyFont="1" applyFill="1" applyBorder="1"/>
    <xf numFmtId="167" fontId="15" fillId="2" borderId="1" xfId="1" applyNumberFormat="1" applyFont="1" applyFill="1" applyBorder="1"/>
    <xf numFmtId="167" fontId="39" fillId="2" borderId="38" xfId="1" applyNumberFormat="1" applyFont="1" applyFill="1" applyBorder="1" applyAlignment="1">
      <alignment horizontal="center" vertical="center" wrapText="1"/>
    </xf>
    <xf numFmtId="167" fontId="36" fillId="2" borderId="3" xfId="1" applyNumberFormat="1" applyFont="1" applyFill="1" applyBorder="1" applyAlignment="1">
      <alignment horizontal="right"/>
    </xf>
    <xf numFmtId="0" fontId="36" fillId="2" borderId="1" xfId="1" applyFont="1" applyFill="1" applyBorder="1" applyAlignment="1">
      <alignment horizontal="center"/>
    </xf>
    <xf numFmtId="0" fontId="36" fillId="2" borderId="37" xfId="1" applyFont="1" applyFill="1" applyBorder="1" applyAlignment="1">
      <alignment horizontal="center"/>
    </xf>
    <xf numFmtId="3" fontId="36" fillId="2" borderId="32" xfId="1" applyNumberFormat="1" applyFont="1" applyFill="1" applyBorder="1"/>
    <xf numFmtId="3" fontId="36" fillId="2" borderId="32" xfId="1" applyNumberFormat="1" applyFont="1" applyFill="1" applyBorder="1" applyAlignment="1">
      <alignment horizontal="right"/>
    </xf>
    <xf numFmtId="166" fontId="36" fillId="2" borderId="32" xfId="1" applyNumberFormat="1" applyFont="1" applyFill="1" applyBorder="1" applyAlignment="1">
      <alignment wrapText="1"/>
    </xf>
    <xf numFmtId="165" fontId="36" fillId="2" borderId="16" xfId="1" applyNumberFormat="1" applyFont="1" applyFill="1" applyBorder="1" applyAlignment="1">
      <alignment wrapText="1"/>
    </xf>
    <xf numFmtId="167" fontId="36" fillId="2" borderId="6" xfId="1" applyNumberFormat="1" applyFont="1" applyFill="1" applyBorder="1" applyAlignment="1">
      <alignment horizontal="right"/>
    </xf>
    <xf numFmtId="0" fontId="39" fillId="2" borderId="15" xfId="1" applyFont="1" applyFill="1" applyBorder="1" applyAlignment="1">
      <alignment horizontal="center" vertical="center" wrapText="1"/>
    </xf>
    <xf numFmtId="3" fontId="36" fillId="7" borderId="1" xfId="1" applyNumberFormat="1" applyFont="1" applyFill="1" applyBorder="1"/>
    <xf numFmtId="166" fontId="42" fillId="2" borderId="1" xfId="0" applyNumberFormat="1" applyFont="1" applyFill="1" applyBorder="1" applyAlignment="1">
      <alignment wrapText="1"/>
    </xf>
    <xf numFmtId="3" fontId="36" fillId="2" borderId="3" xfId="1" applyNumberFormat="1" applyFont="1" applyFill="1" applyBorder="1"/>
    <xf numFmtId="165" fontId="36" fillId="2" borderId="0" xfId="1" applyNumberFormat="1" applyFont="1" applyFill="1" applyAlignment="1">
      <alignment horizontal="center"/>
    </xf>
    <xf numFmtId="0" fontId="33" fillId="3" borderId="1" xfId="1" applyNumberFormat="1" applyFont="1" applyFill="1" applyBorder="1" applyAlignment="1">
      <alignment horizontal="center"/>
    </xf>
    <xf numFmtId="0" fontId="33" fillId="2" borderId="0" xfId="1" applyNumberFormat="1" applyFont="1" applyFill="1" applyAlignment="1">
      <alignment horizontal="center"/>
    </xf>
    <xf numFmtId="0" fontId="33" fillId="2" borderId="0" xfId="1" applyNumberFormat="1" applyFont="1" applyFill="1" applyBorder="1" applyAlignment="1">
      <alignment horizontal="center"/>
    </xf>
    <xf numFmtId="0" fontId="33" fillId="2" borderId="11" xfId="1" applyNumberFormat="1" applyFont="1" applyFill="1" applyBorder="1" applyAlignment="1">
      <alignment horizontal="center" vertical="center" wrapText="1"/>
    </xf>
    <xf numFmtId="0" fontId="33" fillId="2" borderId="1" xfId="1" applyNumberFormat="1" applyFont="1" applyFill="1" applyBorder="1"/>
    <xf numFmtId="0" fontId="33" fillId="3" borderId="1" xfId="1" applyNumberFormat="1" applyFont="1" applyFill="1" applyBorder="1" applyAlignment="1">
      <alignment horizontal="left"/>
    </xf>
    <xf numFmtId="0" fontId="33" fillId="2" borderId="1" xfId="1" applyNumberFormat="1" applyFont="1" applyFill="1" applyBorder="1" applyAlignment="1">
      <alignment wrapText="1"/>
    </xf>
    <xf numFmtId="167" fontId="36" fillId="8" borderId="3" xfId="1" applyNumberFormat="1" applyFont="1" applyFill="1" applyBorder="1" applyAlignment="1">
      <alignment horizontal="right"/>
    </xf>
    <xf numFmtId="0" fontId="36" fillId="2" borderId="1" xfId="1" applyFont="1" applyFill="1" applyBorder="1" applyAlignment="1" applyProtection="1">
      <alignment horizontal="left" vertical="center" wrapText="1"/>
      <protection locked="0"/>
    </xf>
    <xf numFmtId="0" fontId="54" fillId="3" borderId="1" xfId="1" applyFont="1" applyFill="1" applyBorder="1" applyAlignment="1" applyProtection="1">
      <alignment horizontal="left" vertical="center" wrapText="1"/>
      <protection locked="0"/>
    </xf>
    <xf numFmtId="0" fontId="59" fillId="2" borderId="1" xfId="0" applyFont="1" applyFill="1" applyBorder="1" applyAlignment="1">
      <alignment wrapText="1"/>
    </xf>
    <xf numFmtId="167" fontId="36" fillId="7" borderId="32" xfId="1" applyNumberFormat="1" applyFont="1" applyFill="1" applyBorder="1" applyAlignment="1">
      <alignment horizontal="right"/>
    </xf>
    <xf numFmtId="3" fontId="36" fillId="2" borderId="36" xfId="1" applyNumberFormat="1" applyFont="1" applyFill="1" applyBorder="1"/>
    <xf numFmtId="0" fontId="25" fillId="2" borderId="19" xfId="1" applyFont="1" applyFill="1" applyBorder="1" applyAlignment="1">
      <alignment horizontal="right"/>
    </xf>
    <xf numFmtId="0" fontId="33" fillId="2" borderId="39" xfId="1" applyNumberFormat="1" applyFont="1" applyFill="1" applyBorder="1" applyAlignment="1">
      <alignment horizontal="center"/>
    </xf>
    <xf numFmtId="167" fontId="36" fillId="5" borderId="20" xfId="1" applyNumberFormat="1" applyFont="1" applyFill="1" applyBorder="1" applyAlignment="1">
      <alignment horizontal="right"/>
    </xf>
    <xf numFmtId="3" fontId="36" fillId="2" borderId="20" xfId="1" applyNumberFormat="1" applyFont="1" applyFill="1" applyBorder="1"/>
    <xf numFmtId="165" fontId="36" fillId="2" borderId="1" xfId="1" applyNumberFormat="1" applyFont="1" applyFill="1" applyBorder="1" applyAlignment="1">
      <alignment horizontal="center"/>
    </xf>
    <xf numFmtId="3" fontId="36" fillId="2" borderId="6" xfId="1" applyNumberFormat="1" applyFont="1" applyFill="1" applyBorder="1"/>
    <xf numFmtId="3" fontId="36" fillId="2" borderId="4" xfId="1" applyNumberFormat="1" applyFont="1" applyFill="1" applyBorder="1"/>
    <xf numFmtId="0" fontId="59" fillId="2" borderId="1" xfId="1" applyFont="1" applyFill="1" applyBorder="1" applyAlignment="1">
      <alignment wrapText="1"/>
    </xf>
    <xf numFmtId="14" fontId="42" fillId="0" borderId="1" xfId="0" applyNumberFormat="1" applyFont="1" applyFill="1" applyBorder="1" applyAlignment="1">
      <alignment wrapText="1"/>
    </xf>
    <xf numFmtId="3" fontId="33" fillId="2" borderId="21" xfId="1" applyNumberFormat="1" applyFont="1" applyFill="1" applyBorder="1" applyAlignment="1">
      <alignment horizontal="left" wrapText="1"/>
    </xf>
    <xf numFmtId="166" fontId="33" fillId="2" borderId="40" xfId="1" applyNumberFormat="1" applyFont="1" applyFill="1" applyBorder="1" applyAlignment="1">
      <alignment horizontal="right"/>
    </xf>
    <xf numFmtId="166" fontId="33" fillId="2" borderId="9" xfId="1" applyNumberFormat="1" applyFont="1" applyFill="1" applyBorder="1" applyAlignment="1">
      <alignment horizontal="right" vertical="center" wrapText="1"/>
    </xf>
    <xf numFmtId="167" fontId="15" fillId="9" borderId="18" xfId="1" applyNumberFormat="1" applyFont="1" applyFill="1" applyBorder="1"/>
    <xf numFmtId="167" fontId="10" fillId="2" borderId="0" xfId="1" applyNumberFormat="1" applyFont="1" applyFill="1" applyBorder="1"/>
    <xf numFmtId="166" fontId="19" fillId="2" borderId="1" xfId="0" applyNumberFormat="1" applyFont="1" applyFill="1" applyBorder="1" applyAlignment="1">
      <alignment horizontal="left" wrapText="1"/>
    </xf>
    <xf numFmtId="165" fontId="36" fillId="2" borderId="0" xfId="1" applyNumberFormat="1" applyFont="1" applyFill="1" applyBorder="1"/>
    <xf numFmtId="0" fontId="60" fillId="2" borderId="0" xfId="1" applyFont="1" applyFill="1" applyBorder="1" applyAlignment="1">
      <alignment horizontal="right"/>
    </xf>
    <xf numFmtId="0" fontId="11" fillId="7" borderId="1" xfId="1" applyFont="1" applyFill="1" applyBorder="1"/>
    <xf numFmtId="0" fontId="10" fillId="7" borderId="1" xfId="1" applyFont="1" applyFill="1" applyBorder="1"/>
    <xf numFmtId="167" fontId="15" fillId="7" borderId="18" xfId="1" applyNumberFormat="1" applyFont="1" applyFill="1" applyBorder="1"/>
    <xf numFmtId="167" fontId="11" fillId="7" borderId="6" xfId="1" applyNumberFormat="1" applyFont="1" applyFill="1" applyBorder="1"/>
    <xf numFmtId="165" fontId="3" fillId="7" borderId="1" xfId="1" applyNumberFormat="1" applyFont="1" applyFill="1" applyBorder="1"/>
    <xf numFmtId="0" fontId="21" fillId="0" borderId="3" xfId="0" applyFont="1" applyFill="1" applyBorder="1" applyAlignment="1">
      <alignment wrapText="1"/>
    </xf>
    <xf numFmtId="4" fontId="50" fillId="0" borderId="1" xfId="0" applyNumberFormat="1" applyFont="1" applyFill="1" applyBorder="1" applyAlignment="1">
      <alignment horizontal="right" wrapText="1"/>
    </xf>
    <xf numFmtId="167" fontId="36" fillId="5" borderId="1" xfId="1" applyNumberFormat="1" applyFont="1" applyFill="1" applyBorder="1" applyAlignment="1">
      <alignment horizontal="right"/>
    </xf>
    <xf numFmtId="167" fontId="15" fillId="2" borderId="7" xfId="1" applyNumberFormat="1" applyFont="1" applyFill="1" applyBorder="1" applyAlignment="1">
      <alignment horizontal="right"/>
    </xf>
    <xf numFmtId="164" fontId="6" fillId="2" borderId="0" xfId="1" applyNumberFormat="1" applyFont="1" applyFill="1" applyBorder="1" applyAlignment="1">
      <alignment horizontal="right" wrapText="1"/>
    </xf>
    <xf numFmtId="164" fontId="6" fillId="2" borderId="0" xfId="1" applyNumberFormat="1" applyFont="1" applyFill="1" applyBorder="1" applyAlignment="1">
      <alignment horizontal="right"/>
    </xf>
    <xf numFmtId="164" fontId="55" fillId="2" borderId="0" xfId="1" applyNumberFormat="1" applyFont="1" applyFill="1" applyBorder="1" applyAlignment="1">
      <alignment horizontal="right" wrapText="1"/>
    </xf>
    <xf numFmtId="1" fontId="20" fillId="2" borderId="0" xfId="1" applyNumberFormat="1" applyFont="1" applyFill="1" applyAlignment="1">
      <alignment horizontal="left" vertical="center"/>
    </xf>
    <xf numFmtId="165" fontId="15" fillId="2" borderId="0" xfId="1" applyNumberFormat="1" applyFont="1" applyFill="1" applyAlignment="1">
      <alignment horizontal="left"/>
    </xf>
    <xf numFmtId="165" fontId="4" fillId="2" borderId="0" xfId="1" applyNumberFormat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51" fillId="2" borderId="0" xfId="1" applyFont="1" applyFill="1" applyAlignment="1">
      <alignment horizontal="center"/>
    </xf>
  </cellXfs>
  <cellStyles count="2">
    <cellStyle name="Обычный" xfId="0" builtinId="0"/>
    <cellStyle name="Обычный_ДВИЖ.по скл.2011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125133313244522237" filterMode="1"/>
  <dimension ref="A1:GZ10556"/>
  <sheetViews>
    <sheetView showZeros="0" tabSelected="1" view="pageBreakPreview" zoomScale="75" zoomScaleNormal="75" zoomScaleSheetLayoutView="75" workbookViewId="0">
      <pane xSplit="6" ySplit="5" topLeftCell="G146" activePane="bottomRight" state="frozen"/>
      <selection pane="topRight" activeCell="G1" sqref="G1"/>
      <selection pane="bottomLeft" activeCell="A6" sqref="A6"/>
      <selection pane="bottomRight" activeCell="H57" sqref="H57"/>
    </sheetView>
  </sheetViews>
  <sheetFormatPr defaultColWidth="16.7109375" defaultRowHeight="18" x14ac:dyDescent="0.25"/>
  <cols>
    <col min="1" max="1" width="0.140625" style="10" customWidth="1"/>
    <col min="2" max="2" width="7.42578125" style="23" customWidth="1"/>
    <col min="3" max="3" width="14" style="10" customWidth="1"/>
    <col min="4" max="4" width="10.28515625" style="72" customWidth="1"/>
    <col min="5" max="5" width="28" style="43" customWidth="1"/>
    <col min="6" max="6" width="8.7109375" style="364" customWidth="1"/>
    <col min="7" max="7" width="5.85546875" style="47" customWidth="1"/>
    <col min="8" max="8" width="14.5703125" style="43" customWidth="1"/>
    <col min="9" max="9" width="15.28515625" style="231" customWidth="1"/>
    <col min="10" max="10" width="13.42578125" style="43" customWidth="1"/>
    <col min="11" max="11" width="11.42578125" style="228" customWidth="1"/>
    <col min="12" max="12" width="10.42578125" style="153" customWidth="1"/>
    <col min="13" max="13" width="17.28515625" style="148" customWidth="1"/>
    <col min="14" max="14" width="13" style="199" customWidth="1"/>
    <col min="15" max="15" width="12" style="43" customWidth="1"/>
    <col min="16" max="16" width="18.85546875" style="228" customWidth="1"/>
    <col min="17" max="17" width="24.7109375" style="34" customWidth="1"/>
    <col min="18" max="18" width="8.28515625" style="218" customWidth="1"/>
    <col min="19" max="19" width="11.140625" style="235" customWidth="1"/>
    <col min="20" max="20" width="19" style="264" customWidth="1"/>
    <col min="21" max="21" width="16.28515625" style="10" hidden="1" customWidth="1"/>
    <col min="22" max="22" width="16.7109375" style="10" hidden="1" customWidth="1"/>
    <col min="23" max="23" width="16.85546875" style="10" hidden="1" customWidth="1"/>
    <col min="24" max="24" width="16.28515625" style="10" hidden="1" customWidth="1"/>
    <col min="25" max="29" width="16.7109375" style="10" hidden="1" customWidth="1"/>
    <col min="30" max="16384" width="16.7109375" style="10"/>
  </cols>
  <sheetData>
    <row r="1" spans="2:24" ht="0.75" customHeight="1" x14ac:dyDescent="0.25">
      <c r="B1" s="408"/>
      <c r="C1" s="408"/>
      <c r="D1" s="408"/>
      <c r="E1" s="409"/>
      <c r="H1" s="79"/>
      <c r="I1" s="211"/>
      <c r="J1" s="79"/>
      <c r="K1" s="211"/>
      <c r="S1" s="232"/>
      <c r="V1" s="18">
        <f>N1</f>
        <v>0</v>
      </c>
    </row>
    <row r="2" spans="2:24" s="2" customFormat="1" ht="42.75" customHeight="1" thickBot="1" x14ac:dyDescent="0.45">
      <c r="B2" s="402" t="s">
        <v>37</v>
      </c>
      <c r="C2" s="403"/>
      <c r="D2" s="403"/>
      <c r="E2" s="404"/>
      <c r="F2" s="365"/>
      <c r="G2" s="47"/>
      <c r="H2" s="35"/>
      <c r="I2" s="35" t="s">
        <v>189</v>
      </c>
      <c r="J2" s="35"/>
      <c r="K2" s="35"/>
      <c r="L2" s="168"/>
      <c r="M2" s="149"/>
      <c r="N2" s="287"/>
      <c r="O2" s="35"/>
      <c r="P2" s="224" t="s">
        <v>189</v>
      </c>
      <c r="Q2" s="405" t="s">
        <v>27</v>
      </c>
      <c r="R2" s="406"/>
      <c r="S2" s="407"/>
      <c r="T2" s="265"/>
      <c r="U2" s="134" t="s">
        <v>362</v>
      </c>
      <c r="V2" s="33"/>
      <c r="W2" s="33"/>
      <c r="X2" s="134" t="s">
        <v>362</v>
      </c>
    </row>
    <row r="3" spans="2:24" s="2" customFormat="1" ht="54.75" customHeight="1" thickBot="1" x14ac:dyDescent="0.35">
      <c r="B3" s="165"/>
      <c r="C3" s="166"/>
      <c r="D3" s="166"/>
      <c r="E3" s="35" t="s">
        <v>763</v>
      </c>
      <c r="F3" s="35"/>
      <c r="G3" s="47"/>
      <c r="H3" s="35" t="s">
        <v>524</v>
      </c>
      <c r="I3" s="224"/>
      <c r="J3" s="358" t="s">
        <v>4</v>
      </c>
      <c r="K3" s="224"/>
      <c r="L3" s="168"/>
      <c r="M3" s="149"/>
      <c r="N3" s="287"/>
      <c r="O3" s="35"/>
      <c r="P3" s="224"/>
      <c r="Q3" s="167"/>
      <c r="R3" s="219"/>
      <c r="S3" s="233"/>
      <c r="T3" s="265"/>
      <c r="U3" s="134"/>
      <c r="V3" s="169"/>
      <c r="W3" s="33"/>
      <c r="X3" s="134"/>
    </row>
    <row r="4" spans="2:24" s="50" customFormat="1" ht="59.25" customHeight="1" thickBot="1" x14ac:dyDescent="0.35">
      <c r="B4" s="61" t="s">
        <v>6</v>
      </c>
      <c r="C4" s="54" t="s">
        <v>17</v>
      </c>
      <c r="D4" s="73" t="s">
        <v>220</v>
      </c>
      <c r="E4" s="160" t="s">
        <v>16</v>
      </c>
      <c r="F4" s="366" t="s">
        <v>41</v>
      </c>
      <c r="G4" s="55" t="s">
        <v>7</v>
      </c>
      <c r="H4" s="62" t="s">
        <v>8</v>
      </c>
      <c r="I4" s="229" t="s">
        <v>102</v>
      </c>
      <c r="J4" s="351"/>
      <c r="K4" s="271" t="s">
        <v>12</v>
      </c>
      <c r="L4" s="387" t="s">
        <v>69</v>
      </c>
      <c r="M4" s="150" t="s">
        <v>14</v>
      </c>
      <c r="N4" s="107" t="s">
        <v>11</v>
      </c>
      <c r="O4" s="63" t="s">
        <v>8</v>
      </c>
      <c r="P4" s="349" t="s">
        <v>102</v>
      </c>
      <c r="Q4" s="275" t="s">
        <v>16</v>
      </c>
      <c r="R4" s="220" t="s">
        <v>10</v>
      </c>
      <c r="S4" s="234" t="s">
        <v>83</v>
      </c>
      <c r="T4" s="266" t="s">
        <v>84</v>
      </c>
      <c r="U4" s="7" t="s">
        <v>677</v>
      </c>
      <c r="V4" s="18" t="str">
        <f>N4</f>
        <v>Реализовано товара       К-во</v>
      </c>
      <c r="W4" s="7" t="s">
        <v>158</v>
      </c>
      <c r="X4" s="7" t="s">
        <v>677</v>
      </c>
    </row>
    <row r="5" spans="2:24" s="3" customFormat="1" ht="27.75" customHeight="1" x14ac:dyDescent="0.3">
      <c r="B5" s="317">
        <v>1</v>
      </c>
      <c r="C5" s="51"/>
      <c r="D5" s="74"/>
      <c r="E5" s="53"/>
      <c r="F5" s="365"/>
      <c r="G5" s="52"/>
      <c r="H5" s="53" t="s">
        <v>744</v>
      </c>
      <c r="I5" s="53" t="s">
        <v>744</v>
      </c>
      <c r="K5" s="272"/>
      <c r="L5" s="386"/>
      <c r="M5" s="151"/>
      <c r="N5" s="108"/>
      <c r="O5" s="352" t="s">
        <v>745</v>
      </c>
      <c r="P5" s="351" t="s">
        <v>745</v>
      </c>
      <c r="Q5" s="276"/>
      <c r="R5" s="221"/>
      <c r="S5" s="235"/>
      <c r="T5" s="267"/>
      <c r="U5" s="32" t="s">
        <v>727</v>
      </c>
      <c r="V5" s="18">
        <f>K2</f>
        <v>0</v>
      </c>
      <c r="W5" s="71">
        <f>V5</f>
        <v>0</v>
      </c>
      <c r="X5" s="32" t="s">
        <v>727</v>
      </c>
    </row>
    <row r="6" spans="2:24" s="5" customFormat="1" ht="26.25" hidden="1" customHeight="1" x14ac:dyDescent="0.25">
      <c r="B6" s="11"/>
      <c r="C6" s="6" t="s">
        <v>18</v>
      </c>
      <c r="D6" s="21" t="s">
        <v>9</v>
      </c>
      <c r="E6" s="390" t="s">
        <v>654</v>
      </c>
      <c r="F6" s="135">
        <v>1475</v>
      </c>
      <c r="G6" s="45" t="s">
        <v>0</v>
      </c>
      <c r="H6" s="36">
        <v>0</v>
      </c>
      <c r="I6" s="225">
        <v>0</v>
      </c>
      <c r="J6" s="36">
        <f t="shared" ref="J6:J69" si="0">N6+O6-H6</f>
        <v>0</v>
      </c>
      <c r="K6" s="225">
        <f>R6</f>
        <v>0.06</v>
      </c>
      <c r="L6" s="154">
        <f>K6*J6</f>
        <v>0</v>
      </c>
      <c r="M6" s="56"/>
      <c r="N6" s="200"/>
      <c r="O6" s="36">
        <v>0</v>
      </c>
      <c r="P6" s="344">
        <f t="shared" ref="P6:P16" si="1">K6*O6</f>
        <v>0</v>
      </c>
      <c r="Q6" s="179" t="str">
        <f t="shared" ref="Q6:Q52" si="2">E6</f>
        <v>СД523007</v>
      </c>
      <c r="R6" s="222">
        <f>647*0.0001</f>
        <v>0.06</v>
      </c>
      <c r="S6" s="236">
        <f>16.25*0.033</f>
        <v>0.54</v>
      </c>
      <c r="T6" s="268">
        <f t="shared" ref="T6:T44" si="3">S6*J6</f>
        <v>0</v>
      </c>
      <c r="U6" s="116"/>
      <c r="V6" s="18">
        <f t="shared" ref="V6:V37" si="4">N6</f>
        <v>0</v>
      </c>
      <c r="W6" s="49">
        <f t="shared" ref="W6:W45" si="5">X6-U6+V6</f>
        <v>0</v>
      </c>
      <c r="X6" s="18"/>
    </row>
    <row r="7" spans="2:24" s="5" customFormat="1" ht="26.25" customHeight="1" x14ac:dyDescent="0.25">
      <c r="B7" s="11">
        <v>1</v>
      </c>
      <c r="C7" s="6" t="s">
        <v>18</v>
      </c>
      <c r="D7" s="21" t="s">
        <v>9</v>
      </c>
      <c r="E7" s="190" t="s">
        <v>262</v>
      </c>
      <c r="F7" s="135">
        <v>411</v>
      </c>
      <c r="G7" s="12" t="s">
        <v>0</v>
      </c>
      <c r="H7" s="36">
        <v>648</v>
      </c>
      <c r="I7" s="274">
        <v>524.88</v>
      </c>
      <c r="J7" s="36">
        <f t="shared" si="0"/>
        <v>0</v>
      </c>
      <c r="K7" s="225">
        <f>R7*0.8</f>
        <v>0.81</v>
      </c>
      <c r="L7" s="154">
        <f>K7*J7</f>
        <v>0</v>
      </c>
      <c r="M7" s="126"/>
      <c r="N7" s="200"/>
      <c r="O7" s="205">
        <f>4*162</f>
        <v>648</v>
      </c>
      <c r="P7" s="225">
        <f t="shared" si="1"/>
        <v>524.88</v>
      </c>
      <c r="Q7" s="159" t="str">
        <f t="shared" si="2"/>
        <v>ЭПГ110.151-01</v>
      </c>
      <c r="R7" s="223">
        <f t="shared" ref="R7:R38" si="6">S7*1.2</f>
        <v>1.01</v>
      </c>
      <c r="S7" s="237">
        <v>0.84</v>
      </c>
      <c r="T7" s="268">
        <f>S7*J7</f>
        <v>0</v>
      </c>
      <c r="U7" s="115">
        <f>162*10</f>
        <v>1620</v>
      </c>
      <c r="V7" s="18">
        <f t="shared" si="4"/>
        <v>0</v>
      </c>
      <c r="W7" s="49">
        <f t="shared" si="5"/>
        <v>1440</v>
      </c>
      <c r="X7" s="397">
        <f>162*17+2*153</f>
        <v>3060</v>
      </c>
    </row>
    <row r="8" spans="2:24" s="5" customFormat="1" ht="26.25" customHeight="1" x14ac:dyDescent="0.25">
      <c r="B8" s="11">
        <v>2</v>
      </c>
      <c r="C8" s="6" t="s">
        <v>18</v>
      </c>
      <c r="D8" s="21" t="s">
        <v>9</v>
      </c>
      <c r="E8" s="190" t="s">
        <v>614</v>
      </c>
      <c r="F8" s="135">
        <v>1451</v>
      </c>
      <c r="G8" s="12" t="s">
        <v>0</v>
      </c>
      <c r="H8" s="36">
        <v>1026</v>
      </c>
      <c r="I8" s="274">
        <v>800.28</v>
      </c>
      <c r="J8" s="36">
        <f t="shared" si="0"/>
        <v>0</v>
      </c>
      <c r="K8" s="225">
        <f>R8*0.8</f>
        <v>0.78</v>
      </c>
      <c r="L8" s="154"/>
      <c r="M8" s="126"/>
      <c r="N8" s="200"/>
      <c r="O8" s="36">
        <v>1026</v>
      </c>
      <c r="P8" s="225">
        <f t="shared" si="1"/>
        <v>800.28</v>
      </c>
      <c r="Q8" s="159" t="str">
        <f t="shared" si="2"/>
        <v>МЭ250-3730-102</v>
      </c>
      <c r="R8" s="288">
        <f t="shared" si="6"/>
        <v>0.98</v>
      </c>
      <c r="S8" s="237">
        <f>0.82</f>
        <v>0.82</v>
      </c>
      <c r="T8" s="268">
        <f>S8*J8</f>
        <v>0</v>
      </c>
      <c r="U8" s="116">
        <f>12*114</f>
        <v>1368</v>
      </c>
      <c r="V8" s="18">
        <f t="shared" si="4"/>
        <v>0</v>
      </c>
      <c r="W8" s="49">
        <f t="shared" si="5"/>
        <v>0</v>
      </c>
      <c r="X8" s="18">
        <f>12*114</f>
        <v>1368</v>
      </c>
    </row>
    <row r="9" spans="2:24" ht="26.25" customHeight="1" x14ac:dyDescent="0.25">
      <c r="B9" s="15">
        <v>3</v>
      </c>
      <c r="C9" s="6" t="s">
        <v>18</v>
      </c>
      <c r="D9" s="21" t="s">
        <v>9</v>
      </c>
      <c r="E9" s="161" t="s">
        <v>90</v>
      </c>
      <c r="F9" s="294">
        <v>555</v>
      </c>
      <c r="G9" s="12" t="s">
        <v>0</v>
      </c>
      <c r="H9" s="36">
        <v>2240</v>
      </c>
      <c r="I9" s="274">
        <v>2284.8000000000002</v>
      </c>
      <c r="J9" s="36">
        <f t="shared" si="0"/>
        <v>0</v>
      </c>
      <c r="K9" s="225">
        <f>R9*0.8</f>
        <v>1.02</v>
      </c>
      <c r="L9" s="154">
        <f t="shared" ref="L9:L16" si="7">K9*J9</f>
        <v>0</v>
      </c>
      <c r="M9" s="121"/>
      <c r="N9" s="200">
        <v>2240</v>
      </c>
      <c r="O9" s="353"/>
      <c r="P9" s="225">
        <f t="shared" si="1"/>
        <v>0</v>
      </c>
      <c r="Q9" s="314" t="str">
        <f t="shared" si="2"/>
        <v>ЭПГ 110.157 П19х15х14,5</v>
      </c>
      <c r="R9" s="223">
        <f t="shared" si="6"/>
        <v>1.28</v>
      </c>
      <c r="S9" s="236">
        <v>1.07</v>
      </c>
      <c r="T9" s="268">
        <f>S9*J9</f>
        <v>0</v>
      </c>
      <c r="U9" s="116">
        <f>4*560</f>
        <v>2240</v>
      </c>
      <c r="V9" s="18">
        <f t="shared" si="4"/>
        <v>2240</v>
      </c>
      <c r="W9" s="49">
        <f t="shared" si="5"/>
        <v>2240</v>
      </c>
      <c r="X9" s="18">
        <f>4*560</f>
        <v>2240</v>
      </c>
    </row>
    <row r="10" spans="2:24" ht="26.25" customHeight="1" thickBot="1" x14ac:dyDescent="0.3">
      <c r="B10" s="15">
        <v>4</v>
      </c>
      <c r="C10" s="6" t="s">
        <v>18</v>
      </c>
      <c r="D10" s="21" t="s">
        <v>9</v>
      </c>
      <c r="E10" s="161" t="s">
        <v>31</v>
      </c>
      <c r="F10" s="135" t="s">
        <v>45</v>
      </c>
      <c r="G10" s="12" t="s">
        <v>0</v>
      </c>
      <c r="H10" s="36">
        <v>1440</v>
      </c>
      <c r="I10" s="274">
        <v>489.6</v>
      </c>
      <c r="J10" s="36">
        <f t="shared" si="0"/>
        <v>840</v>
      </c>
      <c r="K10" s="319">
        <f>R10*0.8</f>
        <v>0.34</v>
      </c>
      <c r="L10" s="154">
        <f t="shared" si="7"/>
        <v>286</v>
      </c>
      <c r="M10" s="81"/>
      <c r="N10" s="200">
        <v>2280</v>
      </c>
      <c r="O10" s="353"/>
      <c r="P10" s="225">
        <f t="shared" si="1"/>
        <v>0</v>
      </c>
      <c r="Q10" s="181" t="str">
        <f t="shared" si="2"/>
        <v xml:space="preserve">АУИБ 757.159.001 </v>
      </c>
      <c r="R10" s="395">
        <f t="shared" si="6"/>
        <v>0.42</v>
      </c>
      <c r="S10" s="396">
        <v>0.35</v>
      </c>
      <c r="T10" s="268">
        <f>S10*J10</f>
        <v>294</v>
      </c>
      <c r="U10" s="116">
        <v>1440</v>
      </c>
      <c r="V10" s="18">
        <f t="shared" si="4"/>
        <v>2280</v>
      </c>
      <c r="W10" s="49">
        <f t="shared" si="5"/>
        <v>3580</v>
      </c>
      <c r="X10" s="325">
        <f>1440+1300</f>
        <v>2740</v>
      </c>
    </row>
    <row r="11" spans="2:24" ht="26.25" hidden="1" customHeight="1" thickBot="1" x14ac:dyDescent="0.3">
      <c r="B11" s="15"/>
      <c r="C11" s="6" t="s">
        <v>18</v>
      </c>
      <c r="D11" s="21" t="s">
        <v>9</v>
      </c>
      <c r="E11" s="161" t="s">
        <v>436</v>
      </c>
      <c r="F11" s="135">
        <v>137</v>
      </c>
      <c r="G11" s="45" t="s">
        <v>0</v>
      </c>
      <c r="H11" s="36"/>
      <c r="I11" s="274">
        <v>0</v>
      </c>
      <c r="J11" s="36">
        <f t="shared" si="0"/>
        <v>0</v>
      </c>
      <c r="K11" s="225">
        <v>1.1499999999999999</v>
      </c>
      <c r="L11" s="154">
        <f t="shared" si="7"/>
        <v>0</v>
      </c>
      <c r="M11" s="85"/>
      <c r="N11" s="200"/>
      <c r="O11" s="36"/>
      <c r="P11" s="334">
        <f t="shared" si="1"/>
        <v>0</v>
      </c>
      <c r="Q11" s="182" t="str">
        <f t="shared" si="2"/>
        <v>АУИБ 757.159.004</v>
      </c>
      <c r="R11" s="288">
        <f t="shared" si="6"/>
        <v>1.44</v>
      </c>
      <c r="S11" s="235">
        <f>12000*0.0001</f>
        <v>1.2</v>
      </c>
      <c r="T11" s="268">
        <f t="shared" si="3"/>
        <v>0</v>
      </c>
      <c r="U11" s="66">
        <f>10*102</f>
        <v>1020</v>
      </c>
      <c r="V11" s="18">
        <f t="shared" si="4"/>
        <v>0</v>
      </c>
      <c r="W11" s="49">
        <f t="shared" si="5"/>
        <v>0</v>
      </c>
      <c r="X11" s="18">
        <f>10*102</f>
        <v>1020</v>
      </c>
    </row>
    <row r="12" spans="2:24" ht="26.25" hidden="1" customHeight="1" x14ac:dyDescent="0.25">
      <c r="B12" s="11"/>
      <c r="C12" s="6" t="s">
        <v>18</v>
      </c>
      <c r="D12" s="21" t="s">
        <v>9</v>
      </c>
      <c r="E12" s="161" t="s">
        <v>13</v>
      </c>
      <c r="F12" s="135" t="s">
        <v>46</v>
      </c>
      <c r="G12" s="45" t="s">
        <v>0</v>
      </c>
      <c r="H12" s="36"/>
      <c r="I12" s="225">
        <v>0</v>
      </c>
      <c r="J12" s="36">
        <f t="shared" si="0"/>
        <v>0</v>
      </c>
      <c r="K12" s="225">
        <f>R12*0.8</f>
        <v>0.49</v>
      </c>
      <c r="L12" s="154">
        <f t="shared" si="7"/>
        <v>0</v>
      </c>
      <c r="M12" s="39"/>
      <c r="N12" s="200"/>
      <c r="O12" s="36"/>
      <c r="P12" s="225">
        <f t="shared" si="1"/>
        <v>0</v>
      </c>
      <c r="Q12" s="183" t="str">
        <f t="shared" si="2"/>
        <v>АУИБ 757.159.003</v>
      </c>
      <c r="R12" s="288">
        <f t="shared" si="6"/>
        <v>0.61</v>
      </c>
      <c r="S12" s="238">
        <f>5095*0.0001</f>
        <v>0.51</v>
      </c>
      <c r="T12" s="268">
        <f t="shared" si="3"/>
        <v>0</v>
      </c>
      <c r="U12" s="66">
        <f>12*120</f>
        <v>1440</v>
      </c>
      <c r="V12" s="18">
        <f t="shared" si="4"/>
        <v>0</v>
      </c>
      <c r="W12" s="49">
        <f t="shared" si="5"/>
        <v>0</v>
      </c>
      <c r="X12" s="18">
        <f>12*120</f>
        <v>1440</v>
      </c>
    </row>
    <row r="13" spans="2:24" ht="26.25" hidden="1" customHeight="1" x14ac:dyDescent="0.25">
      <c r="B13" s="14"/>
      <c r="C13" s="6" t="s">
        <v>18</v>
      </c>
      <c r="D13" s="21" t="s">
        <v>9</v>
      </c>
      <c r="E13" s="161" t="s">
        <v>655</v>
      </c>
      <c r="F13" s="135">
        <v>1466</v>
      </c>
      <c r="G13" s="45" t="s">
        <v>0</v>
      </c>
      <c r="H13" s="36"/>
      <c r="I13" s="225">
        <v>0</v>
      </c>
      <c r="J13" s="36">
        <f t="shared" si="0"/>
        <v>0</v>
      </c>
      <c r="K13" s="225">
        <f>R13*0.8</f>
        <v>19.2</v>
      </c>
      <c r="L13" s="154">
        <f t="shared" si="7"/>
        <v>0</v>
      </c>
      <c r="M13" s="59"/>
      <c r="N13" s="200"/>
      <c r="O13" s="36"/>
      <c r="P13" s="225">
        <f t="shared" si="1"/>
        <v>0</v>
      </c>
      <c r="Q13" s="159" t="str">
        <f t="shared" si="2"/>
        <v>АУИБ 757.159.008</v>
      </c>
      <c r="R13" s="288">
        <f t="shared" si="6"/>
        <v>24</v>
      </c>
      <c r="S13" s="236">
        <v>20</v>
      </c>
      <c r="T13" s="268">
        <f t="shared" si="3"/>
        <v>0</v>
      </c>
      <c r="U13" s="18"/>
      <c r="V13" s="18">
        <f t="shared" si="4"/>
        <v>0</v>
      </c>
      <c r="W13" s="49">
        <f t="shared" si="5"/>
        <v>0</v>
      </c>
      <c r="X13" s="18"/>
    </row>
    <row r="14" spans="2:24" ht="26.25" hidden="1" customHeight="1" x14ac:dyDescent="0.25">
      <c r="B14" s="11"/>
      <c r="C14" s="6" t="s">
        <v>18</v>
      </c>
      <c r="D14" s="21" t="s">
        <v>9</v>
      </c>
      <c r="E14" s="162" t="s">
        <v>104</v>
      </c>
      <c r="F14" s="135">
        <v>592</v>
      </c>
      <c r="G14" s="45" t="s">
        <v>0</v>
      </c>
      <c r="H14" s="36"/>
      <c r="I14" s="225">
        <v>0</v>
      </c>
      <c r="J14" s="36">
        <f t="shared" si="0"/>
        <v>0</v>
      </c>
      <c r="K14" s="225">
        <f>R14*0.8</f>
        <v>0.27</v>
      </c>
      <c r="L14" s="154">
        <f t="shared" si="7"/>
        <v>0</v>
      </c>
      <c r="M14" s="85"/>
      <c r="N14" s="200"/>
      <c r="O14" s="36"/>
      <c r="P14" s="225">
        <f t="shared" si="1"/>
        <v>0</v>
      </c>
      <c r="Q14" s="159" t="str">
        <f t="shared" si="2"/>
        <v>43.3701-200211 (S)</v>
      </c>
      <c r="R14" s="288">
        <f t="shared" si="6"/>
        <v>0.34</v>
      </c>
      <c r="S14" s="235">
        <f>2800*0.0001</f>
        <v>0.28000000000000003</v>
      </c>
      <c r="T14" s="268">
        <f t="shared" si="3"/>
        <v>0</v>
      </c>
      <c r="U14" s="66">
        <f>8*400</f>
        <v>3200</v>
      </c>
      <c r="V14" s="18">
        <f t="shared" si="4"/>
        <v>0</v>
      </c>
      <c r="W14" s="49">
        <f t="shared" si="5"/>
        <v>0</v>
      </c>
      <c r="X14" s="18">
        <f>8*400</f>
        <v>3200</v>
      </c>
    </row>
    <row r="15" spans="2:24" ht="26.25" hidden="1" customHeight="1" x14ac:dyDescent="0.25">
      <c r="B15" s="11"/>
      <c r="C15" s="6" t="s">
        <v>18</v>
      </c>
      <c r="D15" s="21" t="s">
        <v>9</v>
      </c>
      <c r="E15" s="162" t="s">
        <v>105</v>
      </c>
      <c r="F15" s="135" t="s">
        <v>106</v>
      </c>
      <c r="G15" s="45" t="s">
        <v>0</v>
      </c>
      <c r="H15" s="36"/>
      <c r="I15" s="225">
        <v>0</v>
      </c>
      <c r="J15" s="36">
        <f t="shared" si="0"/>
        <v>0</v>
      </c>
      <c r="K15" s="225">
        <f>R15*0.8</f>
        <v>0.27</v>
      </c>
      <c r="L15" s="154">
        <f t="shared" si="7"/>
        <v>0</v>
      </c>
      <c r="M15" s="85"/>
      <c r="N15" s="200"/>
      <c r="O15" s="36"/>
      <c r="P15" s="225">
        <f t="shared" si="1"/>
        <v>0</v>
      </c>
      <c r="Q15" s="159" t="str">
        <f t="shared" si="2"/>
        <v>43.3701-200211 (N)</v>
      </c>
      <c r="R15" s="288">
        <f t="shared" si="6"/>
        <v>0.34</v>
      </c>
      <c r="S15" s="235">
        <f>2800*0.0001</f>
        <v>0.28000000000000003</v>
      </c>
      <c r="T15" s="268">
        <f t="shared" si="3"/>
        <v>0</v>
      </c>
      <c r="U15" s="66">
        <f>8*400</f>
        <v>3200</v>
      </c>
      <c r="V15" s="18">
        <f t="shared" si="4"/>
        <v>0</v>
      </c>
      <c r="W15" s="49">
        <f t="shared" si="5"/>
        <v>0</v>
      </c>
      <c r="X15" s="18">
        <f>8*400</f>
        <v>3200</v>
      </c>
    </row>
    <row r="16" spans="2:24" ht="26.25" hidden="1" customHeight="1" thickBot="1" x14ac:dyDescent="0.3">
      <c r="B16" s="15"/>
      <c r="C16" s="6" t="s">
        <v>18</v>
      </c>
      <c r="D16" s="21" t="s">
        <v>9</v>
      </c>
      <c r="E16" s="162" t="s">
        <v>134</v>
      </c>
      <c r="F16" s="135" t="s">
        <v>103</v>
      </c>
      <c r="G16" s="45" t="s">
        <v>0</v>
      </c>
      <c r="H16" s="36"/>
      <c r="I16" s="225">
        <v>0</v>
      </c>
      <c r="J16" s="36">
        <f t="shared" si="0"/>
        <v>0</v>
      </c>
      <c r="K16" s="225">
        <f>R16*0.8</f>
        <v>0.13</v>
      </c>
      <c r="L16" s="154">
        <f t="shared" si="7"/>
        <v>0</v>
      </c>
      <c r="M16" s="85"/>
      <c r="N16" s="200"/>
      <c r="O16" s="36"/>
      <c r="P16" s="225">
        <f t="shared" si="1"/>
        <v>0</v>
      </c>
      <c r="Q16" s="184" t="str">
        <f t="shared" si="2"/>
        <v>43.3701-200212(К36х18х6)</v>
      </c>
      <c r="R16" s="288">
        <f t="shared" si="6"/>
        <v>0.16</v>
      </c>
      <c r="S16" s="235">
        <f>1250*0.0001</f>
        <v>0.13</v>
      </c>
      <c r="T16" s="268">
        <f t="shared" si="3"/>
        <v>0</v>
      </c>
      <c r="U16" s="66">
        <f>8*400</f>
        <v>3200</v>
      </c>
      <c r="V16" s="18">
        <f t="shared" si="4"/>
        <v>0</v>
      </c>
      <c r="W16" s="49">
        <f t="shared" si="5"/>
        <v>0</v>
      </c>
      <c r="X16" s="18">
        <f>8*400</f>
        <v>3200</v>
      </c>
    </row>
    <row r="17" spans="1:41" s="5" customFormat="1" ht="26.25" hidden="1" customHeight="1" x14ac:dyDescent="0.25">
      <c r="B17" s="11"/>
      <c r="C17" s="6" t="s">
        <v>18</v>
      </c>
      <c r="D17" s="21" t="s">
        <v>9</v>
      </c>
      <c r="E17" s="163" t="s">
        <v>371</v>
      </c>
      <c r="F17" s="298" t="s">
        <v>687</v>
      </c>
      <c r="G17" s="12" t="s">
        <v>0</v>
      </c>
      <c r="H17" s="36"/>
      <c r="I17" s="274"/>
      <c r="J17" s="36">
        <f t="shared" si="0"/>
        <v>0</v>
      </c>
      <c r="K17" s="225">
        <v>0.62</v>
      </c>
      <c r="L17" s="154"/>
      <c r="M17" s="147"/>
      <c r="N17" s="200"/>
      <c r="O17" s="36"/>
      <c r="P17" s="274"/>
      <c r="Q17" s="180" t="str">
        <f t="shared" si="2"/>
        <v>К36х5х10</v>
      </c>
      <c r="R17" s="288">
        <f t="shared" si="6"/>
        <v>0.92</v>
      </c>
      <c r="S17" s="239">
        <f>0.0001*22.7*340</f>
        <v>0.77</v>
      </c>
      <c r="T17" s="268">
        <f t="shared" si="3"/>
        <v>0</v>
      </c>
      <c r="U17" s="18"/>
      <c r="V17" s="18">
        <f t="shared" si="4"/>
        <v>0</v>
      </c>
      <c r="W17" s="49">
        <f t="shared" si="5"/>
        <v>0</v>
      </c>
      <c r="X17" s="18"/>
    </row>
    <row r="18" spans="1:41" s="5" customFormat="1" ht="26.25" hidden="1" customHeight="1" thickBot="1" x14ac:dyDescent="0.3">
      <c r="B18" s="11"/>
      <c r="C18" s="6" t="s">
        <v>18</v>
      </c>
      <c r="D18" s="21" t="s">
        <v>9</v>
      </c>
      <c r="E18" s="163" t="s">
        <v>108</v>
      </c>
      <c r="F18" s="298" t="s">
        <v>587</v>
      </c>
      <c r="G18" s="12" t="s">
        <v>0</v>
      </c>
      <c r="H18" s="36"/>
      <c r="I18" s="225">
        <v>0</v>
      </c>
      <c r="J18" s="36">
        <f t="shared" si="0"/>
        <v>0</v>
      </c>
      <c r="K18" s="225">
        <f>R18*0.8</f>
        <v>0.46</v>
      </c>
      <c r="L18" s="154">
        <f>K18*J316</f>
        <v>0</v>
      </c>
      <c r="M18" s="157" t="s">
        <v>588</v>
      </c>
      <c r="N18" s="200"/>
      <c r="O18" s="353"/>
      <c r="P18" s="225">
        <f t="shared" ref="P18:P49" si="8">K18*O18</f>
        <v>0</v>
      </c>
      <c r="Q18" s="182" t="str">
        <f t="shared" si="2"/>
        <v>К36х18х6</v>
      </c>
      <c r="R18" s="288">
        <f t="shared" si="6"/>
        <v>0.57999999999999996</v>
      </c>
      <c r="S18" s="240">
        <v>0.48</v>
      </c>
      <c r="T18" s="268">
        <f t="shared" si="3"/>
        <v>0</v>
      </c>
      <c r="U18" s="18">
        <f>15050-200</f>
        <v>14850</v>
      </c>
      <c r="V18" s="18">
        <f t="shared" si="4"/>
        <v>0</v>
      </c>
      <c r="W18" s="49">
        <f t="shared" si="5"/>
        <v>0</v>
      </c>
      <c r="X18" s="18">
        <f>15050-200</f>
        <v>14850</v>
      </c>
    </row>
    <row r="19" spans="1:41" s="5" customFormat="1" ht="26.25" hidden="1" customHeight="1" thickBot="1" x14ac:dyDescent="0.3">
      <c r="B19" s="11"/>
      <c r="C19" s="6" t="s">
        <v>18</v>
      </c>
      <c r="D19" s="21" t="s">
        <v>9</v>
      </c>
      <c r="E19" s="163" t="s">
        <v>234</v>
      </c>
      <c r="F19" s="298"/>
      <c r="G19" s="12" t="s">
        <v>0</v>
      </c>
      <c r="H19" s="36"/>
      <c r="I19" s="225">
        <v>0</v>
      </c>
      <c r="J19" s="36">
        <f t="shared" si="0"/>
        <v>0</v>
      </c>
      <c r="K19" s="225">
        <f>R19*0.8</f>
        <v>0.13</v>
      </c>
      <c r="L19" s="154"/>
      <c r="M19" s="58" t="s">
        <v>236</v>
      </c>
      <c r="N19" s="200"/>
      <c r="O19" s="36"/>
      <c r="P19" s="344">
        <f t="shared" si="8"/>
        <v>0</v>
      </c>
      <c r="Q19" s="185" t="str">
        <f t="shared" si="2"/>
        <v>К36х18х6 намагн.с заниж.Д</v>
      </c>
      <c r="R19" s="288">
        <f t="shared" si="6"/>
        <v>0.16</v>
      </c>
      <c r="S19" s="241">
        <f>0.0001*1300</f>
        <v>0.13</v>
      </c>
      <c r="T19" s="268">
        <f t="shared" si="3"/>
        <v>0</v>
      </c>
      <c r="U19" s="18">
        <v>2400</v>
      </c>
      <c r="V19" s="18">
        <f t="shared" si="4"/>
        <v>0</v>
      </c>
      <c r="W19" s="49">
        <f t="shared" si="5"/>
        <v>0</v>
      </c>
      <c r="X19" s="18">
        <v>2400</v>
      </c>
    </row>
    <row r="20" spans="1:41" ht="26.25" customHeight="1" x14ac:dyDescent="0.25">
      <c r="B20" s="14">
        <v>5</v>
      </c>
      <c r="C20" s="6" t="s">
        <v>18</v>
      </c>
      <c r="D20" s="21" t="s">
        <v>9</v>
      </c>
      <c r="E20" s="161" t="s">
        <v>38</v>
      </c>
      <c r="F20" s="135">
        <v>170</v>
      </c>
      <c r="G20" s="12" t="s">
        <v>0</v>
      </c>
      <c r="H20" s="36">
        <v>137</v>
      </c>
      <c r="I20" s="274">
        <v>78.09</v>
      </c>
      <c r="J20" s="36">
        <f t="shared" si="0"/>
        <v>0</v>
      </c>
      <c r="K20" s="225">
        <v>0.56999999999999995</v>
      </c>
      <c r="L20" s="154">
        <f>K20*J318</f>
        <v>0</v>
      </c>
      <c r="M20" s="371"/>
      <c r="N20" s="200"/>
      <c r="O20" s="36">
        <f>145-8</f>
        <v>137</v>
      </c>
      <c r="P20" s="344">
        <f t="shared" si="8"/>
        <v>78.09</v>
      </c>
      <c r="Q20" s="180" t="str">
        <f t="shared" si="2"/>
        <v>СИДТ  7.770.002 Д36х24х6</v>
      </c>
      <c r="R20" s="288">
        <f t="shared" si="6"/>
        <v>6.6</v>
      </c>
      <c r="S20" s="236">
        <v>5.5</v>
      </c>
      <c r="T20" s="268">
        <f t="shared" si="3"/>
        <v>0</v>
      </c>
      <c r="U20" s="116">
        <v>37</v>
      </c>
      <c r="V20" s="18">
        <f t="shared" si="4"/>
        <v>0</v>
      </c>
      <c r="W20" s="49">
        <f t="shared" si="5"/>
        <v>0</v>
      </c>
      <c r="X20" s="325">
        <v>37</v>
      </c>
    </row>
    <row r="21" spans="1:41" ht="26.25" customHeight="1" x14ac:dyDescent="0.25">
      <c r="B21" s="11">
        <v>6</v>
      </c>
      <c r="C21" s="6" t="s">
        <v>18</v>
      </c>
      <c r="D21" s="21" t="s">
        <v>9</v>
      </c>
      <c r="E21" s="161" t="s">
        <v>284</v>
      </c>
      <c r="F21" s="135" t="s">
        <v>48</v>
      </c>
      <c r="G21" s="12" t="s">
        <v>0</v>
      </c>
      <c r="H21" s="36">
        <v>2250</v>
      </c>
      <c r="I21" s="274">
        <v>1485</v>
      </c>
      <c r="J21" s="36">
        <f t="shared" si="0"/>
        <v>3750</v>
      </c>
      <c r="K21" s="225">
        <f>R21*0.8</f>
        <v>0.38</v>
      </c>
      <c r="L21" s="154">
        <f>K21*J319</f>
        <v>0</v>
      </c>
      <c r="M21" s="147"/>
      <c r="N21" s="200">
        <v>1000</v>
      </c>
      <c r="O21" s="36">
        <v>5000</v>
      </c>
      <c r="P21" s="225">
        <f t="shared" si="8"/>
        <v>1900</v>
      </c>
      <c r="Q21" s="48" t="str">
        <f t="shared" si="2"/>
        <v>ЭПГ110.135(Д32х8х8)</v>
      </c>
      <c r="R21" s="288">
        <f t="shared" si="6"/>
        <v>0.47</v>
      </c>
      <c r="S21" s="235">
        <v>0.39</v>
      </c>
      <c r="T21" s="268">
        <f t="shared" si="3"/>
        <v>1462.5</v>
      </c>
      <c r="U21" s="18">
        <f>10*250</f>
        <v>2500</v>
      </c>
      <c r="V21" s="18">
        <f t="shared" si="4"/>
        <v>1000</v>
      </c>
      <c r="W21" s="49">
        <f t="shared" si="5"/>
        <v>3500</v>
      </c>
      <c r="X21" s="18">
        <f>24*250-1000</f>
        <v>5000</v>
      </c>
    </row>
    <row r="22" spans="1:41" ht="26.25" customHeight="1" x14ac:dyDescent="0.25">
      <c r="B22" s="11">
        <v>7</v>
      </c>
      <c r="C22" s="6" t="s">
        <v>18</v>
      </c>
      <c r="D22" s="21" t="s">
        <v>9</v>
      </c>
      <c r="E22" s="161" t="s">
        <v>398</v>
      </c>
      <c r="F22" s="135">
        <v>1189</v>
      </c>
      <c r="G22" s="12" t="s">
        <v>0</v>
      </c>
      <c r="H22" s="36"/>
      <c r="I22" s="225">
        <v>0</v>
      </c>
      <c r="J22" s="36">
        <f t="shared" si="0"/>
        <v>400</v>
      </c>
      <c r="K22" s="225">
        <f>R22*0.8</f>
        <v>0.8</v>
      </c>
      <c r="L22" s="154">
        <f>K22*J320</f>
        <v>0</v>
      </c>
      <c r="M22" s="158" t="s">
        <v>640</v>
      </c>
      <c r="N22" s="200">
        <v>400</v>
      </c>
      <c r="O22" s="353"/>
      <c r="P22" s="344">
        <f t="shared" si="8"/>
        <v>0</v>
      </c>
      <c r="Q22" s="183" t="str">
        <f t="shared" si="2"/>
        <v>К32х8,2х8</v>
      </c>
      <c r="R22" s="223">
        <f t="shared" si="6"/>
        <v>1</v>
      </c>
      <c r="S22" s="242">
        <v>0.83</v>
      </c>
      <c r="T22" s="268">
        <f t="shared" si="3"/>
        <v>332</v>
      </c>
      <c r="U22" s="18"/>
      <c r="V22" s="18">
        <f t="shared" si="4"/>
        <v>400</v>
      </c>
      <c r="W22" s="49">
        <f t="shared" si="5"/>
        <v>400</v>
      </c>
      <c r="X22" s="18"/>
    </row>
    <row r="23" spans="1:41" ht="26.25" hidden="1" customHeight="1" x14ac:dyDescent="0.25">
      <c r="B23" s="15"/>
      <c r="C23" s="6" t="s">
        <v>18</v>
      </c>
      <c r="D23" s="21" t="s">
        <v>9</v>
      </c>
      <c r="E23" s="139" t="s">
        <v>260</v>
      </c>
      <c r="F23" s="135"/>
      <c r="G23" s="45" t="s">
        <v>0</v>
      </c>
      <c r="H23" s="36"/>
      <c r="I23" s="225">
        <v>0</v>
      </c>
      <c r="J23" s="36">
        <f t="shared" si="0"/>
        <v>0</v>
      </c>
      <c r="K23" s="225">
        <v>1440</v>
      </c>
      <c r="L23" s="154">
        <f>K23*J321</f>
        <v>0</v>
      </c>
      <c r="M23" s="39"/>
      <c r="N23" s="200"/>
      <c r="O23" s="36"/>
      <c r="P23" s="344">
        <f t="shared" si="8"/>
        <v>0</v>
      </c>
      <c r="Q23" s="159" t="str">
        <f t="shared" si="2"/>
        <v>К36х13х8</v>
      </c>
      <c r="R23" s="288">
        <f t="shared" si="6"/>
        <v>0.78</v>
      </c>
      <c r="S23" s="235">
        <f>6500*0.0001</f>
        <v>0.65</v>
      </c>
      <c r="T23" s="268">
        <f t="shared" si="3"/>
        <v>0</v>
      </c>
      <c r="U23" s="18"/>
      <c r="V23" s="18">
        <f t="shared" si="4"/>
        <v>0</v>
      </c>
      <c r="W23" s="49">
        <f t="shared" si="5"/>
        <v>0</v>
      </c>
      <c r="X23" s="18"/>
    </row>
    <row r="24" spans="1:41" s="4" customFormat="1" ht="26.25" hidden="1" customHeight="1" thickBot="1" x14ac:dyDescent="0.3">
      <c r="A24" s="10"/>
      <c r="B24" s="11"/>
      <c r="C24" s="6" t="s">
        <v>18</v>
      </c>
      <c r="D24" s="21" t="s">
        <v>9</v>
      </c>
      <c r="E24" s="139"/>
      <c r="F24" s="308"/>
      <c r="G24" s="45" t="s">
        <v>0</v>
      </c>
      <c r="H24" s="36"/>
      <c r="I24" s="274">
        <v>0</v>
      </c>
      <c r="J24" s="36">
        <f t="shared" si="0"/>
        <v>0</v>
      </c>
      <c r="K24" s="225">
        <f t="shared" ref="K24:K30" si="9">R24*0.8</f>
        <v>0.62</v>
      </c>
      <c r="L24" s="154">
        <f>K24*J322</f>
        <v>0</v>
      </c>
      <c r="M24" s="122"/>
      <c r="N24" s="200"/>
      <c r="O24" s="36"/>
      <c r="P24" s="274">
        <f t="shared" si="8"/>
        <v>0</v>
      </c>
      <c r="Q24" s="184">
        <f t="shared" si="2"/>
        <v>0</v>
      </c>
      <c r="R24" s="223">
        <f t="shared" si="6"/>
        <v>0.77</v>
      </c>
      <c r="S24" s="243">
        <f>21.4*0.03</f>
        <v>0.64</v>
      </c>
      <c r="T24" s="268">
        <f t="shared" si="3"/>
        <v>0</v>
      </c>
      <c r="U24" s="18"/>
      <c r="V24" s="18">
        <f t="shared" si="4"/>
        <v>0</v>
      </c>
      <c r="W24" s="49">
        <f t="shared" si="5"/>
        <v>0</v>
      </c>
      <c r="X24" s="18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s="4" customFormat="1" ht="26.25" hidden="1" customHeight="1" thickBot="1" x14ac:dyDescent="0.3">
      <c r="A25" s="10"/>
      <c r="B25" s="11"/>
      <c r="C25" s="6" t="s">
        <v>18</v>
      </c>
      <c r="D25" s="21" t="s">
        <v>9</v>
      </c>
      <c r="E25" s="1" t="s">
        <v>403</v>
      </c>
      <c r="F25" s="138" t="s">
        <v>292</v>
      </c>
      <c r="G25" s="17"/>
      <c r="H25" s="36"/>
      <c r="I25" s="225">
        <v>0</v>
      </c>
      <c r="J25" s="36">
        <f t="shared" si="0"/>
        <v>0</v>
      </c>
      <c r="K25" s="225">
        <f t="shared" si="9"/>
        <v>6.72</v>
      </c>
      <c r="L25" s="154"/>
      <c r="M25" s="60"/>
      <c r="N25" s="200"/>
      <c r="O25" s="36"/>
      <c r="P25" s="274">
        <f t="shared" si="8"/>
        <v>0</v>
      </c>
      <c r="Q25" s="186" t="str">
        <f t="shared" si="2"/>
        <v>ЭПГ 110.107(К30х5(10)х8)</v>
      </c>
      <c r="R25" s="288">
        <f t="shared" si="6"/>
        <v>8.4</v>
      </c>
      <c r="S25" s="236">
        <v>7</v>
      </c>
      <c r="T25" s="268">
        <f t="shared" si="3"/>
        <v>0</v>
      </c>
      <c r="U25" s="18"/>
      <c r="V25" s="18">
        <f t="shared" si="4"/>
        <v>0</v>
      </c>
      <c r="W25" s="49">
        <f t="shared" si="5"/>
        <v>0</v>
      </c>
      <c r="X25" s="18"/>
    </row>
    <row r="26" spans="1:41" ht="26.25" hidden="1" customHeight="1" x14ac:dyDescent="0.25">
      <c r="B26" s="11"/>
      <c r="C26" s="6" t="s">
        <v>18</v>
      </c>
      <c r="D26" s="21" t="s">
        <v>9</v>
      </c>
      <c r="E26" s="139" t="s">
        <v>260</v>
      </c>
      <c r="F26" s="309">
        <v>852</v>
      </c>
      <c r="G26" s="45" t="s">
        <v>0</v>
      </c>
      <c r="H26" s="36"/>
      <c r="I26" s="274">
        <v>0</v>
      </c>
      <c r="J26" s="36">
        <f t="shared" si="0"/>
        <v>0</v>
      </c>
      <c r="K26" s="225">
        <f t="shared" si="9"/>
        <v>0.86</v>
      </c>
      <c r="L26" s="154">
        <f>K26*J324</f>
        <v>0</v>
      </c>
      <c r="M26" s="122" t="s">
        <v>468</v>
      </c>
      <c r="N26" s="200"/>
      <c r="O26" s="36"/>
      <c r="P26" s="274">
        <f t="shared" si="8"/>
        <v>0</v>
      </c>
      <c r="Q26" s="183" t="str">
        <f t="shared" si="2"/>
        <v>К36х13х8</v>
      </c>
      <c r="R26" s="223">
        <f t="shared" si="6"/>
        <v>1.08</v>
      </c>
      <c r="S26" s="235">
        <v>0.9</v>
      </c>
      <c r="T26" s="268">
        <f t="shared" si="3"/>
        <v>0</v>
      </c>
      <c r="U26" s="16"/>
      <c r="V26" s="18">
        <f t="shared" si="4"/>
        <v>0</v>
      </c>
      <c r="W26" s="49">
        <f t="shared" si="5"/>
        <v>0</v>
      </c>
      <c r="X26" s="16"/>
    </row>
    <row r="27" spans="1:41" ht="26.25" hidden="1" customHeight="1" x14ac:dyDescent="0.25">
      <c r="B27" s="11"/>
      <c r="C27" s="6" t="s">
        <v>18</v>
      </c>
      <c r="D27" s="21" t="s">
        <v>9</v>
      </c>
      <c r="E27" s="163" t="s">
        <v>392</v>
      </c>
      <c r="F27" s="295">
        <v>1231</v>
      </c>
      <c r="G27" s="45" t="s">
        <v>0</v>
      </c>
      <c r="H27" s="36">
        <v>0</v>
      </c>
      <c r="I27" s="274">
        <v>0</v>
      </c>
      <c r="J27" s="36">
        <f t="shared" si="0"/>
        <v>0</v>
      </c>
      <c r="K27" s="225">
        <f t="shared" si="9"/>
        <v>2.21</v>
      </c>
      <c r="L27" s="154">
        <f>K27*J325</f>
        <v>0</v>
      </c>
      <c r="M27" s="122"/>
      <c r="N27" s="200"/>
      <c r="O27" s="36">
        <v>0</v>
      </c>
      <c r="P27" s="225">
        <f t="shared" si="8"/>
        <v>0</v>
      </c>
      <c r="Q27" s="159" t="str">
        <f t="shared" si="2"/>
        <v>Д30х10</v>
      </c>
      <c r="R27" s="288">
        <f t="shared" si="6"/>
        <v>2.76</v>
      </c>
      <c r="S27" s="244">
        <v>2.2999999999999998</v>
      </c>
      <c r="T27" s="268">
        <f t="shared" si="3"/>
        <v>0</v>
      </c>
      <c r="U27" s="18"/>
      <c r="V27" s="18">
        <f t="shared" si="4"/>
        <v>0</v>
      </c>
      <c r="W27" s="49">
        <f t="shared" si="5"/>
        <v>0</v>
      </c>
      <c r="X27" s="18"/>
    </row>
    <row r="28" spans="1:41" s="4" customFormat="1" ht="26.25" hidden="1" customHeight="1" x14ac:dyDescent="0.25">
      <c r="A28" s="10"/>
      <c r="B28" s="11"/>
      <c r="C28" s="6" t="s">
        <v>18</v>
      </c>
      <c r="D28" s="21" t="s">
        <v>9</v>
      </c>
      <c r="E28" s="1"/>
      <c r="F28" s="138"/>
      <c r="G28" s="45" t="s">
        <v>0</v>
      </c>
      <c r="H28" s="36"/>
      <c r="I28" s="274">
        <v>0</v>
      </c>
      <c r="J28" s="36">
        <f t="shared" si="0"/>
        <v>0</v>
      </c>
      <c r="K28" s="225">
        <f t="shared" si="9"/>
        <v>0.74</v>
      </c>
      <c r="L28" s="154"/>
      <c r="M28" s="60"/>
      <c r="N28" s="200"/>
      <c r="O28" s="36"/>
      <c r="P28" s="274">
        <f t="shared" si="8"/>
        <v>0</v>
      </c>
      <c r="Q28" s="159">
        <f t="shared" si="2"/>
        <v>0</v>
      </c>
      <c r="R28" s="288">
        <f t="shared" si="6"/>
        <v>0.92</v>
      </c>
      <c r="S28" s="236">
        <v>0.77</v>
      </c>
      <c r="T28" s="268">
        <f t="shared" si="3"/>
        <v>0</v>
      </c>
      <c r="U28" s="18"/>
      <c r="V28" s="18">
        <f t="shared" si="4"/>
        <v>0</v>
      </c>
      <c r="W28" s="49">
        <f t="shared" si="5"/>
        <v>0</v>
      </c>
      <c r="X28" s="18"/>
    </row>
    <row r="29" spans="1:41" s="4" customFormat="1" ht="26.25" hidden="1" customHeight="1" x14ac:dyDescent="0.25">
      <c r="A29" s="10"/>
      <c r="B29" s="11"/>
      <c r="C29" s="6" t="s">
        <v>18</v>
      </c>
      <c r="D29" s="21" t="s">
        <v>9</v>
      </c>
      <c r="E29" s="139" t="s">
        <v>274</v>
      </c>
      <c r="F29" s="138" t="s">
        <v>293</v>
      </c>
      <c r="G29" s="17"/>
      <c r="H29" s="36"/>
      <c r="I29" s="225">
        <v>0</v>
      </c>
      <c r="J29" s="36">
        <f t="shared" si="0"/>
        <v>0</v>
      </c>
      <c r="K29" s="225">
        <f t="shared" si="9"/>
        <v>1.92</v>
      </c>
      <c r="L29" s="154"/>
      <c r="M29" s="60"/>
      <c r="N29" s="200"/>
      <c r="O29" s="36"/>
      <c r="P29" s="225">
        <f t="shared" si="8"/>
        <v>0</v>
      </c>
      <c r="Q29" s="159" t="str">
        <f t="shared" si="2"/>
        <v>К24,3х16,2х4</v>
      </c>
      <c r="R29" s="288">
        <f t="shared" si="6"/>
        <v>2.4</v>
      </c>
      <c r="S29" s="245">
        <f>20000*0.0001</f>
        <v>2</v>
      </c>
      <c r="T29" s="268">
        <f t="shared" si="3"/>
        <v>0</v>
      </c>
      <c r="U29" s="18"/>
      <c r="V29" s="18">
        <f t="shared" si="4"/>
        <v>0</v>
      </c>
      <c r="W29" s="49">
        <f t="shared" si="5"/>
        <v>0</v>
      </c>
      <c r="X29" s="18"/>
    </row>
    <row r="30" spans="1:41" ht="26.25" hidden="1" customHeight="1" x14ac:dyDescent="0.25">
      <c r="B30" s="11"/>
      <c r="C30" s="6" t="s">
        <v>18</v>
      </c>
      <c r="D30" s="21" t="s">
        <v>9</v>
      </c>
      <c r="E30" s="139" t="s">
        <v>429</v>
      </c>
      <c r="F30" s="138"/>
      <c r="G30" s="17"/>
      <c r="H30" s="36"/>
      <c r="I30" s="225">
        <v>0</v>
      </c>
      <c r="J30" s="36">
        <f t="shared" si="0"/>
        <v>0</v>
      </c>
      <c r="K30" s="225">
        <f t="shared" si="9"/>
        <v>6.24</v>
      </c>
      <c r="L30" s="154"/>
      <c r="M30" s="60"/>
      <c r="N30" s="200"/>
      <c r="O30" s="36"/>
      <c r="P30" s="225">
        <f t="shared" si="8"/>
        <v>0</v>
      </c>
      <c r="Q30" s="159" t="str">
        <f t="shared" si="2"/>
        <v>К35х5(10)х6</v>
      </c>
      <c r="R30" s="288">
        <f t="shared" si="6"/>
        <v>7.8</v>
      </c>
      <c r="S30" s="245">
        <f>65000*0.0001</f>
        <v>6.5</v>
      </c>
      <c r="T30" s="268">
        <f t="shared" si="3"/>
        <v>0</v>
      </c>
      <c r="U30" s="18">
        <v>288</v>
      </c>
      <c r="V30" s="18">
        <f t="shared" si="4"/>
        <v>0</v>
      </c>
      <c r="W30" s="49">
        <f t="shared" si="5"/>
        <v>0</v>
      </c>
      <c r="X30" s="18">
        <v>288</v>
      </c>
    </row>
    <row r="31" spans="1:41" ht="26.25" hidden="1" customHeight="1" x14ac:dyDescent="0.25">
      <c r="B31" s="11"/>
      <c r="C31" s="6" t="s">
        <v>18</v>
      </c>
      <c r="D31" s="21" t="s">
        <v>9</v>
      </c>
      <c r="E31" s="139" t="s">
        <v>389</v>
      </c>
      <c r="F31" s="138"/>
      <c r="G31" s="17"/>
      <c r="H31" s="36"/>
      <c r="I31" s="225">
        <v>0</v>
      </c>
      <c r="J31" s="36">
        <f t="shared" si="0"/>
        <v>0</v>
      </c>
      <c r="K31" s="225"/>
      <c r="L31" s="154"/>
      <c r="M31" s="60"/>
      <c r="N31" s="200"/>
      <c r="O31" s="36"/>
      <c r="P31" s="225">
        <f t="shared" si="8"/>
        <v>0</v>
      </c>
      <c r="Q31" s="159" t="str">
        <f t="shared" si="2"/>
        <v>К36х8х8</v>
      </c>
      <c r="R31" s="288">
        <f t="shared" si="6"/>
        <v>0</v>
      </c>
      <c r="S31" s="245"/>
      <c r="T31" s="268">
        <f t="shared" si="3"/>
        <v>0</v>
      </c>
      <c r="U31" s="116">
        <v>400</v>
      </c>
      <c r="V31" s="18">
        <f t="shared" si="4"/>
        <v>0</v>
      </c>
      <c r="W31" s="49">
        <f t="shared" si="5"/>
        <v>0</v>
      </c>
      <c r="X31" s="18">
        <v>400</v>
      </c>
    </row>
    <row r="32" spans="1:41" s="4" customFormat="1" ht="26.25" hidden="1" customHeight="1" x14ac:dyDescent="0.25">
      <c r="A32" s="10"/>
      <c r="B32" s="11"/>
      <c r="C32" s="6" t="s">
        <v>18</v>
      </c>
      <c r="D32" s="21" t="s">
        <v>9</v>
      </c>
      <c r="E32" s="139" t="s">
        <v>273</v>
      </c>
      <c r="F32" s="138" t="s">
        <v>294</v>
      </c>
      <c r="G32" s="17"/>
      <c r="H32" s="36"/>
      <c r="I32" s="225">
        <v>0</v>
      </c>
      <c r="J32" s="36">
        <f t="shared" si="0"/>
        <v>0</v>
      </c>
      <c r="K32" s="225">
        <f t="shared" ref="K32:K40" si="10">R32*0.8</f>
        <v>4.8</v>
      </c>
      <c r="L32" s="154"/>
      <c r="M32" s="60"/>
      <c r="N32" s="200"/>
      <c r="O32" s="36"/>
      <c r="P32" s="225">
        <f t="shared" si="8"/>
        <v>0</v>
      </c>
      <c r="Q32" s="159" t="str">
        <f t="shared" si="2"/>
        <v>К40х24х3,5</v>
      </c>
      <c r="R32" s="288">
        <f t="shared" si="6"/>
        <v>6</v>
      </c>
      <c r="S32" s="245">
        <f>50000*0.0001</f>
        <v>5</v>
      </c>
      <c r="T32" s="268">
        <f t="shared" si="3"/>
        <v>0</v>
      </c>
      <c r="U32" s="18"/>
      <c r="V32" s="18">
        <f t="shared" si="4"/>
        <v>0</v>
      </c>
      <c r="W32" s="49">
        <f t="shared" si="5"/>
        <v>0</v>
      </c>
      <c r="X32" s="18"/>
    </row>
    <row r="33" spans="1:208" s="4" customFormat="1" ht="26.25" hidden="1" customHeight="1" thickBot="1" x14ac:dyDescent="0.3">
      <c r="A33" s="10"/>
      <c r="B33" s="11"/>
      <c r="C33" s="6" t="s">
        <v>18</v>
      </c>
      <c r="D33" s="21" t="s">
        <v>9</v>
      </c>
      <c r="E33" s="161" t="s">
        <v>633</v>
      </c>
      <c r="F33" s="138" t="s">
        <v>638</v>
      </c>
      <c r="G33" s="17"/>
      <c r="H33" s="36"/>
      <c r="I33" s="225">
        <v>0</v>
      </c>
      <c r="J33" s="36">
        <f t="shared" si="0"/>
        <v>0</v>
      </c>
      <c r="K33" s="225">
        <f t="shared" si="10"/>
        <v>6.72</v>
      </c>
      <c r="L33" s="154"/>
      <c r="M33" s="157" t="s">
        <v>641</v>
      </c>
      <c r="N33" s="200"/>
      <c r="O33" s="36"/>
      <c r="P33" s="350">
        <f t="shared" si="8"/>
        <v>0</v>
      </c>
      <c r="Q33" s="184" t="str">
        <f t="shared" si="2"/>
        <v>К45х22х5</v>
      </c>
      <c r="R33" s="288">
        <f t="shared" si="6"/>
        <v>8.4</v>
      </c>
      <c r="S33" s="237">
        <f>70000*0.0001</f>
        <v>7</v>
      </c>
      <c r="T33" s="268">
        <f t="shared" si="3"/>
        <v>0</v>
      </c>
      <c r="U33" s="18"/>
      <c r="V33" s="18">
        <f t="shared" si="4"/>
        <v>0</v>
      </c>
      <c r="W33" s="49">
        <f t="shared" si="5"/>
        <v>0</v>
      </c>
      <c r="X33" s="18"/>
    </row>
    <row r="34" spans="1:208" ht="26.25" hidden="1" customHeight="1" thickBot="1" x14ac:dyDescent="0.3">
      <c r="B34" s="11"/>
      <c r="C34" s="6" t="s">
        <v>18</v>
      </c>
      <c r="D34" s="21" t="s">
        <v>9</v>
      </c>
      <c r="E34" s="161" t="s">
        <v>94</v>
      </c>
      <c r="F34" s="135" t="s">
        <v>98</v>
      </c>
      <c r="G34" s="45" t="s">
        <v>0</v>
      </c>
      <c r="H34" s="36"/>
      <c r="I34" s="274">
        <v>0</v>
      </c>
      <c r="J34" s="36">
        <f t="shared" si="0"/>
        <v>0</v>
      </c>
      <c r="K34" s="225">
        <f t="shared" si="10"/>
        <v>1.06</v>
      </c>
      <c r="L34" s="154">
        <f>K34*J332</f>
        <v>0</v>
      </c>
      <c r="M34" s="147" t="s">
        <v>728</v>
      </c>
      <c r="N34" s="200"/>
      <c r="O34" s="353"/>
      <c r="P34" s="225">
        <f t="shared" si="8"/>
        <v>0</v>
      </c>
      <c r="Q34" s="186" t="str">
        <f t="shared" si="2"/>
        <v>К45х22х7</v>
      </c>
      <c r="R34" s="223">
        <f t="shared" si="6"/>
        <v>1.32</v>
      </c>
      <c r="S34" s="235">
        <v>1.1000000000000001</v>
      </c>
      <c r="T34" s="268">
        <f t="shared" si="3"/>
        <v>0</v>
      </c>
      <c r="U34" s="116">
        <v>11407</v>
      </c>
      <c r="V34" s="18">
        <f t="shared" si="4"/>
        <v>0</v>
      </c>
      <c r="W34" s="49">
        <f t="shared" si="5"/>
        <v>0</v>
      </c>
      <c r="X34" s="18">
        <v>11407</v>
      </c>
    </row>
    <row r="35" spans="1:208" ht="26.25" hidden="1" customHeight="1" x14ac:dyDescent="0.25">
      <c r="B35" s="15"/>
      <c r="C35" s="6" t="s">
        <v>18</v>
      </c>
      <c r="D35" s="21" t="s">
        <v>176</v>
      </c>
      <c r="E35" s="96" t="s">
        <v>212</v>
      </c>
      <c r="F35" s="135" t="s">
        <v>177</v>
      </c>
      <c r="G35" s="45" t="s">
        <v>0</v>
      </c>
      <c r="H35" s="36"/>
      <c r="I35" s="225">
        <v>0</v>
      </c>
      <c r="J35" s="36">
        <f t="shared" si="0"/>
        <v>0</v>
      </c>
      <c r="K35" s="225">
        <f t="shared" si="10"/>
        <v>0.14000000000000001</v>
      </c>
      <c r="L35" s="154">
        <f>K35*J333</f>
        <v>0</v>
      </c>
      <c r="M35" s="58" t="s">
        <v>268</v>
      </c>
      <c r="N35" s="109"/>
      <c r="O35" s="36"/>
      <c r="P35" s="344">
        <f t="shared" si="8"/>
        <v>0</v>
      </c>
      <c r="Q35" s="183" t="str">
        <f t="shared" si="2"/>
        <v>ЭПГ110.165(К45*22*6)</v>
      </c>
      <c r="R35" s="288">
        <f t="shared" si="6"/>
        <v>0.18</v>
      </c>
      <c r="S35" s="238">
        <f>1513*0.0001</f>
        <v>0.15</v>
      </c>
      <c r="T35" s="268">
        <f t="shared" si="3"/>
        <v>0</v>
      </c>
      <c r="U35" s="130"/>
      <c r="V35" s="18">
        <f t="shared" si="4"/>
        <v>0</v>
      </c>
      <c r="W35" s="49">
        <f t="shared" si="5"/>
        <v>0</v>
      </c>
      <c r="X35" s="130"/>
    </row>
    <row r="36" spans="1:208" ht="26.25" hidden="1" customHeight="1" x14ac:dyDescent="0.25">
      <c r="B36" s="15"/>
      <c r="C36" s="6" t="s">
        <v>18</v>
      </c>
      <c r="D36" s="21" t="s">
        <v>9</v>
      </c>
      <c r="E36" s="162" t="s">
        <v>440</v>
      </c>
      <c r="F36" s="135"/>
      <c r="G36" s="45"/>
      <c r="H36" s="36"/>
      <c r="I36" s="225">
        <v>0</v>
      </c>
      <c r="J36" s="36">
        <f t="shared" si="0"/>
        <v>0</v>
      </c>
      <c r="K36" s="225">
        <f t="shared" si="10"/>
        <v>0</v>
      </c>
      <c r="L36" s="154"/>
      <c r="M36" s="114" t="s">
        <v>318</v>
      </c>
      <c r="N36" s="200"/>
      <c r="O36" s="36"/>
      <c r="P36" s="350">
        <f t="shared" si="8"/>
        <v>0</v>
      </c>
      <c r="Q36" s="159" t="str">
        <f t="shared" si="2"/>
        <v>К60х25х9</v>
      </c>
      <c r="R36" s="288">
        <f t="shared" si="6"/>
        <v>0</v>
      </c>
      <c r="S36" s="246"/>
      <c r="T36" s="268">
        <f t="shared" si="3"/>
        <v>0</v>
      </c>
      <c r="U36" s="116">
        <f>70*5</f>
        <v>350</v>
      </c>
      <c r="V36" s="18">
        <f t="shared" si="4"/>
        <v>0</v>
      </c>
      <c r="W36" s="49">
        <f t="shared" si="5"/>
        <v>0</v>
      </c>
      <c r="X36" s="18">
        <f>70*5</f>
        <v>350</v>
      </c>
    </row>
    <row r="37" spans="1:208" ht="26.25" customHeight="1" x14ac:dyDescent="0.25">
      <c r="B37" s="15">
        <v>8</v>
      </c>
      <c r="C37" s="6" t="s">
        <v>18</v>
      </c>
      <c r="D37" s="21" t="s">
        <v>9</v>
      </c>
      <c r="E37" s="162" t="s">
        <v>275</v>
      </c>
      <c r="F37" s="135">
        <v>1383</v>
      </c>
      <c r="G37" s="12" t="s">
        <v>0</v>
      </c>
      <c r="H37" s="36">
        <v>220</v>
      </c>
      <c r="I37" s="225">
        <v>338.8</v>
      </c>
      <c r="J37" s="36">
        <f t="shared" si="0"/>
        <v>0</v>
      </c>
      <c r="K37" s="225">
        <f t="shared" si="10"/>
        <v>1.54</v>
      </c>
      <c r="L37" s="154"/>
      <c r="M37" s="157"/>
      <c r="N37" s="200"/>
      <c r="O37" s="36">
        <v>220</v>
      </c>
      <c r="P37" s="225">
        <f t="shared" si="8"/>
        <v>338.8</v>
      </c>
      <c r="Q37" s="48" t="str">
        <f t="shared" si="2"/>
        <v>К61х24х8</v>
      </c>
      <c r="R37" s="288">
        <f t="shared" si="6"/>
        <v>1.92</v>
      </c>
      <c r="S37" s="246">
        <v>1.6</v>
      </c>
      <c r="T37" s="268">
        <f t="shared" si="3"/>
        <v>0</v>
      </c>
      <c r="U37" s="116">
        <f>10*125-190-190</f>
        <v>870</v>
      </c>
      <c r="V37" s="18">
        <f t="shared" si="4"/>
        <v>0</v>
      </c>
      <c r="W37" s="49">
        <f t="shared" si="5"/>
        <v>0</v>
      </c>
      <c r="X37" s="18">
        <f>10*125-190-190</f>
        <v>870</v>
      </c>
    </row>
    <row r="38" spans="1:208" ht="26.25" hidden="1" customHeight="1" x14ac:dyDescent="0.25">
      <c r="B38" s="11"/>
      <c r="C38" s="6" t="s">
        <v>18</v>
      </c>
      <c r="D38" s="21" t="s">
        <v>9</v>
      </c>
      <c r="E38" s="83" t="s">
        <v>632</v>
      </c>
      <c r="F38" s="135">
        <v>1452</v>
      </c>
      <c r="G38" s="45" t="s">
        <v>0</v>
      </c>
      <c r="H38" s="36"/>
      <c r="I38" s="225">
        <v>0</v>
      </c>
      <c r="J38" s="36">
        <f t="shared" si="0"/>
        <v>0</v>
      </c>
      <c r="K38" s="225">
        <f t="shared" si="10"/>
        <v>23.04</v>
      </c>
      <c r="L38" s="154">
        <f t="shared" ref="L38:L44" si="11">K38*J336</f>
        <v>0</v>
      </c>
      <c r="M38" s="157" t="s">
        <v>642</v>
      </c>
      <c r="N38" s="200"/>
      <c r="O38" s="36"/>
      <c r="P38" s="344">
        <f t="shared" si="8"/>
        <v>0</v>
      </c>
      <c r="Q38" s="322" t="str">
        <f t="shared" si="2"/>
        <v>К59х44х4</v>
      </c>
      <c r="R38" s="288">
        <f t="shared" si="6"/>
        <v>28.8</v>
      </c>
      <c r="S38" s="235">
        <v>24</v>
      </c>
      <c r="T38" s="268">
        <f t="shared" ref="T38:T70" si="12">S38*J38</f>
        <v>0</v>
      </c>
      <c r="U38" s="18"/>
      <c r="V38" s="18">
        <f t="shared" ref="V38:V69" si="13">N38</f>
        <v>0</v>
      </c>
      <c r="W38" s="49">
        <f t="shared" si="5"/>
        <v>0</v>
      </c>
      <c r="X38" s="18"/>
    </row>
    <row r="39" spans="1:208" ht="26.25" customHeight="1" thickBot="1" x14ac:dyDescent="0.3">
      <c r="B39" s="11">
        <v>9</v>
      </c>
      <c r="C39" s="6" t="s">
        <v>18</v>
      </c>
      <c r="D39" s="21" t="s">
        <v>9</v>
      </c>
      <c r="E39" s="40" t="s">
        <v>114</v>
      </c>
      <c r="F39" s="135" t="s">
        <v>115</v>
      </c>
      <c r="G39" s="12" t="s">
        <v>0</v>
      </c>
      <c r="H39" s="36">
        <v>150</v>
      </c>
      <c r="I39" s="274">
        <v>412.5</v>
      </c>
      <c r="J39" s="36">
        <f t="shared" si="0"/>
        <v>0</v>
      </c>
      <c r="K39" s="225">
        <f t="shared" si="10"/>
        <v>2.75</v>
      </c>
      <c r="L39" s="154">
        <f t="shared" si="11"/>
        <v>0</v>
      </c>
      <c r="M39" s="157" t="s">
        <v>565</v>
      </c>
      <c r="N39" s="200"/>
      <c r="O39" s="36">
        <v>150</v>
      </c>
      <c r="P39" s="344">
        <f t="shared" si="8"/>
        <v>412.5</v>
      </c>
      <c r="Q39" s="177" t="str">
        <f t="shared" si="2"/>
        <v>К72*32*10</v>
      </c>
      <c r="R39" s="288">
        <f t="shared" ref="R39:R70" si="14">S39*1.2</f>
        <v>3.44</v>
      </c>
      <c r="S39" s="236">
        <v>2.87</v>
      </c>
      <c r="T39" s="268">
        <f t="shared" si="3"/>
        <v>0</v>
      </c>
      <c r="U39" s="116">
        <v>6500</v>
      </c>
      <c r="V39" s="18">
        <f t="shared" si="13"/>
        <v>0</v>
      </c>
      <c r="W39" s="49">
        <f t="shared" si="5"/>
        <v>0</v>
      </c>
      <c r="X39" s="18">
        <v>6500</v>
      </c>
    </row>
    <row r="40" spans="1:208" s="4" customFormat="1" ht="26.25" hidden="1" customHeight="1" thickBot="1" x14ac:dyDescent="0.3">
      <c r="A40" s="10"/>
      <c r="B40" s="11"/>
      <c r="C40" s="6" t="s">
        <v>18</v>
      </c>
      <c r="D40" s="21" t="s">
        <v>9</v>
      </c>
      <c r="E40" s="162" t="s">
        <v>388</v>
      </c>
      <c r="F40" s="298" t="s">
        <v>351</v>
      </c>
      <c r="G40" s="45" t="s">
        <v>0</v>
      </c>
      <c r="H40" s="36"/>
      <c r="I40" s="274">
        <v>0</v>
      </c>
      <c r="J40" s="36">
        <f t="shared" si="0"/>
        <v>0</v>
      </c>
      <c r="K40" s="225">
        <f t="shared" si="10"/>
        <v>4.8</v>
      </c>
      <c r="L40" s="154">
        <f t="shared" si="11"/>
        <v>720</v>
      </c>
      <c r="M40" s="157" t="s">
        <v>461</v>
      </c>
      <c r="N40" s="200"/>
      <c r="O40" s="36"/>
      <c r="P40" s="334">
        <f t="shared" si="8"/>
        <v>0</v>
      </c>
      <c r="Q40" s="185" t="str">
        <f t="shared" si="2"/>
        <v>К72х32х12</v>
      </c>
      <c r="R40" s="288">
        <f t="shared" si="14"/>
        <v>6</v>
      </c>
      <c r="S40" s="246">
        <v>5</v>
      </c>
      <c r="T40" s="268">
        <f t="shared" si="12"/>
        <v>0</v>
      </c>
      <c r="U40" s="18"/>
      <c r="V40" s="18">
        <f t="shared" si="13"/>
        <v>0</v>
      </c>
      <c r="W40" s="49">
        <f t="shared" si="5"/>
        <v>6120</v>
      </c>
      <c r="X40" s="325">
        <f>103*40+2000</f>
        <v>6120</v>
      </c>
    </row>
    <row r="41" spans="1:208" s="4" customFormat="1" ht="26.25" customHeight="1" x14ac:dyDescent="0.25">
      <c r="A41" s="10"/>
      <c r="B41" s="11">
        <v>10</v>
      </c>
      <c r="C41" s="6" t="s">
        <v>18</v>
      </c>
      <c r="D41" s="21" t="s">
        <v>9</v>
      </c>
      <c r="E41" s="163" t="s">
        <v>207</v>
      </c>
      <c r="F41" s="135" t="s">
        <v>252</v>
      </c>
      <c r="G41" s="12" t="s">
        <v>0</v>
      </c>
      <c r="H41" s="36">
        <v>46</v>
      </c>
      <c r="I41" s="274">
        <v>86.48</v>
      </c>
      <c r="J41" s="36">
        <f t="shared" si="0"/>
        <v>0</v>
      </c>
      <c r="K41" s="225">
        <v>1.88</v>
      </c>
      <c r="L41" s="154">
        <f t="shared" si="11"/>
        <v>0</v>
      </c>
      <c r="M41" s="85" t="s">
        <v>499</v>
      </c>
      <c r="N41" s="200">
        <v>30</v>
      </c>
      <c r="O41" s="36">
        <v>16</v>
      </c>
      <c r="P41" s="225">
        <f t="shared" si="8"/>
        <v>30.08</v>
      </c>
      <c r="Q41" s="180" t="str">
        <f t="shared" si="2"/>
        <v>К85х32х9</v>
      </c>
      <c r="R41" s="288">
        <f t="shared" si="14"/>
        <v>2.76</v>
      </c>
      <c r="S41" s="235">
        <v>2.2999999999999998</v>
      </c>
      <c r="T41" s="268">
        <f t="shared" si="3"/>
        <v>0</v>
      </c>
      <c r="U41" s="16">
        <v>3478</v>
      </c>
      <c r="V41" s="18">
        <f t="shared" si="13"/>
        <v>30</v>
      </c>
      <c r="W41" s="49">
        <f t="shared" si="5"/>
        <v>30</v>
      </c>
      <c r="X41" s="16">
        <v>3478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</row>
    <row r="42" spans="1:208" ht="26.25" hidden="1" customHeight="1" x14ac:dyDescent="0.25">
      <c r="B42" s="11"/>
      <c r="C42" s="6" t="s">
        <v>18</v>
      </c>
      <c r="D42" s="21" t="s">
        <v>9</v>
      </c>
      <c r="E42" s="163"/>
      <c r="F42" s="138"/>
      <c r="G42" s="12" t="s">
        <v>0</v>
      </c>
      <c r="H42" s="36"/>
      <c r="I42" s="274">
        <v>0</v>
      </c>
      <c r="J42" s="36">
        <f t="shared" si="0"/>
        <v>0</v>
      </c>
      <c r="K42" s="225">
        <v>1.76</v>
      </c>
      <c r="L42" s="154">
        <f t="shared" si="11"/>
        <v>0</v>
      </c>
      <c r="M42" s="85"/>
      <c r="N42" s="200"/>
      <c r="O42" s="36"/>
      <c r="P42" s="334">
        <f t="shared" si="8"/>
        <v>0</v>
      </c>
      <c r="Q42" s="181">
        <f t="shared" si="2"/>
        <v>0</v>
      </c>
      <c r="R42" s="288">
        <f t="shared" si="14"/>
        <v>2.41</v>
      </c>
      <c r="S42" s="235">
        <v>2.0099999999999998</v>
      </c>
      <c r="T42" s="268">
        <f t="shared" si="12"/>
        <v>0</v>
      </c>
      <c r="U42" s="16"/>
      <c r="V42" s="18">
        <f t="shared" si="13"/>
        <v>0</v>
      </c>
      <c r="W42" s="49">
        <f t="shared" si="5"/>
        <v>0</v>
      </c>
      <c r="X42" s="16"/>
    </row>
    <row r="43" spans="1:208" s="5" customFormat="1" ht="26.25" customHeight="1" x14ac:dyDescent="0.25">
      <c r="B43" s="11">
        <v>11</v>
      </c>
      <c r="C43" s="6" t="s">
        <v>18</v>
      </c>
      <c r="D43" s="21" t="s">
        <v>9</v>
      </c>
      <c r="E43" s="161" t="s">
        <v>39</v>
      </c>
      <c r="F43" s="135" t="s">
        <v>67</v>
      </c>
      <c r="G43" s="12" t="s">
        <v>0</v>
      </c>
      <c r="H43" s="36">
        <v>1165</v>
      </c>
      <c r="I43" s="274">
        <v>4473.6000000000004</v>
      </c>
      <c r="J43" s="36">
        <f t="shared" si="0"/>
        <v>5</v>
      </c>
      <c r="K43" s="225">
        <f>R43*0.8</f>
        <v>3.84</v>
      </c>
      <c r="L43" s="154">
        <f t="shared" si="11"/>
        <v>0</v>
      </c>
      <c r="M43" s="94"/>
      <c r="N43" s="200"/>
      <c r="O43" s="36">
        <v>1170</v>
      </c>
      <c r="P43" s="225">
        <f t="shared" si="8"/>
        <v>4492.8</v>
      </c>
      <c r="Q43" s="181" t="str">
        <f t="shared" si="2"/>
        <v>К85х44х9</v>
      </c>
      <c r="R43" s="288">
        <f t="shared" si="14"/>
        <v>4.8</v>
      </c>
      <c r="S43" s="235">
        <v>4</v>
      </c>
      <c r="T43" s="268">
        <f t="shared" si="3"/>
        <v>20</v>
      </c>
      <c r="U43" s="116">
        <f>16*30+10+48*72</f>
        <v>3946</v>
      </c>
      <c r="V43" s="18">
        <f t="shared" si="13"/>
        <v>0</v>
      </c>
      <c r="W43" s="49">
        <f t="shared" si="5"/>
        <v>0</v>
      </c>
      <c r="X43" s="18">
        <f>16*30+10+48*72</f>
        <v>3946</v>
      </c>
    </row>
    <row r="44" spans="1:208" s="5" customFormat="1" ht="26.25" customHeight="1" thickBot="1" x14ac:dyDescent="0.3">
      <c r="B44" s="14">
        <v>12</v>
      </c>
      <c r="C44" s="6" t="s">
        <v>18</v>
      </c>
      <c r="D44" s="21" t="s">
        <v>9</v>
      </c>
      <c r="E44" s="161" t="s">
        <v>476</v>
      </c>
      <c r="F44" s="367" t="s">
        <v>295</v>
      </c>
      <c r="G44" s="12" t="s">
        <v>0</v>
      </c>
      <c r="H44" s="36">
        <v>30</v>
      </c>
      <c r="I44" s="274">
        <v>48.3</v>
      </c>
      <c r="J44" s="36">
        <f t="shared" si="0"/>
        <v>30</v>
      </c>
      <c r="K44" s="225">
        <f>S44*0.8</f>
        <v>1.61</v>
      </c>
      <c r="L44" s="154">
        <f t="shared" si="11"/>
        <v>0</v>
      </c>
      <c r="M44" s="157" t="s">
        <v>691</v>
      </c>
      <c r="N44" s="200">
        <v>60</v>
      </c>
      <c r="O44" s="353"/>
      <c r="P44" s="225">
        <f t="shared" si="8"/>
        <v>0</v>
      </c>
      <c r="Q44" s="182" t="str">
        <f t="shared" si="2"/>
        <v>К86х32х9 Кр.Борец</v>
      </c>
      <c r="R44" s="288">
        <f t="shared" si="14"/>
        <v>2.41</v>
      </c>
      <c r="S44" s="238">
        <v>2.0099999999999998</v>
      </c>
      <c r="T44" s="268">
        <f t="shared" si="3"/>
        <v>60.3</v>
      </c>
      <c r="U44" s="16"/>
      <c r="V44" s="18">
        <f t="shared" si="13"/>
        <v>60</v>
      </c>
      <c r="W44" s="49">
        <f t="shared" si="5"/>
        <v>60</v>
      </c>
      <c r="X44" s="16"/>
    </row>
    <row r="45" spans="1:208" s="8" customFormat="1" ht="26.25" hidden="1" customHeight="1" x14ac:dyDescent="0.25">
      <c r="A45" s="5"/>
      <c r="B45" s="14"/>
      <c r="C45" s="6" t="s">
        <v>18</v>
      </c>
      <c r="D45" s="21" t="s">
        <v>327</v>
      </c>
      <c r="E45" s="96" t="s">
        <v>326</v>
      </c>
      <c r="F45" s="298" t="s">
        <v>328</v>
      </c>
      <c r="G45" s="12" t="s">
        <v>0</v>
      </c>
      <c r="H45" s="36"/>
      <c r="I45" s="225">
        <v>0</v>
      </c>
      <c r="J45" s="36">
        <f t="shared" si="0"/>
        <v>0</v>
      </c>
      <c r="K45" s="225">
        <f>R45*0.8</f>
        <v>37.93</v>
      </c>
      <c r="L45" s="154"/>
      <c r="M45" s="85"/>
      <c r="N45" s="109"/>
      <c r="O45" s="36"/>
      <c r="P45" s="344">
        <f t="shared" si="8"/>
        <v>0</v>
      </c>
      <c r="Q45" s="185" t="str">
        <f t="shared" si="2"/>
        <v>К102х56х12</v>
      </c>
      <c r="R45" s="288">
        <f t="shared" si="14"/>
        <v>47.41</v>
      </c>
      <c r="S45" s="235">
        <f>395125*0.0001</f>
        <v>39.51</v>
      </c>
      <c r="T45" s="268">
        <f t="shared" si="12"/>
        <v>0</v>
      </c>
      <c r="U45" s="18"/>
      <c r="V45" s="18">
        <f t="shared" si="13"/>
        <v>0</v>
      </c>
      <c r="W45" s="49">
        <f t="shared" si="5"/>
        <v>0</v>
      </c>
      <c r="X45" s="18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</row>
    <row r="46" spans="1:208" s="8" customFormat="1" ht="26.25" hidden="1" customHeight="1" x14ac:dyDescent="0.25">
      <c r="A46" s="5"/>
      <c r="B46" s="14"/>
      <c r="C46" s="6" t="s">
        <v>18</v>
      </c>
      <c r="D46" s="21" t="s">
        <v>176</v>
      </c>
      <c r="E46" s="83" t="s">
        <v>603</v>
      </c>
      <c r="F46" s="298" t="s">
        <v>606</v>
      </c>
      <c r="G46" s="12"/>
      <c r="H46" s="36"/>
      <c r="I46" s="274">
        <v>0</v>
      </c>
      <c r="J46" s="36">
        <f t="shared" si="0"/>
        <v>0</v>
      </c>
      <c r="K46" s="225">
        <f>R46*0.8</f>
        <v>4.8</v>
      </c>
      <c r="L46" s="154"/>
      <c r="M46" s="85"/>
      <c r="N46" s="109"/>
      <c r="O46" s="353"/>
      <c r="P46" s="225">
        <f t="shared" si="8"/>
        <v>0</v>
      </c>
      <c r="Q46" s="185" t="str">
        <f t="shared" si="2"/>
        <v>Д8,2х6,4</v>
      </c>
      <c r="R46" s="288">
        <f t="shared" si="14"/>
        <v>6</v>
      </c>
      <c r="S46" s="235">
        <v>5</v>
      </c>
      <c r="T46" s="268">
        <f t="shared" si="12"/>
        <v>0</v>
      </c>
      <c r="U46" s="18"/>
      <c r="V46" s="18">
        <f t="shared" si="13"/>
        <v>0</v>
      </c>
      <c r="W46" s="49"/>
      <c r="X46" s="18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</row>
    <row r="47" spans="1:208" s="5" customFormat="1" ht="30" customHeight="1" x14ac:dyDescent="0.25">
      <c r="B47" s="11">
        <v>13</v>
      </c>
      <c r="C47" s="6" t="s">
        <v>18</v>
      </c>
      <c r="D47" s="21" t="s">
        <v>9</v>
      </c>
      <c r="E47" s="163" t="s">
        <v>222</v>
      </c>
      <c r="F47" s="135" t="s">
        <v>231</v>
      </c>
      <c r="G47" s="12" t="s">
        <v>0</v>
      </c>
      <c r="H47" s="36">
        <v>2000</v>
      </c>
      <c r="I47" s="274">
        <v>280</v>
      </c>
      <c r="J47" s="36">
        <f t="shared" si="0"/>
        <v>0</v>
      </c>
      <c r="K47" s="225">
        <f>S47*0.8</f>
        <v>0.14000000000000001</v>
      </c>
      <c r="L47" s="316">
        <f>K47*J345</f>
        <v>0</v>
      </c>
      <c r="M47" s="147" t="s">
        <v>729</v>
      </c>
      <c r="N47" s="200"/>
      <c r="O47" s="36">
        <v>2000</v>
      </c>
      <c r="P47" s="225">
        <f t="shared" si="8"/>
        <v>280</v>
      </c>
      <c r="Q47" s="159" t="str">
        <f t="shared" si="2"/>
        <v>Д18х3</v>
      </c>
      <c r="R47" s="288">
        <f t="shared" si="14"/>
        <v>0.22</v>
      </c>
      <c r="S47" s="239">
        <v>0.18</v>
      </c>
      <c r="T47" s="268">
        <f t="shared" si="12"/>
        <v>0</v>
      </c>
      <c r="U47" s="116">
        <f>6500*9</f>
        <v>58500</v>
      </c>
      <c r="V47" s="18">
        <f t="shared" si="13"/>
        <v>0</v>
      </c>
      <c r="W47" s="49">
        <f t="shared" ref="W47:W55" si="15">X47-U47+V47</f>
        <v>0</v>
      </c>
      <c r="X47" s="18">
        <f>6500*9</f>
        <v>58500</v>
      </c>
    </row>
    <row r="48" spans="1:208" s="5" customFormat="1" ht="32.25" hidden="1" customHeight="1" x14ac:dyDescent="0.25">
      <c r="B48" s="11"/>
      <c r="C48" s="6" t="s">
        <v>18</v>
      </c>
      <c r="D48" s="21" t="s">
        <v>9</v>
      </c>
      <c r="E48" s="360" t="s">
        <v>709</v>
      </c>
      <c r="F48" s="135">
        <v>1285</v>
      </c>
      <c r="G48" s="12" t="s">
        <v>0</v>
      </c>
      <c r="H48" s="36"/>
      <c r="I48" s="225">
        <v>0</v>
      </c>
      <c r="J48" s="36">
        <f t="shared" si="0"/>
        <v>0</v>
      </c>
      <c r="K48" s="225">
        <f>R48*0.8</f>
        <v>7.68</v>
      </c>
      <c r="L48" s="154"/>
      <c r="M48" s="147" t="s">
        <v>717</v>
      </c>
      <c r="N48" s="200"/>
      <c r="O48" s="353"/>
      <c r="P48" s="225">
        <f t="shared" si="8"/>
        <v>0</v>
      </c>
      <c r="Q48" s="159" t="str">
        <f t="shared" si="2"/>
        <v xml:space="preserve">Д12х18 </v>
      </c>
      <c r="R48" s="348">
        <f t="shared" si="14"/>
        <v>9.6</v>
      </c>
      <c r="S48" s="239">
        <v>8</v>
      </c>
      <c r="T48" s="268">
        <f t="shared" si="12"/>
        <v>0</v>
      </c>
      <c r="U48" s="16"/>
      <c r="V48" s="18">
        <f t="shared" si="13"/>
        <v>0</v>
      </c>
      <c r="W48" s="16">
        <f t="shared" si="15"/>
        <v>0</v>
      </c>
      <c r="X48" s="16"/>
    </row>
    <row r="49" spans="1:24" s="5" customFormat="1" ht="26.25" hidden="1" customHeight="1" x14ac:dyDescent="0.25">
      <c r="B49" s="338"/>
      <c r="C49" s="339" t="s">
        <v>18</v>
      </c>
      <c r="D49" s="340" t="s">
        <v>9</v>
      </c>
      <c r="E49" s="341" t="s">
        <v>711</v>
      </c>
      <c r="F49" s="342" t="s">
        <v>607</v>
      </c>
      <c r="G49" s="12" t="s">
        <v>0</v>
      </c>
      <c r="H49" s="343"/>
      <c r="I49" s="334">
        <v>0</v>
      </c>
      <c r="J49" s="36">
        <f t="shared" si="0"/>
        <v>0</v>
      </c>
      <c r="K49" s="344">
        <f>R49*0.8</f>
        <v>0.48</v>
      </c>
      <c r="L49" s="345"/>
      <c r="M49" s="147" t="s">
        <v>718</v>
      </c>
      <c r="N49" s="346"/>
      <c r="O49" s="343"/>
      <c r="P49" s="334">
        <f t="shared" si="8"/>
        <v>0</v>
      </c>
      <c r="Q49" s="185" t="str">
        <f t="shared" si="2"/>
        <v>Д16х3</v>
      </c>
      <c r="R49" s="347">
        <f t="shared" si="14"/>
        <v>0.6</v>
      </c>
      <c r="S49" s="240">
        <v>0.5</v>
      </c>
      <c r="T49" s="268">
        <f t="shared" si="12"/>
        <v>0</v>
      </c>
      <c r="U49" s="18"/>
      <c r="V49" s="18">
        <f t="shared" si="13"/>
        <v>0</v>
      </c>
      <c r="W49" s="49">
        <f t="shared" si="15"/>
        <v>0</v>
      </c>
      <c r="X49" s="18"/>
    </row>
    <row r="50" spans="1:24" s="5" customFormat="1" ht="26.25" customHeight="1" x14ac:dyDescent="0.25">
      <c r="B50" s="11">
        <v>14</v>
      </c>
      <c r="C50" s="6" t="s">
        <v>18</v>
      </c>
      <c r="D50" s="21" t="s">
        <v>9</v>
      </c>
      <c r="E50" s="163" t="s">
        <v>306</v>
      </c>
      <c r="F50" s="135">
        <v>1094</v>
      </c>
      <c r="G50" s="12" t="s">
        <v>0</v>
      </c>
      <c r="H50" s="36">
        <v>1760</v>
      </c>
      <c r="I50" s="274">
        <v>338.32</v>
      </c>
      <c r="J50" s="36">
        <f t="shared" si="0"/>
        <v>0</v>
      </c>
      <c r="K50" s="225">
        <v>0.19</v>
      </c>
      <c r="L50" s="154"/>
      <c r="M50" s="85"/>
      <c r="N50" s="200"/>
      <c r="O50" s="36">
        <v>1760</v>
      </c>
      <c r="P50" s="333">
        <f>I50</f>
        <v>338.32</v>
      </c>
      <c r="Q50" s="159" t="str">
        <f t="shared" si="2"/>
        <v>Д20х3</v>
      </c>
      <c r="R50" s="288">
        <f t="shared" si="14"/>
        <v>0.24</v>
      </c>
      <c r="S50" s="239">
        <f>2000*0.0001</f>
        <v>0.2</v>
      </c>
      <c r="T50" s="268">
        <f t="shared" si="12"/>
        <v>0</v>
      </c>
      <c r="U50" s="18"/>
      <c r="V50" s="18">
        <f t="shared" si="13"/>
        <v>0</v>
      </c>
      <c r="W50" s="49">
        <f t="shared" si="15"/>
        <v>0</v>
      </c>
      <c r="X50" s="18"/>
    </row>
    <row r="51" spans="1:24" s="5" customFormat="1" ht="26.25" hidden="1" customHeight="1" x14ac:dyDescent="0.25">
      <c r="B51" s="11"/>
      <c r="C51" s="6" t="s">
        <v>18</v>
      </c>
      <c r="D51" s="21" t="s">
        <v>9</v>
      </c>
      <c r="E51" s="139" t="s">
        <v>426</v>
      </c>
      <c r="F51" s="296" t="s">
        <v>264</v>
      </c>
      <c r="G51" s="12" t="s">
        <v>0</v>
      </c>
      <c r="H51" s="36"/>
      <c r="I51" s="225">
        <v>0</v>
      </c>
      <c r="J51" s="36">
        <f t="shared" si="0"/>
        <v>0</v>
      </c>
      <c r="K51" s="225">
        <f>R51*0.8</f>
        <v>4.99</v>
      </c>
      <c r="L51" s="154"/>
      <c r="M51" s="85"/>
      <c r="N51" s="200"/>
      <c r="O51" s="36"/>
      <c r="P51" s="344">
        <f>K51*O51</f>
        <v>0</v>
      </c>
      <c r="Q51" s="185" t="str">
        <f t="shared" si="2"/>
        <v>Д40х9</v>
      </c>
      <c r="R51" s="288">
        <f t="shared" si="14"/>
        <v>6.24</v>
      </c>
      <c r="S51" s="239">
        <f>52000*0.0001</f>
        <v>5.2</v>
      </c>
      <c r="T51" s="268">
        <f t="shared" si="12"/>
        <v>0</v>
      </c>
      <c r="U51" s="18">
        <v>210</v>
      </c>
      <c r="V51" s="18">
        <f t="shared" si="13"/>
        <v>0</v>
      </c>
      <c r="W51" s="49">
        <f t="shared" si="15"/>
        <v>0</v>
      </c>
      <c r="X51" s="18">
        <v>210</v>
      </c>
    </row>
    <row r="52" spans="1:24" s="5" customFormat="1" ht="26.25" customHeight="1" x14ac:dyDescent="0.25">
      <c r="B52" s="11">
        <v>15</v>
      </c>
      <c r="C52" s="6" t="s">
        <v>18</v>
      </c>
      <c r="D52" s="21" t="s">
        <v>9</v>
      </c>
      <c r="E52" s="139" t="s">
        <v>392</v>
      </c>
      <c r="F52" s="294" t="s">
        <v>393</v>
      </c>
      <c r="G52" s="12" t="s">
        <v>0</v>
      </c>
      <c r="H52" s="36">
        <v>400</v>
      </c>
      <c r="I52" s="274">
        <v>691.2</v>
      </c>
      <c r="J52" s="36">
        <f t="shared" si="0"/>
        <v>0</v>
      </c>
      <c r="K52" s="225">
        <v>1.73</v>
      </c>
      <c r="L52" s="154"/>
      <c r="M52" s="85"/>
      <c r="N52" s="200"/>
      <c r="O52" s="36">
        <v>400</v>
      </c>
      <c r="P52" s="333">
        <f>I52</f>
        <v>691.2</v>
      </c>
      <c r="Q52" s="159" t="str">
        <f t="shared" si="2"/>
        <v>Д30х10</v>
      </c>
      <c r="R52" s="288">
        <f t="shared" si="14"/>
        <v>2.16</v>
      </c>
      <c r="S52" s="241">
        <f>18000*0.0001</f>
        <v>1.8</v>
      </c>
      <c r="T52" s="268">
        <f t="shared" si="12"/>
        <v>0</v>
      </c>
      <c r="U52" s="18"/>
      <c r="V52" s="18">
        <f t="shared" si="13"/>
        <v>0</v>
      </c>
      <c r="W52" s="49">
        <f t="shared" si="15"/>
        <v>0</v>
      </c>
      <c r="X52" s="18"/>
    </row>
    <row r="53" spans="1:24" s="4" customFormat="1" ht="26.25" hidden="1" customHeight="1" x14ac:dyDescent="0.25">
      <c r="A53" s="10"/>
      <c r="B53" s="11"/>
      <c r="C53" s="6" t="s">
        <v>18</v>
      </c>
      <c r="D53" s="21" t="s">
        <v>9</v>
      </c>
      <c r="E53" s="163" t="s">
        <v>574</v>
      </c>
      <c r="F53" s="191">
        <v>1131</v>
      </c>
      <c r="G53" s="12" t="s">
        <v>0</v>
      </c>
      <c r="H53" s="36"/>
      <c r="I53" s="225">
        <v>0</v>
      </c>
      <c r="J53" s="36">
        <f t="shared" si="0"/>
        <v>0</v>
      </c>
      <c r="K53" s="225">
        <f>R53*0.8</f>
        <v>19.2</v>
      </c>
      <c r="L53" s="154"/>
      <c r="M53" s="60"/>
      <c r="N53" s="200"/>
      <c r="O53" s="36"/>
      <c r="P53" s="344">
        <f t="shared" ref="P53:P63" si="16">K53*O53</f>
        <v>0</v>
      </c>
      <c r="Q53" s="183"/>
      <c r="R53" s="288">
        <f t="shared" si="14"/>
        <v>24</v>
      </c>
      <c r="S53" s="236">
        <f>200000*0.0001</f>
        <v>20</v>
      </c>
      <c r="T53" s="268">
        <f t="shared" si="12"/>
        <v>0</v>
      </c>
      <c r="U53" s="116">
        <v>1250</v>
      </c>
      <c r="V53" s="18">
        <f t="shared" si="13"/>
        <v>0</v>
      </c>
      <c r="W53" s="49">
        <f t="shared" si="15"/>
        <v>0</v>
      </c>
      <c r="X53" s="18">
        <v>1250</v>
      </c>
    </row>
    <row r="54" spans="1:24" s="4" customFormat="1" ht="26.25" hidden="1" customHeight="1" x14ac:dyDescent="0.25">
      <c r="A54" s="10"/>
      <c r="B54" s="14"/>
      <c r="C54" s="6" t="s">
        <v>18</v>
      </c>
      <c r="D54" s="21" t="s">
        <v>9</v>
      </c>
      <c r="E54" s="139" t="s">
        <v>574</v>
      </c>
      <c r="F54" s="296"/>
      <c r="G54" s="12" t="s">
        <v>0</v>
      </c>
      <c r="H54" s="36"/>
      <c r="I54" s="225">
        <v>0</v>
      </c>
      <c r="J54" s="36">
        <f t="shared" si="0"/>
        <v>0</v>
      </c>
      <c r="K54" s="225">
        <f>R54*0.8</f>
        <v>0.48</v>
      </c>
      <c r="L54" s="154">
        <f>K54*J352</f>
        <v>0</v>
      </c>
      <c r="M54" s="39"/>
      <c r="N54" s="200"/>
      <c r="O54" s="36"/>
      <c r="P54" s="225">
        <f t="shared" si="16"/>
        <v>0</v>
      </c>
      <c r="Q54" s="184" t="str">
        <f t="shared" ref="Q54:Q117" si="17">E54</f>
        <v>Д20х4</v>
      </c>
      <c r="R54" s="288">
        <f t="shared" si="14"/>
        <v>0.6</v>
      </c>
      <c r="S54" s="238">
        <f>0.0001*5000</f>
        <v>0.5</v>
      </c>
      <c r="T54" s="268">
        <f t="shared" si="12"/>
        <v>0</v>
      </c>
      <c r="U54" s="115">
        <v>1250</v>
      </c>
      <c r="V54" s="18">
        <f t="shared" si="13"/>
        <v>0</v>
      </c>
      <c r="W54" s="49">
        <f t="shared" si="15"/>
        <v>0</v>
      </c>
      <c r="X54" s="16">
        <v>1250</v>
      </c>
    </row>
    <row r="55" spans="1:24" ht="26.25" hidden="1" customHeight="1" x14ac:dyDescent="0.25">
      <c r="B55" s="15"/>
      <c r="C55" s="6" t="s">
        <v>18</v>
      </c>
      <c r="D55" s="21" t="s">
        <v>9</v>
      </c>
      <c r="E55" s="83" t="s">
        <v>442</v>
      </c>
      <c r="F55" s="135" t="s">
        <v>183</v>
      </c>
      <c r="G55" s="45" t="s">
        <v>0</v>
      </c>
      <c r="H55" s="36"/>
      <c r="I55" s="274">
        <v>0</v>
      </c>
      <c r="J55" s="36">
        <f t="shared" si="0"/>
        <v>0</v>
      </c>
      <c r="K55" s="225">
        <v>0.39</v>
      </c>
      <c r="L55" s="154">
        <f>K55*J353</f>
        <v>0</v>
      </c>
      <c r="M55" s="121" t="s">
        <v>670</v>
      </c>
      <c r="N55" s="200"/>
      <c r="O55" s="353"/>
      <c r="P55" s="225">
        <f t="shared" si="16"/>
        <v>0</v>
      </c>
      <c r="Q55" s="159" t="str">
        <f t="shared" si="17"/>
        <v>П2х3.5х3.8 DFM</v>
      </c>
      <c r="R55" s="223">
        <f t="shared" si="14"/>
        <v>0.49</v>
      </c>
      <c r="S55" s="235">
        <f>4060*0.0001</f>
        <v>0.41</v>
      </c>
      <c r="T55" s="268">
        <f t="shared" si="12"/>
        <v>0</v>
      </c>
      <c r="U55" s="18">
        <v>31000</v>
      </c>
      <c r="V55" s="18">
        <f t="shared" si="13"/>
        <v>0</v>
      </c>
      <c r="W55" s="49">
        <f t="shared" si="15"/>
        <v>0</v>
      </c>
      <c r="X55" s="18">
        <v>31000</v>
      </c>
    </row>
    <row r="56" spans="1:24" ht="26.25" hidden="1" customHeight="1" x14ac:dyDescent="0.25">
      <c r="B56" s="15"/>
      <c r="C56" s="6" t="s">
        <v>18</v>
      </c>
      <c r="D56" s="21" t="s">
        <v>9</v>
      </c>
      <c r="E56" s="83" t="s">
        <v>358</v>
      </c>
      <c r="F56" s="135">
        <v>1464</v>
      </c>
      <c r="G56" s="45" t="s">
        <v>0</v>
      </c>
      <c r="H56" s="36"/>
      <c r="I56" s="274">
        <v>0</v>
      </c>
      <c r="J56" s="36">
        <f t="shared" si="0"/>
        <v>0</v>
      </c>
      <c r="K56" s="225">
        <f t="shared" ref="K56:K63" si="18">R56*0.8</f>
        <v>1.06</v>
      </c>
      <c r="L56" s="154"/>
      <c r="M56" s="326" t="s">
        <v>643</v>
      </c>
      <c r="N56" s="200"/>
      <c r="O56" s="353"/>
      <c r="P56" s="225">
        <f t="shared" si="16"/>
        <v>0</v>
      </c>
      <c r="Q56" s="159" t="str">
        <f t="shared" si="17"/>
        <v xml:space="preserve">П3,5х2х4 </v>
      </c>
      <c r="R56" s="223">
        <f t="shared" si="14"/>
        <v>1.32</v>
      </c>
      <c r="S56" s="235">
        <v>1.1000000000000001</v>
      </c>
      <c r="T56" s="268">
        <f t="shared" si="12"/>
        <v>0</v>
      </c>
      <c r="U56" s="18"/>
      <c r="V56" s="18">
        <f t="shared" si="13"/>
        <v>0</v>
      </c>
      <c r="W56" s="49"/>
      <c r="X56" s="18"/>
    </row>
    <row r="57" spans="1:24" ht="26.25" customHeight="1" x14ac:dyDescent="0.25">
      <c r="B57" s="11">
        <v>16</v>
      </c>
      <c r="C57" s="6" t="s">
        <v>18</v>
      </c>
      <c r="D57" s="21" t="s">
        <v>9</v>
      </c>
      <c r="E57" s="161" t="s">
        <v>89</v>
      </c>
      <c r="F57" s="135">
        <v>403</v>
      </c>
      <c r="G57" s="45" t="s">
        <v>0</v>
      </c>
      <c r="H57" s="36"/>
      <c r="I57" s="274">
        <v>0</v>
      </c>
      <c r="J57" s="36">
        <f t="shared" si="0"/>
        <v>900</v>
      </c>
      <c r="K57" s="225">
        <f t="shared" si="18"/>
        <v>0.68</v>
      </c>
      <c r="L57" s="154">
        <f>K57*J354</f>
        <v>0</v>
      </c>
      <c r="M57" s="209"/>
      <c r="N57" s="200">
        <v>900</v>
      </c>
      <c r="O57" s="353"/>
      <c r="P57" s="225">
        <f t="shared" si="16"/>
        <v>0</v>
      </c>
      <c r="Q57" s="159" t="str">
        <f t="shared" si="17"/>
        <v>П4,8х4х3,8 ЭПГ110.150</v>
      </c>
      <c r="R57" s="223">
        <f t="shared" si="14"/>
        <v>0.85</v>
      </c>
      <c r="S57" s="236">
        <v>0.71</v>
      </c>
      <c r="T57" s="268">
        <f t="shared" si="12"/>
        <v>639</v>
      </c>
      <c r="U57" s="18">
        <f>7680-118</f>
        <v>7562</v>
      </c>
      <c r="V57" s="18">
        <f t="shared" si="13"/>
        <v>900</v>
      </c>
      <c r="W57" s="49">
        <f t="shared" ref="W57:W65" si="19">X57-U57+V57</f>
        <v>900</v>
      </c>
      <c r="X57" s="18">
        <f>7680-118</f>
        <v>7562</v>
      </c>
    </row>
    <row r="58" spans="1:24" ht="26.25" hidden="1" customHeight="1" x14ac:dyDescent="0.25">
      <c r="B58" s="11"/>
      <c r="C58" s="6" t="s">
        <v>18</v>
      </c>
      <c r="D58" s="21" t="s">
        <v>9</v>
      </c>
      <c r="E58" s="83" t="s">
        <v>485</v>
      </c>
      <c r="F58" s="135">
        <v>1353</v>
      </c>
      <c r="G58" s="45"/>
      <c r="H58" s="36"/>
      <c r="I58" s="274">
        <v>0</v>
      </c>
      <c r="J58" s="36">
        <f t="shared" si="0"/>
        <v>0</v>
      </c>
      <c r="K58" s="225">
        <f t="shared" si="18"/>
        <v>15.36</v>
      </c>
      <c r="L58" s="154"/>
      <c r="M58" s="140"/>
      <c r="N58" s="200"/>
      <c r="O58" s="36"/>
      <c r="P58" s="334">
        <f t="shared" si="16"/>
        <v>0</v>
      </c>
      <c r="Q58" s="322" t="str">
        <f t="shared" si="17"/>
        <v>П5,5х1,5х5,5</v>
      </c>
      <c r="R58" s="223">
        <f t="shared" si="14"/>
        <v>19.2</v>
      </c>
      <c r="S58" s="236">
        <v>16</v>
      </c>
      <c r="T58" s="268">
        <f t="shared" si="12"/>
        <v>0</v>
      </c>
      <c r="U58" s="18"/>
      <c r="V58" s="18">
        <f t="shared" si="13"/>
        <v>0</v>
      </c>
      <c r="W58" s="49">
        <f t="shared" si="19"/>
        <v>0</v>
      </c>
      <c r="X58" s="18"/>
    </row>
    <row r="59" spans="1:24" ht="26.25" hidden="1" customHeight="1" x14ac:dyDescent="0.25">
      <c r="B59" s="11"/>
      <c r="C59" s="6" t="s">
        <v>18</v>
      </c>
      <c r="D59" s="21" t="s">
        <v>9</v>
      </c>
      <c r="E59" s="83" t="s">
        <v>486</v>
      </c>
      <c r="F59" s="135">
        <v>1353</v>
      </c>
      <c r="G59" s="45"/>
      <c r="H59" s="36"/>
      <c r="I59" s="274">
        <v>0</v>
      </c>
      <c r="J59" s="36">
        <f t="shared" si="0"/>
        <v>0</v>
      </c>
      <c r="K59" s="225">
        <f t="shared" si="18"/>
        <v>15.36</v>
      </c>
      <c r="L59" s="154"/>
      <c r="M59" s="140"/>
      <c r="N59" s="200"/>
      <c r="O59" s="36"/>
      <c r="P59" s="274">
        <f t="shared" si="16"/>
        <v>0</v>
      </c>
      <c r="Q59" s="48" t="str">
        <f t="shared" si="17"/>
        <v>П5,5х2х5,5</v>
      </c>
      <c r="R59" s="223">
        <f t="shared" si="14"/>
        <v>19.2</v>
      </c>
      <c r="S59" s="236">
        <v>16</v>
      </c>
      <c r="T59" s="268">
        <f t="shared" si="12"/>
        <v>0</v>
      </c>
      <c r="U59" s="18"/>
      <c r="V59" s="18">
        <f t="shared" si="13"/>
        <v>0</v>
      </c>
      <c r="W59" s="49">
        <f t="shared" si="19"/>
        <v>0</v>
      </c>
      <c r="X59" s="18"/>
    </row>
    <row r="60" spans="1:24" ht="26.25" hidden="1" customHeight="1" x14ac:dyDescent="0.25">
      <c r="B60" s="11"/>
      <c r="C60" s="6" t="s">
        <v>18</v>
      </c>
      <c r="D60" s="21" t="s">
        <v>9</v>
      </c>
      <c r="E60" s="83" t="s">
        <v>487</v>
      </c>
      <c r="F60" s="135">
        <v>1353</v>
      </c>
      <c r="G60" s="45"/>
      <c r="H60" s="36"/>
      <c r="I60" s="274">
        <v>0</v>
      </c>
      <c r="J60" s="36">
        <f t="shared" si="0"/>
        <v>0</v>
      </c>
      <c r="K60" s="225">
        <f t="shared" si="18"/>
        <v>15.36</v>
      </c>
      <c r="L60" s="154"/>
      <c r="M60" s="140"/>
      <c r="N60" s="200"/>
      <c r="O60" s="36"/>
      <c r="P60" s="274">
        <f t="shared" si="16"/>
        <v>0</v>
      </c>
      <c r="Q60" s="323" t="str">
        <f t="shared" si="17"/>
        <v>П5,5х2,5х5,5</v>
      </c>
      <c r="R60" s="223">
        <f t="shared" si="14"/>
        <v>19.2</v>
      </c>
      <c r="S60" s="236">
        <v>16</v>
      </c>
      <c r="T60" s="268">
        <f t="shared" si="12"/>
        <v>0</v>
      </c>
      <c r="U60" s="18"/>
      <c r="V60" s="18">
        <f t="shared" si="13"/>
        <v>0</v>
      </c>
      <c r="W60" s="49">
        <f t="shared" si="19"/>
        <v>0</v>
      </c>
      <c r="X60" s="18"/>
    </row>
    <row r="61" spans="1:24" ht="26.25" hidden="1" customHeight="1" x14ac:dyDescent="0.25">
      <c r="B61" s="11"/>
      <c r="C61" s="6" t="s">
        <v>18</v>
      </c>
      <c r="D61" s="21" t="s">
        <v>9</v>
      </c>
      <c r="E61" s="161" t="s">
        <v>314</v>
      </c>
      <c r="F61" s="135">
        <v>997</v>
      </c>
      <c r="G61" s="45"/>
      <c r="H61" s="36"/>
      <c r="I61" s="274">
        <v>0</v>
      </c>
      <c r="J61" s="36">
        <f t="shared" si="0"/>
        <v>0</v>
      </c>
      <c r="K61" s="225">
        <f t="shared" si="18"/>
        <v>0.9</v>
      </c>
      <c r="L61" s="154">
        <f>K61*J358</f>
        <v>0</v>
      </c>
      <c r="M61" s="147"/>
      <c r="N61" s="200"/>
      <c r="O61" s="353"/>
      <c r="P61" s="225">
        <f t="shared" si="16"/>
        <v>0</v>
      </c>
      <c r="Q61" s="159" t="str">
        <f t="shared" si="17"/>
        <v>П5х5х4</v>
      </c>
      <c r="R61" s="223">
        <f t="shared" si="14"/>
        <v>1.1200000000000001</v>
      </c>
      <c r="S61" s="236">
        <v>0.93</v>
      </c>
      <c r="T61" s="268">
        <f t="shared" si="12"/>
        <v>0</v>
      </c>
      <c r="U61" s="18">
        <v>3157</v>
      </c>
      <c r="V61" s="18">
        <f t="shared" si="13"/>
        <v>0</v>
      </c>
      <c r="W61" s="49">
        <f t="shared" si="19"/>
        <v>0</v>
      </c>
      <c r="X61" s="18">
        <v>3157</v>
      </c>
    </row>
    <row r="62" spans="1:24" ht="26.25" hidden="1" customHeight="1" x14ac:dyDescent="0.25">
      <c r="B62" s="11"/>
      <c r="C62" s="6" t="s">
        <v>18</v>
      </c>
      <c r="D62" s="21" t="s">
        <v>9</v>
      </c>
      <c r="E62" s="161" t="s">
        <v>315</v>
      </c>
      <c r="F62" s="295">
        <v>996</v>
      </c>
      <c r="G62" s="45"/>
      <c r="H62" s="36"/>
      <c r="I62" s="274">
        <v>0</v>
      </c>
      <c r="J62" s="36">
        <f t="shared" si="0"/>
        <v>0</v>
      </c>
      <c r="K62" s="225">
        <f t="shared" si="18"/>
        <v>0.86</v>
      </c>
      <c r="L62" s="154"/>
      <c r="M62" s="209"/>
      <c r="N62" s="200"/>
      <c r="O62" s="36"/>
      <c r="P62" s="336">
        <f t="shared" si="16"/>
        <v>0</v>
      </c>
      <c r="Q62" s="185" t="str">
        <f t="shared" si="17"/>
        <v>П5х5х5</v>
      </c>
      <c r="R62" s="223">
        <f t="shared" si="14"/>
        <v>1.08</v>
      </c>
      <c r="S62" s="236">
        <v>0.9</v>
      </c>
      <c r="T62" s="268">
        <f t="shared" si="12"/>
        <v>0</v>
      </c>
      <c r="U62" s="18">
        <v>76</v>
      </c>
      <c r="V62" s="18">
        <f t="shared" si="13"/>
        <v>0</v>
      </c>
      <c r="W62" s="49">
        <f t="shared" si="19"/>
        <v>0</v>
      </c>
      <c r="X62" s="18">
        <v>76</v>
      </c>
    </row>
    <row r="63" spans="1:24" ht="26.25" hidden="1" customHeight="1" x14ac:dyDescent="0.25">
      <c r="B63" s="11"/>
      <c r="C63" s="6" t="s">
        <v>18</v>
      </c>
      <c r="D63" s="21" t="s">
        <v>9</v>
      </c>
      <c r="E63" s="161" t="s">
        <v>425</v>
      </c>
      <c r="F63" s="135">
        <v>505</v>
      </c>
      <c r="G63" s="12" t="s">
        <v>0</v>
      </c>
      <c r="H63" s="36"/>
      <c r="I63" s="274">
        <v>0</v>
      </c>
      <c r="J63" s="36">
        <f t="shared" si="0"/>
        <v>0</v>
      </c>
      <c r="K63" s="225">
        <f t="shared" si="18"/>
        <v>0.28000000000000003</v>
      </c>
      <c r="L63" s="154">
        <f>K63*J360</f>
        <v>0</v>
      </c>
      <c r="M63" s="147" t="s">
        <v>719</v>
      </c>
      <c r="N63" s="200"/>
      <c r="O63" s="353"/>
      <c r="P63" s="225">
        <f t="shared" si="16"/>
        <v>0</v>
      </c>
      <c r="Q63" s="159" t="str">
        <f t="shared" si="17"/>
        <v>П 5х5х20 (ЭПГ110.156)</v>
      </c>
      <c r="R63" s="223">
        <f t="shared" si="14"/>
        <v>0.35</v>
      </c>
      <c r="S63" s="236">
        <v>0.28999999999999998</v>
      </c>
      <c r="T63" s="268">
        <f t="shared" si="12"/>
        <v>0</v>
      </c>
      <c r="U63" s="66"/>
      <c r="V63" s="18">
        <f t="shared" si="13"/>
        <v>0</v>
      </c>
      <c r="W63" s="49">
        <f t="shared" si="19"/>
        <v>0</v>
      </c>
      <c r="X63" s="18"/>
    </row>
    <row r="64" spans="1:24" ht="26.25" hidden="1" customHeight="1" x14ac:dyDescent="0.25">
      <c r="B64" s="11"/>
      <c r="C64" s="6" t="s">
        <v>18</v>
      </c>
      <c r="D64" s="21" t="s">
        <v>9</v>
      </c>
      <c r="E64" s="161" t="s">
        <v>562</v>
      </c>
      <c r="F64" s="301">
        <v>922</v>
      </c>
      <c r="G64" s="45"/>
      <c r="H64" s="36"/>
      <c r="I64" s="274"/>
      <c r="J64" s="36">
        <f t="shared" si="0"/>
        <v>0</v>
      </c>
      <c r="K64" s="225">
        <f>S64*0.8</f>
        <v>0.76</v>
      </c>
      <c r="L64" s="154"/>
      <c r="M64" s="157"/>
      <c r="N64" s="200"/>
      <c r="O64" s="36"/>
      <c r="P64" s="334"/>
      <c r="Q64" s="48" t="str">
        <f t="shared" si="17"/>
        <v>П17х8х7</v>
      </c>
      <c r="R64" s="223">
        <f t="shared" si="14"/>
        <v>1.1399999999999999</v>
      </c>
      <c r="S64" s="236">
        <v>0.95</v>
      </c>
      <c r="T64" s="268">
        <f t="shared" si="12"/>
        <v>0</v>
      </c>
      <c r="U64" s="116">
        <v>20000</v>
      </c>
      <c r="V64" s="18">
        <f t="shared" si="13"/>
        <v>0</v>
      </c>
      <c r="W64" s="49">
        <f t="shared" si="19"/>
        <v>0</v>
      </c>
      <c r="X64" s="325">
        <v>20000</v>
      </c>
    </row>
    <row r="65" spans="1:41" ht="26.25" customHeight="1" x14ac:dyDescent="0.25">
      <c r="B65" s="14">
        <v>17</v>
      </c>
      <c r="C65" s="6" t="s">
        <v>18</v>
      </c>
      <c r="D65" s="21" t="s">
        <v>9</v>
      </c>
      <c r="E65" s="161" t="s">
        <v>443</v>
      </c>
      <c r="F65" s="135">
        <v>1239</v>
      </c>
      <c r="G65" s="12" t="s">
        <v>0</v>
      </c>
      <c r="H65" s="36">
        <v>1000</v>
      </c>
      <c r="I65" s="274">
        <v>200</v>
      </c>
      <c r="J65" s="36">
        <f t="shared" si="0"/>
        <v>0</v>
      </c>
      <c r="K65" s="225">
        <f t="shared" ref="K65:K71" si="20">R65*0.8</f>
        <v>0.2</v>
      </c>
      <c r="L65" s="154">
        <f>K65*J362</f>
        <v>0</v>
      </c>
      <c r="M65" s="133" t="s">
        <v>589</v>
      </c>
      <c r="N65" s="200"/>
      <c r="O65" s="36">
        <v>1000</v>
      </c>
      <c r="P65" s="225">
        <f t="shared" ref="P65:P71" si="21">K65*O65</f>
        <v>200</v>
      </c>
      <c r="Q65" s="159" t="str">
        <f t="shared" si="17"/>
        <v>П7х8х17</v>
      </c>
      <c r="R65" s="223">
        <f t="shared" si="14"/>
        <v>0.25</v>
      </c>
      <c r="S65" s="236">
        <v>0.21</v>
      </c>
      <c r="T65" s="268">
        <f t="shared" si="12"/>
        <v>0</v>
      </c>
      <c r="U65" s="116">
        <v>316</v>
      </c>
      <c r="V65" s="18">
        <f t="shared" si="13"/>
        <v>0</v>
      </c>
      <c r="W65" s="49">
        <f t="shared" si="19"/>
        <v>0</v>
      </c>
      <c r="X65" s="18">
        <v>316</v>
      </c>
    </row>
    <row r="66" spans="1:41" ht="26.25" hidden="1" customHeight="1" x14ac:dyDescent="0.25">
      <c r="B66" s="14"/>
      <c r="C66" s="6" t="s">
        <v>18</v>
      </c>
      <c r="D66" s="21" t="s">
        <v>9</v>
      </c>
      <c r="E66" s="161" t="s">
        <v>526</v>
      </c>
      <c r="F66" s="293">
        <v>922</v>
      </c>
      <c r="G66" s="45"/>
      <c r="H66" s="36"/>
      <c r="I66" s="274">
        <v>0</v>
      </c>
      <c r="J66" s="36">
        <f t="shared" si="0"/>
        <v>0</v>
      </c>
      <c r="K66" s="225">
        <f t="shared" si="20"/>
        <v>0.91</v>
      </c>
      <c r="L66" s="154"/>
      <c r="M66" s="126"/>
      <c r="N66" s="200"/>
      <c r="O66" s="353"/>
      <c r="P66" s="225">
        <f t="shared" si="21"/>
        <v>0</v>
      </c>
      <c r="Q66" s="159" t="str">
        <f t="shared" si="17"/>
        <v>П7х7х17</v>
      </c>
      <c r="R66" s="223">
        <f t="shared" si="14"/>
        <v>1.1399999999999999</v>
      </c>
      <c r="S66" s="236">
        <v>0.95</v>
      </c>
      <c r="T66" s="268">
        <f t="shared" si="12"/>
        <v>0</v>
      </c>
      <c r="U66" s="116">
        <f>145+200</f>
        <v>345</v>
      </c>
      <c r="V66" s="18">
        <f t="shared" si="13"/>
        <v>0</v>
      </c>
      <c r="W66" s="49"/>
      <c r="X66" s="18">
        <f>145+200</f>
        <v>345</v>
      </c>
    </row>
    <row r="67" spans="1:41" ht="26.25" customHeight="1" x14ac:dyDescent="0.25">
      <c r="B67" s="11">
        <v>18</v>
      </c>
      <c r="C67" s="6" t="s">
        <v>18</v>
      </c>
      <c r="D67" s="21" t="s">
        <v>9</v>
      </c>
      <c r="E67" s="161" t="s">
        <v>99</v>
      </c>
      <c r="F67" s="135">
        <v>579</v>
      </c>
      <c r="G67" s="12" t="s">
        <v>0</v>
      </c>
      <c r="H67" s="36"/>
      <c r="I67" s="274">
        <v>0</v>
      </c>
      <c r="J67" s="36">
        <f t="shared" si="0"/>
        <v>500</v>
      </c>
      <c r="K67" s="225">
        <f t="shared" si="20"/>
        <v>0.54</v>
      </c>
      <c r="L67" s="154">
        <f>K67*J364</f>
        <v>0</v>
      </c>
      <c r="M67" s="145"/>
      <c r="N67" s="200">
        <v>500</v>
      </c>
      <c r="O67" s="353"/>
      <c r="P67" s="225">
        <f t="shared" si="21"/>
        <v>0</v>
      </c>
      <c r="Q67" s="159" t="str">
        <f t="shared" si="17"/>
        <v>П10х10х7</v>
      </c>
      <c r="R67" s="223">
        <f t="shared" si="14"/>
        <v>0.68</v>
      </c>
      <c r="S67" s="235">
        <v>0.56999999999999995</v>
      </c>
      <c r="T67" s="268">
        <f t="shared" si="12"/>
        <v>285</v>
      </c>
      <c r="U67" s="116">
        <v>512</v>
      </c>
      <c r="V67" s="18">
        <f t="shared" si="13"/>
        <v>500</v>
      </c>
      <c r="W67" s="49">
        <f t="shared" ref="W67:W110" si="22">X67-U67+V67</f>
        <v>500</v>
      </c>
      <c r="X67" s="18">
        <v>512</v>
      </c>
    </row>
    <row r="68" spans="1:41" s="5" customFormat="1" ht="26.25" customHeight="1" x14ac:dyDescent="0.25">
      <c r="B68" s="11">
        <v>19</v>
      </c>
      <c r="C68" s="6" t="s">
        <v>18</v>
      </c>
      <c r="D68" s="21" t="s">
        <v>9</v>
      </c>
      <c r="E68" s="163" t="s">
        <v>317</v>
      </c>
      <c r="F68" s="367">
        <v>1323</v>
      </c>
      <c r="G68" s="12" t="s">
        <v>0</v>
      </c>
      <c r="H68" s="36">
        <v>180</v>
      </c>
      <c r="I68" s="274">
        <v>432</v>
      </c>
      <c r="J68" s="36">
        <f t="shared" si="0"/>
        <v>0</v>
      </c>
      <c r="K68" s="225">
        <f t="shared" si="20"/>
        <v>2.4</v>
      </c>
      <c r="L68" s="154"/>
      <c r="M68" s="133"/>
      <c r="N68" s="200"/>
      <c r="O68" s="36">
        <v>180</v>
      </c>
      <c r="P68" s="225">
        <f t="shared" si="21"/>
        <v>432</v>
      </c>
      <c r="Q68" s="159" t="str">
        <f t="shared" si="17"/>
        <v>П15х9х5</v>
      </c>
      <c r="R68" s="223">
        <f t="shared" si="14"/>
        <v>3</v>
      </c>
      <c r="S68" s="247">
        <v>2.5</v>
      </c>
      <c r="T68" s="268">
        <f t="shared" si="12"/>
        <v>0</v>
      </c>
      <c r="U68" s="116">
        <v>95</v>
      </c>
      <c r="V68" s="18">
        <f t="shared" si="13"/>
        <v>0</v>
      </c>
      <c r="W68" s="49">
        <f t="shared" si="22"/>
        <v>0</v>
      </c>
      <c r="X68" s="18">
        <v>95</v>
      </c>
    </row>
    <row r="69" spans="1:41" ht="26.25" hidden="1" customHeight="1" x14ac:dyDescent="0.25">
      <c r="B69" s="11"/>
      <c r="C69" s="6" t="s">
        <v>18</v>
      </c>
      <c r="D69" s="21" t="s">
        <v>9</v>
      </c>
      <c r="E69" s="163" t="s">
        <v>214</v>
      </c>
      <c r="F69" s="138" t="s">
        <v>125</v>
      </c>
      <c r="G69" s="12" t="s">
        <v>0</v>
      </c>
      <c r="H69" s="36"/>
      <c r="I69" s="274">
        <v>0</v>
      </c>
      <c r="J69" s="36">
        <f t="shared" si="0"/>
        <v>0</v>
      </c>
      <c r="K69" s="225">
        <f t="shared" si="20"/>
        <v>0.14000000000000001</v>
      </c>
      <c r="L69" s="154">
        <f>K69*J366</f>
        <v>0</v>
      </c>
      <c r="M69" s="372"/>
      <c r="N69" s="200"/>
      <c r="O69" s="36"/>
      <c r="P69" s="336">
        <f t="shared" si="21"/>
        <v>0</v>
      </c>
      <c r="Q69" s="324" t="str">
        <f t="shared" si="17"/>
        <v>П24х10х5 (Метиз)</v>
      </c>
      <c r="R69" s="288">
        <f t="shared" si="14"/>
        <v>0.17</v>
      </c>
      <c r="S69" s="236">
        <v>0.14000000000000001</v>
      </c>
      <c r="T69" s="268">
        <f t="shared" si="12"/>
        <v>0</v>
      </c>
      <c r="U69" s="18"/>
      <c r="V69" s="18">
        <f t="shared" si="13"/>
        <v>0</v>
      </c>
      <c r="W69" s="49">
        <f t="shared" si="22"/>
        <v>0</v>
      </c>
      <c r="X69" s="18"/>
    </row>
    <row r="70" spans="1:41" ht="26.25" customHeight="1" x14ac:dyDescent="0.25">
      <c r="B70" s="11">
        <v>20</v>
      </c>
      <c r="C70" s="6" t="s">
        <v>18</v>
      </c>
      <c r="D70" s="21" t="s">
        <v>9</v>
      </c>
      <c r="E70" s="161" t="s">
        <v>5</v>
      </c>
      <c r="F70" s="135" t="s">
        <v>43</v>
      </c>
      <c r="G70" s="12" t="s">
        <v>0</v>
      </c>
      <c r="H70" s="36">
        <v>9800</v>
      </c>
      <c r="I70" s="274">
        <v>1078</v>
      </c>
      <c r="J70" s="36">
        <f t="shared" ref="J70:J133" si="23">N70+O70-H70</f>
        <v>0</v>
      </c>
      <c r="K70" s="225">
        <f t="shared" si="20"/>
        <v>0.11</v>
      </c>
      <c r="L70" s="154">
        <f>K70*J367</f>
        <v>0</v>
      </c>
      <c r="M70" s="157" t="s">
        <v>671</v>
      </c>
      <c r="N70" s="201">
        <v>9800</v>
      </c>
      <c r="O70" s="353"/>
      <c r="P70" s="225">
        <f t="shared" si="21"/>
        <v>0</v>
      </c>
      <c r="Q70" s="159" t="str">
        <f t="shared" si="17"/>
        <v>МЛП 1б-04</v>
      </c>
      <c r="R70" s="223">
        <f t="shared" si="14"/>
        <v>0.14000000000000001</v>
      </c>
      <c r="S70" s="235">
        <f>1200*0.0001</f>
        <v>0.12</v>
      </c>
      <c r="T70" s="268">
        <f t="shared" si="12"/>
        <v>0</v>
      </c>
      <c r="U70" s="116">
        <f>5*1960+100000</f>
        <v>109800</v>
      </c>
      <c r="V70" s="18">
        <f t="shared" ref="V70:V101" si="24">N70</f>
        <v>9800</v>
      </c>
      <c r="W70" s="49">
        <f t="shared" si="22"/>
        <v>9800</v>
      </c>
      <c r="X70" s="325">
        <f>5*1960+100000</f>
        <v>109800</v>
      </c>
    </row>
    <row r="71" spans="1:41" ht="26.25" hidden="1" customHeight="1" x14ac:dyDescent="0.25">
      <c r="B71" s="14"/>
      <c r="C71" s="6" t="s">
        <v>18</v>
      </c>
      <c r="D71" s="21" t="s">
        <v>9</v>
      </c>
      <c r="E71" s="40" t="s">
        <v>166</v>
      </c>
      <c r="F71" s="135" t="s">
        <v>178</v>
      </c>
      <c r="G71" s="45" t="s">
        <v>0</v>
      </c>
      <c r="H71" s="36"/>
      <c r="I71" s="225">
        <v>0</v>
      </c>
      <c r="J71" s="36">
        <f t="shared" si="23"/>
        <v>0</v>
      </c>
      <c r="K71" s="225">
        <f t="shared" si="20"/>
        <v>0.11</v>
      </c>
      <c r="L71" s="154">
        <f>K71*J368</f>
        <v>0</v>
      </c>
      <c r="M71" s="85" t="s">
        <v>391</v>
      </c>
      <c r="N71" s="200"/>
      <c r="O71" s="36"/>
      <c r="P71" s="344">
        <f t="shared" si="21"/>
        <v>0</v>
      </c>
      <c r="Q71" s="185" t="str">
        <f t="shared" si="17"/>
        <v>ЭПГ110.166 (16х15х12)</v>
      </c>
      <c r="R71" s="288">
        <f>S71*1.2</f>
        <v>0.14000000000000001</v>
      </c>
      <c r="S71" s="248">
        <f>1200*0.0001</f>
        <v>0.12</v>
      </c>
      <c r="T71" s="268">
        <f t="shared" ref="T71:T101" si="25">S71*J71</f>
        <v>0</v>
      </c>
      <c r="U71" s="66">
        <f>77*600</f>
        <v>46200</v>
      </c>
      <c r="V71" s="18">
        <f t="shared" si="24"/>
        <v>0</v>
      </c>
      <c r="W71" s="49">
        <f t="shared" si="22"/>
        <v>0</v>
      </c>
      <c r="X71" s="18">
        <f>77*600</f>
        <v>46200</v>
      </c>
    </row>
    <row r="72" spans="1:41" ht="26.25" customHeight="1" x14ac:dyDescent="0.25">
      <c r="B72" s="11">
        <v>21</v>
      </c>
      <c r="C72" s="6" t="s">
        <v>18</v>
      </c>
      <c r="D72" s="21" t="s">
        <v>9</v>
      </c>
      <c r="E72" s="162" t="s">
        <v>247</v>
      </c>
      <c r="F72" s="294">
        <v>998</v>
      </c>
      <c r="G72" s="12" t="s">
        <v>0</v>
      </c>
      <c r="H72" s="36">
        <v>3920</v>
      </c>
      <c r="I72" s="274">
        <v>376.32</v>
      </c>
      <c r="J72" s="36">
        <f t="shared" si="23"/>
        <v>0</v>
      </c>
      <c r="K72" s="225">
        <v>0.1</v>
      </c>
      <c r="L72" s="154">
        <f>K72*J369</f>
        <v>0</v>
      </c>
      <c r="M72" s="87"/>
      <c r="N72" s="200"/>
      <c r="O72" s="36">
        <v>3920</v>
      </c>
      <c r="P72" s="370">
        <f>I72</f>
        <v>376.32</v>
      </c>
      <c r="Q72" s="184" t="str">
        <f t="shared" si="17"/>
        <v>П24х10х5,6</v>
      </c>
      <c r="R72" s="288">
        <f>S72*1.2</f>
        <v>0.12</v>
      </c>
      <c r="S72" s="235">
        <f>1000*0.0001</f>
        <v>0.1</v>
      </c>
      <c r="T72" s="268">
        <f t="shared" si="25"/>
        <v>0</v>
      </c>
      <c r="U72" s="116">
        <v>1960</v>
      </c>
      <c r="V72" s="18">
        <f t="shared" si="24"/>
        <v>0</v>
      </c>
      <c r="W72" s="49">
        <f t="shared" si="22"/>
        <v>0</v>
      </c>
      <c r="X72" s="325">
        <v>1960</v>
      </c>
    </row>
    <row r="73" spans="1:41" s="5" customFormat="1" ht="26.25" hidden="1" customHeight="1" x14ac:dyDescent="0.25">
      <c r="B73" s="11"/>
      <c r="C73" s="6" t="s">
        <v>18</v>
      </c>
      <c r="D73" s="21" t="s">
        <v>9</v>
      </c>
      <c r="E73" s="83" t="s">
        <v>634</v>
      </c>
      <c r="F73" s="308">
        <v>1453</v>
      </c>
      <c r="G73" s="12" t="s">
        <v>0</v>
      </c>
      <c r="H73" s="36"/>
      <c r="I73" s="274">
        <v>0</v>
      </c>
      <c r="J73" s="36">
        <f t="shared" si="23"/>
        <v>0</v>
      </c>
      <c r="K73" s="225">
        <f>R73*0.8</f>
        <v>12</v>
      </c>
      <c r="L73" s="154"/>
      <c r="M73" s="133" t="s">
        <v>644</v>
      </c>
      <c r="N73" s="200"/>
      <c r="O73" s="36"/>
      <c r="P73" s="225">
        <f>K73*O73</f>
        <v>0</v>
      </c>
      <c r="Q73" s="48" t="str">
        <f t="shared" si="17"/>
        <v>АЮДИ 757.159.001</v>
      </c>
      <c r="R73" s="288">
        <f>S73*1.2</f>
        <v>15</v>
      </c>
      <c r="S73" s="247">
        <v>12.5</v>
      </c>
      <c r="T73" s="268">
        <f t="shared" si="25"/>
        <v>0</v>
      </c>
      <c r="U73" s="18"/>
      <c r="V73" s="18">
        <f t="shared" si="24"/>
        <v>0</v>
      </c>
      <c r="W73" s="49">
        <f t="shared" si="22"/>
        <v>0</v>
      </c>
      <c r="X73" s="18"/>
    </row>
    <row r="74" spans="1:41" s="5" customFormat="1" ht="26.25" hidden="1" customHeight="1" x14ac:dyDescent="0.25">
      <c r="B74" s="11"/>
      <c r="C74" s="6" t="s">
        <v>18</v>
      </c>
      <c r="D74" s="21" t="s">
        <v>9</v>
      </c>
      <c r="E74" s="161" t="s">
        <v>286</v>
      </c>
      <c r="F74" s="136" t="s">
        <v>42</v>
      </c>
      <c r="G74" s="12" t="s">
        <v>0</v>
      </c>
      <c r="H74" s="36"/>
      <c r="I74" s="274">
        <v>0</v>
      </c>
      <c r="J74" s="36">
        <f t="shared" si="23"/>
        <v>0</v>
      </c>
      <c r="K74" s="225">
        <v>1.36</v>
      </c>
      <c r="L74" s="154">
        <f>K74*J371</f>
        <v>0</v>
      </c>
      <c r="M74" s="133"/>
      <c r="N74" s="200"/>
      <c r="O74" s="353"/>
      <c r="P74" s="225">
        <f>K74*O74</f>
        <v>0</v>
      </c>
      <c r="Q74" s="48" t="str">
        <f t="shared" si="17"/>
        <v>ЦИКС 741611018(П34х19х6)</v>
      </c>
      <c r="R74" s="288">
        <f>S74*1.2</f>
        <v>2.41</v>
      </c>
      <c r="S74" s="236">
        <v>2.0099999999999998</v>
      </c>
      <c r="T74" s="268">
        <f t="shared" si="25"/>
        <v>0</v>
      </c>
      <c r="U74" s="18"/>
      <c r="V74" s="18">
        <f t="shared" si="24"/>
        <v>0</v>
      </c>
      <c r="W74" s="49">
        <f t="shared" si="22"/>
        <v>0</v>
      </c>
      <c r="X74" s="18"/>
    </row>
    <row r="75" spans="1:41" ht="26.25" hidden="1" customHeight="1" x14ac:dyDescent="0.25">
      <c r="B75" s="11"/>
      <c r="C75" s="6" t="s">
        <v>18</v>
      </c>
      <c r="D75" s="21" t="s">
        <v>9</v>
      </c>
      <c r="E75" s="163" t="s">
        <v>285</v>
      </c>
      <c r="F75" s="298"/>
      <c r="G75" s="45" t="s">
        <v>0</v>
      </c>
      <c r="H75" s="36">
        <v>0</v>
      </c>
      <c r="I75" s="225">
        <v>0</v>
      </c>
      <c r="J75" s="36">
        <f t="shared" si="23"/>
        <v>0</v>
      </c>
      <c r="K75" s="225">
        <f t="shared" ref="K75:K87" si="26">R75*0.8</f>
        <v>7.0000000000000007E-2</v>
      </c>
      <c r="L75" s="154">
        <f>K75*J372</f>
        <v>0</v>
      </c>
      <c r="M75" s="60"/>
      <c r="N75" s="200"/>
      <c r="O75" s="36">
        <v>0</v>
      </c>
      <c r="P75" s="344">
        <f>K75*O75</f>
        <v>0</v>
      </c>
      <c r="Q75" s="185" t="str">
        <f t="shared" si="17"/>
        <v xml:space="preserve">малая Фронда П24х12х10 </v>
      </c>
      <c r="R75" s="288">
        <f>S75*1.2</f>
        <v>0.09</v>
      </c>
      <c r="S75" s="242">
        <v>7.4999999999999997E-2</v>
      </c>
      <c r="T75" s="268">
        <f t="shared" si="25"/>
        <v>0</v>
      </c>
      <c r="U75" s="115">
        <v>10000</v>
      </c>
      <c r="V75" s="18">
        <f t="shared" si="24"/>
        <v>0</v>
      </c>
      <c r="W75" s="49">
        <f t="shared" si="22"/>
        <v>-400</v>
      </c>
      <c r="X75" s="397">
        <f>8*960+2*960</f>
        <v>9600</v>
      </c>
    </row>
    <row r="76" spans="1:41" ht="26.25" hidden="1" customHeight="1" x14ac:dyDescent="0.25">
      <c r="B76" s="11"/>
      <c r="C76" s="6" t="s">
        <v>18</v>
      </c>
      <c r="D76" s="21" t="s">
        <v>9</v>
      </c>
      <c r="E76" s="163" t="s">
        <v>540</v>
      </c>
      <c r="F76" s="298"/>
      <c r="G76" s="45"/>
      <c r="H76" s="36"/>
      <c r="I76" s="225"/>
      <c r="J76" s="36">
        <f t="shared" si="23"/>
        <v>0</v>
      </c>
      <c r="K76" s="225">
        <f t="shared" si="26"/>
        <v>0</v>
      </c>
      <c r="L76" s="154"/>
      <c r="M76" s="60"/>
      <c r="N76" s="200"/>
      <c r="O76" s="36"/>
      <c r="P76" s="350"/>
      <c r="Q76" s="185" t="str">
        <f t="shared" si="17"/>
        <v>большая Фронда</v>
      </c>
      <c r="R76" s="288"/>
      <c r="S76" s="232"/>
      <c r="T76" s="268">
        <f t="shared" si="25"/>
        <v>0</v>
      </c>
      <c r="U76" s="116">
        <f>25*1700</f>
        <v>42500</v>
      </c>
      <c r="V76" s="18">
        <f t="shared" si="24"/>
        <v>0</v>
      </c>
      <c r="W76" s="49">
        <f t="shared" si="22"/>
        <v>0</v>
      </c>
      <c r="X76" s="18">
        <f>25*1700</f>
        <v>42500</v>
      </c>
    </row>
    <row r="77" spans="1:41" ht="38.25" customHeight="1" x14ac:dyDescent="0.25">
      <c r="B77" s="14">
        <v>22</v>
      </c>
      <c r="C77" s="6" t="s">
        <v>18</v>
      </c>
      <c r="D77" s="21" t="s">
        <v>9</v>
      </c>
      <c r="E77" s="332" t="s">
        <v>539</v>
      </c>
      <c r="F77" s="135">
        <v>325</v>
      </c>
      <c r="G77" s="12" t="s">
        <v>0</v>
      </c>
      <c r="H77" s="36">
        <v>3200</v>
      </c>
      <c r="I77" s="225">
        <v>672</v>
      </c>
      <c r="J77" s="36">
        <f t="shared" si="23"/>
        <v>0</v>
      </c>
      <c r="K77" s="225">
        <f t="shared" si="26"/>
        <v>0.21</v>
      </c>
      <c r="L77" s="154">
        <f>K77*J374</f>
        <v>0</v>
      </c>
      <c r="M77" s="157" t="s">
        <v>692</v>
      </c>
      <c r="N77" s="200"/>
      <c r="O77" s="36">
        <v>3200</v>
      </c>
      <c r="P77" s="225">
        <f t="shared" ref="P77:P90" si="27">K77*O77</f>
        <v>672</v>
      </c>
      <c r="Q77" s="159" t="str">
        <f t="shared" si="17"/>
        <v>ЭПГ 110.094 (П24х16х10)-Чебоксары</v>
      </c>
      <c r="R77" s="288">
        <f t="shared" ref="R77:R110" si="28">S77*1.2</f>
        <v>0.26</v>
      </c>
      <c r="S77" s="254">
        <f>6.6*0.034</f>
        <v>0.22</v>
      </c>
      <c r="T77" s="268">
        <f t="shared" si="25"/>
        <v>0</v>
      </c>
      <c r="U77" s="66">
        <f>4*1700</f>
        <v>6800</v>
      </c>
      <c r="V77" s="18">
        <f t="shared" si="24"/>
        <v>0</v>
      </c>
      <c r="W77" s="49">
        <f t="shared" si="22"/>
        <v>0</v>
      </c>
      <c r="X77" s="18">
        <f>4*1700</f>
        <v>6800</v>
      </c>
    </row>
    <row r="78" spans="1:41" s="4" customFormat="1" ht="26.25" hidden="1" customHeight="1" x14ac:dyDescent="0.25">
      <c r="A78" s="10"/>
      <c r="B78" s="11"/>
      <c r="C78" s="6" t="s">
        <v>18</v>
      </c>
      <c r="D78" s="21" t="s">
        <v>9</v>
      </c>
      <c r="E78" s="139" t="s">
        <v>272</v>
      </c>
      <c r="F78" s="293" t="s">
        <v>427</v>
      </c>
      <c r="G78" s="45" t="s">
        <v>0</v>
      </c>
      <c r="H78" s="36"/>
      <c r="I78" s="274">
        <v>0</v>
      </c>
      <c r="J78" s="36">
        <f t="shared" si="23"/>
        <v>0</v>
      </c>
      <c r="K78" s="225">
        <f t="shared" si="26"/>
        <v>0.21</v>
      </c>
      <c r="L78" s="154">
        <f>K78*J375</f>
        <v>0</v>
      </c>
      <c r="M78" s="122"/>
      <c r="N78" s="200"/>
      <c r="O78" s="36"/>
      <c r="P78" s="334">
        <f t="shared" si="27"/>
        <v>0</v>
      </c>
      <c r="Q78" s="185" t="str">
        <f t="shared" si="17"/>
        <v>П34х19х3</v>
      </c>
      <c r="R78" s="223">
        <f t="shared" si="28"/>
        <v>0.26</v>
      </c>
      <c r="S78" s="237">
        <v>0.22</v>
      </c>
      <c r="T78" s="268">
        <f t="shared" si="25"/>
        <v>0</v>
      </c>
      <c r="U78" s="18"/>
      <c r="V78" s="18">
        <f t="shared" si="24"/>
        <v>0</v>
      </c>
      <c r="W78" s="49">
        <f t="shared" si="22"/>
        <v>0</v>
      </c>
      <c r="X78" s="18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26.25" customHeight="1" x14ac:dyDescent="0.25">
      <c r="B79" s="14">
        <v>23</v>
      </c>
      <c r="C79" s="6" t="s">
        <v>18</v>
      </c>
      <c r="D79" s="21" t="s">
        <v>9</v>
      </c>
      <c r="E79" s="40" t="s">
        <v>249</v>
      </c>
      <c r="F79" s="135">
        <v>1172</v>
      </c>
      <c r="G79" s="12" t="s">
        <v>0</v>
      </c>
      <c r="H79" s="36">
        <v>12800</v>
      </c>
      <c r="I79" s="274">
        <v>2688</v>
      </c>
      <c r="J79" s="36">
        <f t="shared" si="23"/>
        <v>37120</v>
      </c>
      <c r="K79" s="319">
        <f t="shared" si="26"/>
        <v>0.21</v>
      </c>
      <c r="L79" s="154">
        <f>K79*J376</f>
        <v>0</v>
      </c>
      <c r="M79" s="121"/>
      <c r="N79" s="200">
        <v>30080</v>
      </c>
      <c r="O79" s="353">
        <v>19840</v>
      </c>
      <c r="P79" s="225">
        <f t="shared" si="27"/>
        <v>4166.3999999999996</v>
      </c>
      <c r="Q79" s="159" t="str">
        <f t="shared" si="17"/>
        <v>П30х15х10</v>
      </c>
      <c r="R79" s="288">
        <f t="shared" si="28"/>
        <v>0.26</v>
      </c>
      <c r="S79" s="236">
        <f>6.45*0.034</f>
        <v>0.22</v>
      </c>
      <c r="T79" s="268">
        <f t="shared" si="25"/>
        <v>8166.4</v>
      </c>
      <c r="U79" s="16">
        <f>42*640</f>
        <v>26880</v>
      </c>
      <c r="V79" s="18">
        <f t="shared" si="24"/>
        <v>30080</v>
      </c>
      <c r="W79" s="49">
        <f t="shared" si="22"/>
        <v>12800</v>
      </c>
      <c r="X79" s="16">
        <f>15*640</f>
        <v>9600</v>
      </c>
    </row>
    <row r="80" spans="1:41" ht="26.25" hidden="1" customHeight="1" x14ac:dyDescent="0.25">
      <c r="B80" s="14"/>
      <c r="C80" s="6" t="s">
        <v>18</v>
      </c>
      <c r="D80" s="21" t="s">
        <v>9</v>
      </c>
      <c r="E80" s="139" t="s">
        <v>230</v>
      </c>
      <c r="F80" s="363">
        <v>850</v>
      </c>
      <c r="G80" s="45"/>
      <c r="H80" s="36"/>
      <c r="I80" s="225">
        <v>0</v>
      </c>
      <c r="J80" s="36">
        <f t="shared" si="23"/>
        <v>0</v>
      </c>
      <c r="K80" s="225">
        <f t="shared" si="26"/>
        <v>1.95</v>
      </c>
      <c r="L80" s="154"/>
      <c r="M80" s="65"/>
      <c r="N80" s="200"/>
      <c r="O80" s="36"/>
      <c r="P80" s="334">
        <f t="shared" si="27"/>
        <v>0</v>
      </c>
      <c r="Q80" s="48" t="str">
        <f t="shared" si="17"/>
        <v>П32х18х27</v>
      </c>
      <c r="R80" s="288">
        <f t="shared" si="28"/>
        <v>2.44</v>
      </c>
      <c r="S80" s="236">
        <v>2.0299999999999998</v>
      </c>
      <c r="T80" s="268">
        <f t="shared" si="25"/>
        <v>0</v>
      </c>
      <c r="U80" s="18"/>
      <c r="V80" s="18">
        <f t="shared" si="24"/>
        <v>0</v>
      </c>
      <c r="W80" s="49">
        <f t="shared" si="22"/>
        <v>0</v>
      </c>
      <c r="X80" s="18"/>
    </row>
    <row r="81" spans="2:24" ht="26.25" hidden="1" customHeight="1" x14ac:dyDescent="0.25">
      <c r="B81" s="14"/>
      <c r="C81" s="6" t="s">
        <v>18</v>
      </c>
      <c r="D81" s="21" t="s">
        <v>9</v>
      </c>
      <c r="E81" s="139" t="s">
        <v>165</v>
      </c>
      <c r="F81" s="363">
        <v>849</v>
      </c>
      <c r="G81" s="45"/>
      <c r="H81" s="36"/>
      <c r="I81" s="225">
        <v>0</v>
      </c>
      <c r="J81" s="36">
        <f t="shared" si="23"/>
        <v>0</v>
      </c>
      <c r="K81" s="225">
        <f t="shared" si="26"/>
        <v>1.95</v>
      </c>
      <c r="L81" s="154"/>
      <c r="M81" s="65"/>
      <c r="N81" s="200"/>
      <c r="O81" s="36"/>
      <c r="P81" s="274">
        <f t="shared" si="27"/>
        <v>0</v>
      </c>
      <c r="Q81" s="48" t="str">
        <f t="shared" si="17"/>
        <v>П32х27х18</v>
      </c>
      <c r="R81" s="288">
        <f t="shared" si="28"/>
        <v>2.44</v>
      </c>
      <c r="S81" s="236">
        <v>2.0299999999999998</v>
      </c>
      <c r="T81" s="268">
        <f t="shared" si="25"/>
        <v>0</v>
      </c>
      <c r="U81" s="18"/>
      <c r="V81" s="18">
        <f t="shared" si="24"/>
        <v>0</v>
      </c>
      <c r="W81" s="49">
        <f t="shared" si="22"/>
        <v>0</v>
      </c>
      <c r="X81" s="18"/>
    </row>
    <row r="82" spans="2:24" ht="26.25" hidden="1" customHeight="1" x14ac:dyDescent="0.25">
      <c r="B82" s="14"/>
      <c r="C82" s="6" t="s">
        <v>18</v>
      </c>
      <c r="D82" s="21" t="s">
        <v>9</v>
      </c>
      <c r="E82" s="139" t="s">
        <v>525</v>
      </c>
      <c r="F82" s="301">
        <v>851</v>
      </c>
      <c r="G82" s="45"/>
      <c r="H82" s="36"/>
      <c r="I82" s="225">
        <v>0</v>
      </c>
      <c r="J82" s="36">
        <f t="shared" si="23"/>
        <v>0</v>
      </c>
      <c r="K82" s="225">
        <f t="shared" si="26"/>
        <v>2.82</v>
      </c>
      <c r="L82" s="154"/>
      <c r="M82" s="87"/>
      <c r="N82" s="200"/>
      <c r="O82" s="36"/>
      <c r="P82" s="350">
        <f t="shared" si="27"/>
        <v>0</v>
      </c>
      <c r="Q82" s="48" t="str">
        <f t="shared" si="17"/>
        <v>П64х27х27</v>
      </c>
      <c r="R82" s="288">
        <f t="shared" si="28"/>
        <v>3.53</v>
      </c>
      <c r="S82" s="236">
        <v>2.94</v>
      </c>
      <c r="T82" s="268">
        <f t="shared" si="25"/>
        <v>0</v>
      </c>
      <c r="U82" s="18"/>
      <c r="V82" s="18">
        <f t="shared" si="24"/>
        <v>0</v>
      </c>
      <c r="W82" s="49">
        <f t="shared" si="22"/>
        <v>0</v>
      </c>
      <c r="X82" s="18"/>
    </row>
    <row r="83" spans="2:24" ht="26.25" customHeight="1" x14ac:dyDescent="0.25">
      <c r="B83" s="15">
        <v>24</v>
      </c>
      <c r="C83" s="6" t="s">
        <v>18</v>
      </c>
      <c r="D83" s="21" t="s">
        <v>9</v>
      </c>
      <c r="E83" s="161" t="s">
        <v>97</v>
      </c>
      <c r="F83" s="135" t="s">
        <v>93</v>
      </c>
      <c r="G83" s="12" t="s">
        <v>0</v>
      </c>
      <c r="H83" s="36">
        <v>18000</v>
      </c>
      <c r="I83" s="274">
        <v>7560</v>
      </c>
      <c r="J83" s="36">
        <f t="shared" si="23"/>
        <v>0</v>
      </c>
      <c r="K83" s="225">
        <f t="shared" si="26"/>
        <v>0.42</v>
      </c>
      <c r="L83" s="154">
        <f>K83*J383</f>
        <v>0</v>
      </c>
      <c r="M83" s="126" t="s">
        <v>645</v>
      </c>
      <c r="N83" s="200">
        <v>10800</v>
      </c>
      <c r="O83" s="36">
        <v>7200</v>
      </c>
      <c r="P83" s="225">
        <f t="shared" si="27"/>
        <v>3024</v>
      </c>
      <c r="Q83" s="159" t="str">
        <f t="shared" si="17"/>
        <v>П24х18х14 АБПК 757.153.028</v>
      </c>
      <c r="R83" s="288">
        <f t="shared" si="28"/>
        <v>0.53</v>
      </c>
      <c r="S83" s="235">
        <v>0.44</v>
      </c>
      <c r="T83" s="268">
        <f t="shared" si="25"/>
        <v>0</v>
      </c>
      <c r="U83" s="18">
        <f>45*450+16*450+21*450</f>
        <v>36900</v>
      </c>
      <c r="V83" s="18">
        <f t="shared" si="24"/>
        <v>10800</v>
      </c>
      <c r="W83" s="49">
        <f t="shared" si="22"/>
        <v>-12150</v>
      </c>
      <c r="X83" s="18">
        <f>16*450+15*450</f>
        <v>13950</v>
      </c>
    </row>
    <row r="84" spans="2:24" ht="26.25" hidden="1" customHeight="1" x14ac:dyDescent="0.25">
      <c r="B84" s="14"/>
      <c r="C84" s="6" t="s">
        <v>18</v>
      </c>
      <c r="D84" s="21" t="s">
        <v>9</v>
      </c>
      <c r="E84" s="161" t="s">
        <v>490</v>
      </c>
      <c r="F84" s="297">
        <v>1299</v>
      </c>
      <c r="G84" s="45" t="s">
        <v>0</v>
      </c>
      <c r="H84" s="36"/>
      <c r="I84" s="274">
        <v>0</v>
      </c>
      <c r="J84" s="36">
        <f t="shared" si="23"/>
        <v>0</v>
      </c>
      <c r="K84" s="225">
        <f t="shared" si="26"/>
        <v>4.9000000000000004</v>
      </c>
      <c r="L84" s="154">
        <f>K84*J384</f>
        <v>0</v>
      </c>
      <c r="M84" s="87"/>
      <c r="N84" s="200"/>
      <c r="O84" s="36"/>
      <c r="P84" s="336">
        <f t="shared" si="27"/>
        <v>0</v>
      </c>
      <c r="Q84" s="322" t="str">
        <f t="shared" si="17"/>
        <v>П27х24х27</v>
      </c>
      <c r="R84" s="288">
        <f t="shared" si="28"/>
        <v>6.12</v>
      </c>
      <c r="S84" s="238">
        <v>5.0999999999999996</v>
      </c>
      <c r="T84" s="268">
        <f t="shared" si="25"/>
        <v>0</v>
      </c>
      <c r="U84" s="16"/>
      <c r="V84" s="18">
        <f t="shared" si="24"/>
        <v>0</v>
      </c>
      <c r="W84" s="49">
        <f t="shared" si="22"/>
        <v>0</v>
      </c>
      <c r="X84" s="16"/>
    </row>
    <row r="85" spans="2:24" ht="26.25" customHeight="1" x14ac:dyDescent="0.25">
      <c r="B85" s="14">
        <v>25</v>
      </c>
      <c r="C85" s="6" t="s">
        <v>18</v>
      </c>
      <c r="D85" s="21" t="s">
        <v>9</v>
      </c>
      <c r="E85" s="161" t="s">
        <v>287</v>
      </c>
      <c r="F85" s="135" t="s">
        <v>175</v>
      </c>
      <c r="G85" s="12" t="s">
        <v>0</v>
      </c>
      <c r="H85" s="36">
        <v>15750</v>
      </c>
      <c r="I85" s="274">
        <v>3307.5</v>
      </c>
      <c r="J85" s="36">
        <f t="shared" si="23"/>
        <v>0</v>
      </c>
      <c r="K85" s="225">
        <f t="shared" si="26"/>
        <v>0.21</v>
      </c>
      <c r="L85" s="154">
        <f>K85*J385</f>
        <v>0</v>
      </c>
      <c r="M85" s="126"/>
      <c r="N85" s="200"/>
      <c r="O85" s="36">
        <v>15750</v>
      </c>
      <c r="P85" s="350">
        <f t="shared" si="27"/>
        <v>3307.5</v>
      </c>
      <c r="Q85" s="187" t="str">
        <f t="shared" si="17"/>
        <v>ИЖКС 005 (27х18х11)</v>
      </c>
      <c r="R85" s="223">
        <f t="shared" si="28"/>
        <v>0.26</v>
      </c>
      <c r="S85" s="235">
        <v>0.22</v>
      </c>
      <c r="T85" s="268">
        <f t="shared" si="25"/>
        <v>0</v>
      </c>
      <c r="U85" s="116">
        <f>16*630+17-1265+50000</f>
        <v>58832</v>
      </c>
      <c r="V85" s="18">
        <f t="shared" si="24"/>
        <v>0</v>
      </c>
      <c r="W85" s="49">
        <f t="shared" si="22"/>
        <v>0</v>
      </c>
      <c r="X85" s="18">
        <f>16*630+17-1265+50000</f>
        <v>58832</v>
      </c>
    </row>
    <row r="86" spans="2:24" ht="26.25" hidden="1" customHeight="1" x14ac:dyDescent="0.25">
      <c r="B86" s="11"/>
      <c r="C86" s="6" t="s">
        <v>18</v>
      </c>
      <c r="D86" s="21" t="s">
        <v>9</v>
      </c>
      <c r="E86" s="161" t="s">
        <v>288</v>
      </c>
      <c r="F86" s="135" t="s">
        <v>81</v>
      </c>
      <c r="G86" s="45" t="s">
        <v>0</v>
      </c>
      <c r="H86" s="36"/>
      <c r="I86" s="274">
        <v>0</v>
      </c>
      <c r="J86" s="36">
        <f t="shared" si="23"/>
        <v>0</v>
      </c>
      <c r="K86" s="225">
        <f t="shared" si="26"/>
        <v>0.27</v>
      </c>
      <c r="L86" s="154">
        <f>K86*J386</f>
        <v>0</v>
      </c>
      <c r="M86" s="133" t="s">
        <v>646</v>
      </c>
      <c r="N86" s="200"/>
      <c r="O86" s="36"/>
      <c r="P86" s="225">
        <f t="shared" si="27"/>
        <v>0</v>
      </c>
      <c r="Q86" s="48" t="str">
        <f t="shared" si="17"/>
        <v>ИЖКС 007 (31х19х11)</v>
      </c>
      <c r="R86" s="223">
        <f t="shared" si="28"/>
        <v>0.34</v>
      </c>
      <c r="S86" s="236">
        <v>0.28000000000000003</v>
      </c>
      <c r="T86" s="268">
        <f t="shared" si="25"/>
        <v>0</v>
      </c>
      <c r="U86" s="116">
        <v>20000</v>
      </c>
      <c r="V86" s="18">
        <f t="shared" si="24"/>
        <v>0</v>
      </c>
      <c r="W86" s="49">
        <f t="shared" si="22"/>
        <v>0</v>
      </c>
      <c r="X86" s="18">
        <v>20000</v>
      </c>
    </row>
    <row r="87" spans="2:24" ht="26.25" hidden="1" customHeight="1" x14ac:dyDescent="0.25">
      <c r="B87" s="11"/>
      <c r="C87" s="6" t="s">
        <v>18</v>
      </c>
      <c r="D87" s="21" t="s">
        <v>9</v>
      </c>
      <c r="E87" s="164" t="s">
        <v>219</v>
      </c>
      <c r="F87" s="295">
        <v>993</v>
      </c>
      <c r="G87" s="13" t="s">
        <v>0</v>
      </c>
      <c r="H87" s="36"/>
      <c r="I87" s="274">
        <v>0</v>
      </c>
      <c r="J87" s="36">
        <f t="shared" si="23"/>
        <v>0</v>
      </c>
      <c r="K87" s="225">
        <f t="shared" si="26"/>
        <v>3.36</v>
      </c>
      <c r="L87" s="154"/>
      <c r="M87" s="133" t="s">
        <v>480</v>
      </c>
      <c r="N87" s="200"/>
      <c r="O87" s="36"/>
      <c r="P87" s="334">
        <f t="shared" si="27"/>
        <v>0</v>
      </c>
      <c r="Q87" s="185" t="str">
        <f t="shared" si="17"/>
        <v>П40х20х10</v>
      </c>
      <c r="R87" s="288">
        <f t="shared" si="28"/>
        <v>4.2</v>
      </c>
      <c r="S87" s="249">
        <v>3.5</v>
      </c>
      <c r="T87" s="268">
        <f t="shared" si="25"/>
        <v>0</v>
      </c>
      <c r="U87" s="18"/>
      <c r="V87" s="18">
        <f t="shared" si="24"/>
        <v>0</v>
      </c>
      <c r="W87" s="49">
        <f t="shared" si="22"/>
        <v>0</v>
      </c>
      <c r="X87" s="18"/>
    </row>
    <row r="88" spans="2:24" ht="26.25" hidden="1" customHeight="1" x14ac:dyDescent="0.25">
      <c r="B88" s="11"/>
      <c r="C88" s="6" t="s">
        <v>18</v>
      </c>
      <c r="D88" s="21" t="s">
        <v>9</v>
      </c>
      <c r="E88" s="161" t="s">
        <v>365</v>
      </c>
      <c r="F88" s="135">
        <v>1229</v>
      </c>
      <c r="G88" s="45" t="s">
        <v>0</v>
      </c>
      <c r="H88" s="36"/>
      <c r="I88" s="274">
        <v>0</v>
      </c>
      <c r="J88" s="36">
        <f t="shared" si="23"/>
        <v>0</v>
      </c>
      <c r="K88" s="225">
        <v>0.26</v>
      </c>
      <c r="L88" s="154">
        <f>K88*J388</f>
        <v>0</v>
      </c>
      <c r="M88" s="126"/>
      <c r="N88" s="200"/>
      <c r="O88" s="36"/>
      <c r="P88" s="274">
        <f t="shared" si="27"/>
        <v>0</v>
      </c>
      <c r="Q88" s="48" t="str">
        <f t="shared" si="17"/>
        <v>ЭПГ-110.093</v>
      </c>
      <c r="R88" s="223">
        <f t="shared" si="28"/>
        <v>0.37</v>
      </c>
      <c r="S88" s="236">
        <f>9*0.034</f>
        <v>0.31</v>
      </c>
      <c r="T88" s="268">
        <f t="shared" si="25"/>
        <v>0</v>
      </c>
      <c r="U88" s="116">
        <f>17*400</f>
        <v>6800</v>
      </c>
      <c r="V88" s="18">
        <f t="shared" si="24"/>
        <v>0</v>
      </c>
      <c r="W88" s="49">
        <f t="shared" si="22"/>
        <v>0</v>
      </c>
      <c r="X88" s="325">
        <f>17*400</f>
        <v>6800</v>
      </c>
    </row>
    <row r="89" spans="2:24" ht="26.25" hidden="1" customHeight="1" x14ac:dyDescent="0.25">
      <c r="B89" s="11"/>
      <c r="C89" s="6" t="s">
        <v>18</v>
      </c>
      <c r="D89" s="21" t="s">
        <v>9</v>
      </c>
      <c r="E89" s="161" t="s">
        <v>29</v>
      </c>
      <c r="F89" s="135" t="s">
        <v>44</v>
      </c>
      <c r="G89" s="45" t="s">
        <v>0</v>
      </c>
      <c r="H89" s="36"/>
      <c r="I89" s="225">
        <v>0</v>
      </c>
      <c r="J89" s="36">
        <f t="shared" si="23"/>
        <v>0</v>
      </c>
      <c r="K89" s="225">
        <v>0.11</v>
      </c>
      <c r="L89" s="154">
        <f>K89*J389</f>
        <v>0</v>
      </c>
      <c r="M89" s="39" t="s">
        <v>325</v>
      </c>
      <c r="N89" s="200"/>
      <c r="O89" s="36"/>
      <c r="P89" s="225">
        <f t="shared" si="27"/>
        <v>0</v>
      </c>
      <c r="Q89" s="185" t="str">
        <f t="shared" si="17"/>
        <v>П38х27х7,5 (ЭПГ110.088)</v>
      </c>
      <c r="R89" s="288">
        <f t="shared" si="28"/>
        <v>0</v>
      </c>
      <c r="S89" s="237">
        <v>0</v>
      </c>
      <c r="T89" s="268">
        <f t="shared" si="25"/>
        <v>0</v>
      </c>
      <c r="U89" s="116">
        <v>7500</v>
      </c>
      <c r="V89" s="18">
        <f t="shared" si="24"/>
        <v>0</v>
      </c>
      <c r="W89" s="49">
        <f t="shared" si="22"/>
        <v>0</v>
      </c>
      <c r="X89" s="18">
        <v>7500</v>
      </c>
    </row>
    <row r="90" spans="2:24" ht="26.25" customHeight="1" x14ac:dyDescent="0.25">
      <c r="B90" s="11">
        <v>26</v>
      </c>
      <c r="C90" s="6" t="s">
        <v>18</v>
      </c>
      <c r="D90" s="21" t="s">
        <v>9</v>
      </c>
      <c r="E90" s="161" t="s">
        <v>289</v>
      </c>
      <c r="F90" s="135" t="s">
        <v>47</v>
      </c>
      <c r="G90" s="12" t="s">
        <v>0</v>
      </c>
      <c r="H90" s="36">
        <v>600</v>
      </c>
      <c r="I90" s="274">
        <v>588</v>
      </c>
      <c r="J90" s="36">
        <f t="shared" si="23"/>
        <v>160</v>
      </c>
      <c r="K90" s="225">
        <f>R90*0.8</f>
        <v>0.98</v>
      </c>
      <c r="L90" s="154">
        <f>K90*J390</f>
        <v>15</v>
      </c>
      <c r="M90" s="133"/>
      <c r="N90" s="200"/>
      <c r="O90" s="36">
        <f>2*380</f>
        <v>760</v>
      </c>
      <c r="P90" s="225">
        <f t="shared" si="27"/>
        <v>744.8</v>
      </c>
      <c r="Q90" s="159" t="str">
        <f t="shared" si="17"/>
        <v>ЭПГ-110.086 (П37х27х4,5)</v>
      </c>
      <c r="R90" s="288">
        <f t="shared" si="28"/>
        <v>1.22</v>
      </c>
      <c r="S90" s="235">
        <v>1.02</v>
      </c>
      <c r="T90" s="268">
        <f t="shared" si="25"/>
        <v>163.19999999999999</v>
      </c>
      <c r="U90" s="116">
        <f>380*2+161</f>
        <v>921</v>
      </c>
      <c r="V90" s="18">
        <f t="shared" si="24"/>
        <v>0</v>
      </c>
      <c r="W90" s="49">
        <f t="shared" si="22"/>
        <v>0</v>
      </c>
      <c r="X90" s="18">
        <f>380*2+161</f>
        <v>921</v>
      </c>
    </row>
    <row r="91" spans="2:24" ht="26.25" customHeight="1" x14ac:dyDescent="0.25">
      <c r="B91" s="15">
        <v>27</v>
      </c>
      <c r="C91" s="6" t="s">
        <v>18</v>
      </c>
      <c r="D91" s="21" t="s">
        <v>9</v>
      </c>
      <c r="E91" s="161" t="s">
        <v>88</v>
      </c>
      <c r="F91" s="135">
        <v>495</v>
      </c>
      <c r="G91" s="12" t="s">
        <v>0</v>
      </c>
      <c r="H91" s="36">
        <v>2760</v>
      </c>
      <c r="I91" s="274">
        <v>2437.63</v>
      </c>
      <c r="J91" s="36">
        <f t="shared" si="23"/>
        <v>0</v>
      </c>
      <c r="K91" s="225">
        <v>0.88</v>
      </c>
      <c r="L91" s="154">
        <f>K91*J391</f>
        <v>0</v>
      </c>
      <c r="M91" s="85"/>
      <c r="N91" s="200"/>
      <c r="O91" s="36">
        <f>4920-1080-1080</f>
        <v>2760</v>
      </c>
      <c r="P91" s="333">
        <f>I91</f>
        <v>2437.63</v>
      </c>
      <c r="Q91" s="159" t="str">
        <f t="shared" si="17"/>
        <v>П32х18х40 ЭПГ110.155</v>
      </c>
      <c r="R91" s="288">
        <f t="shared" si="28"/>
        <v>1.1000000000000001</v>
      </c>
      <c r="S91" s="235">
        <v>0.92</v>
      </c>
      <c r="T91" s="268">
        <f t="shared" si="25"/>
        <v>0</v>
      </c>
      <c r="U91" s="116">
        <f>23*120</f>
        <v>2760</v>
      </c>
      <c r="V91" s="18">
        <f t="shared" si="24"/>
        <v>0</v>
      </c>
      <c r="W91" s="49">
        <f t="shared" si="22"/>
        <v>0</v>
      </c>
      <c r="X91" s="325">
        <f>23*120</f>
        <v>2760</v>
      </c>
    </row>
    <row r="92" spans="2:24" ht="26.25" customHeight="1" x14ac:dyDescent="0.25">
      <c r="B92" s="15">
        <v>28</v>
      </c>
      <c r="C92" s="6" t="s">
        <v>18</v>
      </c>
      <c r="D92" s="21" t="s">
        <v>9</v>
      </c>
      <c r="E92" s="164" t="s">
        <v>367</v>
      </c>
      <c r="F92" s="135">
        <v>326</v>
      </c>
      <c r="G92" s="12" t="s">
        <v>0</v>
      </c>
      <c r="H92" s="36">
        <v>4680</v>
      </c>
      <c r="I92" s="274">
        <v>1965.6</v>
      </c>
      <c r="J92" s="36">
        <f t="shared" si="23"/>
        <v>0</v>
      </c>
      <c r="K92" s="225">
        <f t="shared" ref="K92:K106" si="29">R92*0.8</f>
        <v>0.42</v>
      </c>
      <c r="L92" s="154">
        <f>K92*J392</f>
        <v>0</v>
      </c>
      <c r="M92" s="133" t="s">
        <v>720</v>
      </c>
      <c r="N92" s="202"/>
      <c r="O92" s="36">
        <v>4680</v>
      </c>
      <c r="P92" s="225">
        <f t="shared" ref="P92:P110" si="30">K92*O92</f>
        <v>1965.6</v>
      </c>
      <c r="Q92" s="159" t="str">
        <f t="shared" si="17"/>
        <v>ЭПГ-110.102</v>
      </c>
      <c r="R92" s="223">
        <f t="shared" si="28"/>
        <v>0.53</v>
      </c>
      <c r="S92" s="311">
        <f>13.2*0.033</f>
        <v>0.44</v>
      </c>
      <c r="T92" s="268">
        <f t="shared" si="25"/>
        <v>0</v>
      </c>
      <c r="U92" s="116">
        <f>39*234</f>
        <v>9126</v>
      </c>
      <c r="V92" s="18">
        <f t="shared" si="24"/>
        <v>0</v>
      </c>
      <c r="W92" s="49">
        <f t="shared" si="22"/>
        <v>0</v>
      </c>
      <c r="X92" s="325">
        <f>39*234</f>
        <v>9126</v>
      </c>
    </row>
    <row r="93" spans="2:24" ht="26.25" hidden="1" customHeight="1" x14ac:dyDescent="0.25">
      <c r="B93" s="15"/>
      <c r="C93" s="6" t="s">
        <v>18</v>
      </c>
      <c r="D93" s="21" t="s">
        <v>9</v>
      </c>
      <c r="E93" s="164" t="s">
        <v>366</v>
      </c>
      <c r="F93" s="135">
        <v>385</v>
      </c>
      <c r="G93" s="13" t="s">
        <v>0</v>
      </c>
      <c r="H93" s="36"/>
      <c r="I93" s="225">
        <v>0</v>
      </c>
      <c r="J93" s="36">
        <f t="shared" si="23"/>
        <v>0</v>
      </c>
      <c r="K93" s="225">
        <f t="shared" si="29"/>
        <v>0.48</v>
      </c>
      <c r="L93" s="154"/>
      <c r="M93" s="127"/>
      <c r="N93" s="202"/>
      <c r="O93" s="36"/>
      <c r="P93" s="344">
        <f t="shared" si="30"/>
        <v>0</v>
      </c>
      <c r="Q93" s="185" t="str">
        <f t="shared" si="17"/>
        <v>ЭПГ-110.103</v>
      </c>
      <c r="R93" s="288">
        <f t="shared" si="28"/>
        <v>0.6</v>
      </c>
      <c r="S93" s="289">
        <f>15*0.033</f>
        <v>0.5</v>
      </c>
      <c r="T93" s="268">
        <f t="shared" si="25"/>
        <v>0</v>
      </c>
      <c r="U93" s="116">
        <f>5*144</f>
        <v>720</v>
      </c>
      <c r="V93" s="18">
        <f t="shared" si="24"/>
        <v>0</v>
      </c>
      <c r="W93" s="49">
        <f t="shared" si="22"/>
        <v>0</v>
      </c>
      <c r="X93" s="325">
        <f>5*144</f>
        <v>720</v>
      </c>
    </row>
    <row r="94" spans="2:24" ht="26.25" hidden="1" customHeight="1" x14ac:dyDescent="0.25">
      <c r="B94" s="15"/>
      <c r="C94" s="6" t="s">
        <v>18</v>
      </c>
      <c r="D94" s="21" t="s">
        <v>9</v>
      </c>
      <c r="E94" s="1" t="s">
        <v>542</v>
      </c>
      <c r="F94" s="293">
        <v>1394</v>
      </c>
      <c r="G94" s="12" t="s">
        <v>0</v>
      </c>
      <c r="H94" s="36"/>
      <c r="I94" s="274">
        <v>0</v>
      </c>
      <c r="J94" s="36">
        <f t="shared" si="23"/>
        <v>0</v>
      </c>
      <c r="K94" s="225">
        <f t="shared" si="29"/>
        <v>2.69</v>
      </c>
      <c r="L94" s="154"/>
      <c r="M94" s="133"/>
      <c r="N94" s="202"/>
      <c r="O94" s="36"/>
      <c r="P94" s="274">
        <f t="shared" si="30"/>
        <v>0</v>
      </c>
      <c r="Q94" s="48" t="str">
        <f t="shared" si="17"/>
        <v>пж 06.56.026(П40х10х10)</v>
      </c>
      <c r="R94" s="223">
        <f t="shared" si="28"/>
        <v>3.36</v>
      </c>
      <c r="S94" s="251">
        <v>2.8</v>
      </c>
      <c r="T94" s="268">
        <f t="shared" si="25"/>
        <v>0</v>
      </c>
      <c r="U94" s="18"/>
      <c r="V94" s="18">
        <f t="shared" si="24"/>
        <v>0</v>
      </c>
      <c r="W94" s="49">
        <f t="shared" si="22"/>
        <v>0</v>
      </c>
      <c r="X94" s="18"/>
    </row>
    <row r="95" spans="2:24" ht="26.25" hidden="1" customHeight="1" x14ac:dyDescent="0.25">
      <c r="B95" s="15"/>
      <c r="C95" s="6" t="s">
        <v>18</v>
      </c>
      <c r="D95" s="21" t="s">
        <v>9</v>
      </c>
      <c r="E95" s="1" t="s">
        <v>543</v>
      </c>
      <c r="F95" s="293">
        <v>1395</v>
      </c>
      <c r="G95" s="13" t="s">
        <v>0</v>
      </c>
      <c r="H95" s="36"/>
      <c r="I95" s="274">
        <v>0</v>
      </c>
      <c r="J95" s="36">
        <f t="shared" si="23"/>
        <v>0</v>
      </c>
      <c r="K95" s="225">
        <f t="shared" si="29"/>
        <v>6.72</v>
      </c>
      <c r="L95" s="154"/>
      <c r="M95" s="133"/>
      <c r="N95" s="203"/>
      <c r="O95" s="36"/>
      <c r="P95" s="274">
        <f t="shared" si="30"/>
        <v>0</v>
      </c>
      <c r="Q95" s="48" t="str">
        <f t="shared" si="17"/>
        <v>пж 06.56.029 (П40х10х10 с прорез)</v>
      </c>
      <c r="R95" s="223">
        <f t="shared" si="28"/>
        <v>8.4</v>
      </c>
      <c r="S95" s="250">
        <v>7</v>
      </c>
      <c r="T95" s="268">
        <f t="shared" si="25"/>
        <v>0</v>
      </c>
      <c r="U95" s="18"/>
      <c r="V95" s="18">
        <f t="shared" si="24"/>
        <v>0</v>
      </c>
      <c r="W95" s="49">
        <f t="shared" si="22"/>
        <v>0</v>
      </c>
      <c r="X95" s="18"/>
    </row>
    <row r="96" spans="2:24" ht="26.25" hidden="1" customHeight="1" x14ac:dyDescent="0.25">
      <c r="B96" s="15"/>
      <c r="C96" s="6" t="s">
        <v>18</v>
      </c>
      <c r="D96" s="21" t="s">
        <v>9</v>
      </c>
      <c r="E96" s="1" t="s">
        <v>463</v>
      </c>
      <c r="F96" s="293">
        <v>1321</v>
      </c>
      <c r="G96" s="13" t="s">
        <v>0</v>
      </c>
      <c r="H96" s="36"/>
      <c r="I96" s="274">
        <v>0</v>
      </c>
      <c r="J96" s="36">
        <f t="shared" si="23"/>
        <v>0</v>
      </c>
      <c r="K96" s="225">
        <f t="shared" si="29"/>
        <v>6.62</v>
      </c>
      <c r="L96" s="154"/>
      <c r="M96" s="133" t="s">
        <v>475</v>
      </c>
      <c r="N96" s="202"/>
      <c r="O96" s="36"/>
      <c r="P96" s="274">
        <f t="shared" si="30"/>
        <v>0</v>
      </c>
      <c r="Q96" s="48" t="str">
        <f t="shared" si="17"/>
        <v>Э.200116.020-01 П50х37х13</v>
      </c>
      <c r="R96" s="223">
        <f t="shared" si="28"/>
        <v>8.2799999999999994</v>
      </c>
      <c r="S96" s="250">
        <f>230*0.03</f>
        <v>6.9</v>
      </c>
      <c r="T96" s="268">
        <f t="shared" si="25"/>
        <v>0</v>
      </c>
      <c r="U96" s="18"/>
      <c r="V96" s="18">
        <f t="shared" si="24"/>
        <v>0</v>
      </c>
      <c r="W96" s="49">
        <f t="shared" si="22"/>
        <v>0</v>
      </c>
      <c r="X96" s="18"/>
    </row>
    <row r="97" spans="1:24" ht="26.25" hidden="1" customHeight="1" x14ac:dyDescent="0.25">
      <c r="B97" s="15"/>
      <c r="C97" s="6" t="s">
        <v>18</v>
      </c>
      <c r="D97" s="21" t="s">
        <v>9</v>
      </c>
      <c r="E97" s="164" t="s">
        <v>536</v>
      </c>
      <c r="F97" s="135">
        <v>978</v>
      </c>
      <c r="G97" s="45" t="s">
        <v>0</v>
      </c>
      <c r="H97" s="36"/>
      <c r="I97" s="274">
        <v>0</v>
      </c>
      <c r="J97" s="36">
        <f t="shared" si="23"/>
        <v>0</v>
      </c>
      <c r="K97" s="225">
        <f t="shared" si="29"/>
        <v>0.19</v>
      </c>
      <c r="L97" s="154"/>
      <c r="M97" s="85"/>
      <c r="N97" s="202"/>
      <c r="O97" s="36"/>
      <c r="P97" s="274">
        <f t="shared" si="30"/>
        <v>0</v>
      </c>
      <c r="Q97" s="48" t="str">
        <f t="shared" si="17"/>
        <v>П64х20х14</v>
      </c>
      <c r="R97" s="288">
        <f t="shared" si="28"/>
        <v>0.24</v>
      </c>
      <c r="S97" s="289">
        <v>0.2</v>
      </c>
      <c r="T97" s="268">
        <f t="shared" si="25"/>
        <v>0</v>
      </c>
      <c r="U97" s="18"/>
      <c r="V97" s="18">
        <f t="shared" si="24"/>
        <v>0</v>
      </c>
      <c r="W97" s="49">
        <f t="shared" si="22"/>
        <v>0</v>
      </c>
      <c r="X97" s="18"/>
    </row>
    <row r="98" spans="1:24" ht="26.25" customHeight="1" x14ac:dyDescent="0.25">
      <c r="B98" s="15">
        <v>29</v>
      </c>
      <c r="C98" s="6" t="s">
        <v>18</v>
      </c>
      <c r="D98" s="21" t="s">
        <v>9</v>
      </c>
      <c r="E98" s="164" t="s">
        <v>748</v>
      </c>
      <c r="F98" s="135">
        <v>190</v>
      </c>
      <c r="G98" s="45" t="s">
        <v>0</v>
      </c>
      <c r="H98" s="36"/>
      <c r="I98" s="274">
        <v>0</v>
      </c>
      <c r="J98" s="36">
        <f t="shared" si="23"/>
        <v>3</v>
      </c>
      <c r="K98" s="225">
        <f t="shared" si="29"/>
        <v>3.07</v>
      </c>
      <c r="L98" s="154"/>
      <c r="M98" s="85"/>
      <c r="N98" s="202">
        <v>3</v>
      </c>
      <c r="O98" s="36"/>
      <c r="P98" s="274">
        <f t="shared" si="30"/>
        <v>0</v>
      </c>
      <c r="Q98" s="48" t="str">
        <f t="shared" si="17"/>
        <v>П53х3,5х4,5</v>
      </c>
      <c r="R98" s="223">
        <f t="shared" si="28"/>
        <v>3.84</v>
      </c>
      <c r="S98" s="289">
        <v>3.2</v>
      </c>
      <c r="T98" s="268">
        <f t="shared" si="25"/>
        <v>9.6</v>
      </c>
      <c r="U98" s="18"/>
      <c r="V98" s="18">
        <f t="shared" si="24"/>
        <v>3</v>
      </c>
      <c r="W98" s="49">
        <f t="shared" si="22"/>
        <v>3</v>
      </c>
      <c r="X98" s="18"/>
    </row>
    <row r="99" spans="1:24" ht="26.25" customHeight="1" x14ac:dyDescent="0.25">
      <c r="B99" s="11">
        <v>30</v>
      </c>
      <c r="C99" s="6" t="s">
        <v>18</v>
      </c>
      <c r="D99" s="21" t="s">
        <v>9</v>
      </c>
      <c r="E99" s="161" t="s">
        <v>107</v>
      </c>
      <c r="F99" s="135">
        <v>600</v>
      </c>
      <c r="G99" s="12" t="s">
        <v>0</v>
      </c>
      <c r="H99" s="36">
        <v>50</v>
      </c>
      <c r="I99" s="274">
        <v>158.5</v>
      </c>
      <c r="J99" s="36">
        <f t="shared" si="23"/>
        <v>0</v>
      </c>
      <c r="K99" s="225">
        <f t="shared" si="29"/>
        <v>3.17</v>
      </c>
      <c r="L99" s="154">
        <f>K99*J399</f>
        <v>0</v>
      </c>
      <c r="M99" s="121"/>
      <c r="N99" s="200"/>
      <c r="O99" s="36">
        <v>50</v>
      </c>
      <c r="P99" s="335">
        <f t="shared" si="30"/>
        <v>158.5</v>
      </c>
      <c r="Q99" s="48" t="str">
        <f t="shared" si="17"/>
        <v>ЭПГ110.158(П50х35х40)</v>
      </c>
      <c r="R99" s="223">
        <f t="shared" si="28"/>
        <v>3.96</v>
      </c>
      <c r="S99" s="236">
        <v>3.3</v>
      </c>
      <c r="T99" s="268">
        <f t="shared" si="25"/>
        <v>0</v>
      </c>
      <c r="U99" s="116">
        <f>10*38-8*38-18</f>
        <v>58</v>
      </c>
      <c r="V99" s="18">
        <f t="shared" si="24"/>
        <v>0</v>
      </c>
      <c r="W99" s="49">
        <f t="shared" si="22"/>
        <v>0</v>
      </c>
      <c r="X99" s="325">
        <f>10*38-8*38-18</f>
        <v>58</v>
      </c>
    </row>
    <row r="100" spans="1:24" ht="26.25" customHeight="1" x14ac:dyDescent="0.25">
      <c r="B100" s="11">
        <v>31</v>
      </c>
      <c r="C100" s="6" t="s">
        <v>18</v>
      </c>
      <c r="D100" s="21" t="s">
        <v>9</v>
      </c>
      <c r="E100" s="161" t="s">
        <v>66</v>
      </c>
      <c r="F100" s="137">
        <v>395</v>
      </c>
      <c r="G100" s="12" t="s">
        <v>0</v>
      </c>
      <c r="H100" s="36">
        <v>100</v>
      </c>
      <c r="I100" s="274">
        <v>670</v>
      </c>
      <c r="J100" s="36">
        <f t="shared" si="23"/>
        <v>20</v>
      </c>
      <c r="K100" s="225">
        <f t="shared" si="29"/>
        <v>6.7</v>
      </c>
      <c r="L100" s="154">
        <f>K100*J400</f>
        <v>1340</v>
      </c>
      <c r="M100" s="121"/>
      <c r="N100" s="200"/>
      <c r="O100" s="36">
        <v>120</v>
      </c>
      <c r="P100" s="225">
        <f t="shared" si="30"/>
        <v>804</v>
      </c>
      <c r="Q100" s="181" t="str">
        <f t="shared" si="17"/>
        <v>ЭПГ110.149(П90х35х34)</v>
      </c>
      <c r="R100" s="223">
        <f t="shared" si="28"/>
        <v>8.3800000000000008</v>
      </c>
      <c r="S100" s="242">
        <v>6.98</v>
      </c>
      <c r="T100" s="268">
        <f t="shared" si="25"/>
        <v>139.6</v>
      </c>
      <c r="U100" s="116">
        <f>6*20</f>
        <v>120</v>
      </c>
      <c r="V100" s="18">
        <f t="shared" si="24"/>
        <v>0</v>
      </c>
      <c r="W100" s="49">
        <f t="shared" si="22"/>
        <v>0</v>
      </c>
      <c r="X100" s="325">
        <f>6*20</f>
        <v>120</v>
      </c>
    </row>
    <row r="101" spans="1:24" ht="26.25" customHeight="1" thickBot="1" x14ac:dyDescent="0.3">
      <c r="B101" s="15">
        <v>32</v>
      </c>
      <c r="C101" s="6" t="s">
        <v>18</v>
      </c>
      <c r="D101" s="21" t="s">
        <v>9</v>
      </c>
      <c r="E101" s="161" t="s">
        <v>65</v>
      </c>
      <c r="F101" s="137">
        <v>406</v>
      </c>
      <c r="G101" s="12" t="s">
        <v>0</v>
      </c>
      <c r="H101" s="36">
        <v>140</v>
      </c>
      <c r="I101" s="274">
        <v>1814.4</v>
      </c>
      <c r="J101" s="36">
        <f t="shared" si="23"/>
        <v>0</v>
      </c>
      <c r="K101" s="225">
        <f t="shared" si="29"/>
        <v>12.96</v>
      </c>
      <c r="L101" s="154">
        <f>K101*J401</f>
        <v>0</v>
      </c>
      <c r="M101" s="121"/>
      <c r="N101" s="200"/>
      <c r="O101" s="36">
        <v>140</v>
      </c>
      <c r="P101" s="225">
        <f t="shared" si="30"/>
        <v>1814.4</v>
      </c>
      <c r="Q101" s="182" t="str">
        <f t="shared" si="17"/>
        <v>ЭПГ110.148(П120х35х34)</v>
      </c>
      <c r="R101" s="223">
        <f t="shared" si="28"/>
        <v>16.2</v>
      </c>
      <c r="S101" s="249">
        <v>13.5</v>
      </c>
      <c r="T101" s="268">
        <f t="shared" si="25"/>
        <v>0</v>
      </c>
      <c r="U101" s="116">
        <f>12*14+12-7*14</f>
        <v>82</v>
      </c>
      <c r="V101" s="18">
        <f t="shared" si="24"/>
        <v>0</v>
      </c>
      <c r="W101" s="49">
        <f t="shared" si="22"/>
        <v>0</v>
      </c>
      <c r="X101" s="325">
        <f>12*14+12-7*14</f>
        <v>82</v>
      </c>
    </row>
    <row r="102" spans="1:24" ht="26.25" hidden="1" customHeight="1" x14ac:dyDescent="0.25">
      <c r="B102" s="14"/>
      <c r="C102" s="6" t="s">
        <v>18</v>
      </c>
      <c r="D102" s="21" t="s">
        <v>9</v>
      </c>
      <c r="E102" s="139" t="s">
        <v>250</v>
      </c>
      <c r="F102" s="191">
        <v>829</v>
      </c>
      <c r="G102" s="12" t="s">
        <v>0</v>
      </c>
      <c r="H102" s="36"/>
      <c r="I102" s="225">
        <v>0</v>
      </c>
      <c r="J102" s="36">
        <f t="shared" si="23"/>
        <v>0</v>
      </c>
      <c r="K102" s="225">
        <f t="shared" si="29"/>
        <v>7.2</v>
      </c>
      <c r="L102" s="154">
        <f>K102*J402</f>
        <v>0</v>
      </c>
      <c r="M102" s="85"/>
      <c r="N102" s="200"/>
      <c r="O102" s="36"/>
      <c r="P102" s="344">
        <f t="shared" si="30"/>
        <v>0</v>
      </c>
      <c r="Q102" s="183" t="str">
        <f t="shared" si="17"/>
        <v>П40х40х10</v>
      </c>
      <c r="R102" s="288">
        <f t="shared" si="28"/>
        <v>9</v>
      </c>
      <c r="S102" s="235">
        <v>7.5</v>
      </c>
      <c r="T102" s="268">
        <f t="shared" ref="T102:T135" si="31">S102*J102</f>
        <v>0</v>
      </c>
      <c r="U102" s="16">
        <v>100</v>
      </c>
      <c r="V102" s="18">
        <f t="shared" ref="V102:V133" si="32">N102</f>
        <v>0</v>
      </c>
      <c r="W102" s="49">
        <f t="shared" si="22"/>
        <v>0</v>
      </c>
      <c r="X102" s="16">
        <v>100</v>
      </c>
    </row>
    <row r="103" spans="1:24" s="4" customFormat="1" ht="26.25" hidden="1" customHeight="1" x14ac:dyDescent="0.25">
      <c r="A103" s="10"/>
      <c r="B103" s="14"/>
      <c r="C103" s="6" t="s">
        <v>18</v>
      </c>
      <c r="D103" s="21" t="s">
        <v>9</v>
      </c>
      <c r="E103" s="139" t="s">
        <v>578</v>
      </c>
      <c r="F103" s="295">
        <v>1424</v>
      </c>
      <c r="G103" s="12"/>
      <c r="H103" s="36"/>
      <c r="I103" s="274">
        <v>0</v>
      </c>
      <c r="J103" s="36">
        <f t="shared" si="23"/>
        <v>0</v>
      </c>
      <c r="K103" s="225">
        <f t="shared" si="29"/>
        <v>3.55</v>
      </c>
      <c r="L103" s="154">
        <f>K103*J403</f>
        <v>1065</v>
      </c>
      <c r="M103" s="133"/>
      <c r="N103" s="200"/>
      <c r="O103" s="353"/>
      <c r="P103" s="225">
        <f t="shared" si="30"/>
        <v>0</v>
      </c>
      <c r="Q103" s="159" t="str">
        <f t="shared" si="17"/>
        <v>П40х25х10</v>
      </c>
      <c r="R103" s="288">
        <f t="shared" si="28"/>
        <v>4.4400000000000004</v>
      </c>
      <c r="S103" s="235">
        <v>3.7</v>
      </c>
      <c r="T103" s="268">
        <f t="shared" si="31"/>
        <v>0</v>
      </c>
      <c r="U103" s="16"/>
      <c r="V103" s="18">
        <f t="shared" si="32"/>
        <v>0</v>
      </c>
      <c r="W103" s="49">
        <f t="shared" si="22"/>
        <v>0</v>
      </c>
      <c r="X103" s="16"/>
    </row>
    <row r="104" spans="1:24" s="4" customFormat="1" ht="26.25" hidden="1" customHeight="1" x14ac:dyDescent="0.25">
      <c r="A104" s="10"/>
      <c r="B104" s="15"/>
      <c r="C104" s="6" t="s">
        <v>18</v>
      </c>
      <c r="D104" s="21" t="s">
        <v>9</v>
      </c>
      <c r="E104" s="139" t="s">
        <v>456</v>
      </c>
      <c r="F104" s="191"/>
      <c r="G104" s="12"/>
      <c r="H104" s="36"/>
      <c r="I104" s="225">
        <v>0</v>
      </c>
      <c r="J104" s="36">
        <f t="shared" si="23"/>
        <v>0</v>
      </c>
      <c r="K104" s="225">
        <f t="shared" si="29"/>
        <v>2.2999999999999998</v>
      </c>
      <c r="L104" s="154">
        <f>K104*J405</f>
        <v>0</v>
      </c>
      <c r="M104" s="85"/>
      <c r="N104" s="200"/>
      <c r="O104" s="36"/>
      <c r="P104" s="344">
        <f t="shared" si="30"/>
        <v>0</v>
      </c>
      <c r="Q104" s="159" t="str">
        <f t="shared" si="17"/>
        <v>30М7115.01.30.007(П27х24х27)</v>
      </c>
      <c r="R104" s="288">
        <f t="shared" si="28"/>
        <v>2.87</v>
      </c>
      <c r="S104" s="235">
        <v>2.39</v>
      </c>
      <c r="T104" s="268">
        <f t="shared" si="31"/>
        <v>0</v>
      </c>
      <c r="U104" s="16"/>
      <c r="V104" s="18">
        <f t="shared" si="32"/>
        <v>0</v>
      </c>
      <c r="W104" s="49">
        <f t="shared" si="22"/>
        <v>0</v>
      </c>
      <c r="X104" s="16"/>
    </row>
    <row r="105" spans="1:24" s="4" customFormat="1" ht="26.25" hidden="1" customHeight="1" x14ac:dyDescent="0.25">
      <c r="A105" s="10"/>
      <c r="B105" s="15"/>
      <c r="C105" s="6" t="s">
        <v>18</v>
      </c>
      <c r="D105" s="21" t="s">
        <v>9</v>
      </c>
      <c r="E105" s="1" t="s">
        <v>477</v>
      </c>
      <c r="F105" s="295">
        <v>1075</v>
      </c>
      <c r="G105" s="12"/>
      <c r="H105" s="36"/>
      <c r="I105" s="274">
        <v>0</v>
      </c>
      <c r="J105" s="36">
        <f t="shared" si="23"/>
        <v>0</v>
      </c>
      <c r="K105" s="225">
        <f t="shared" si="29"/>
        <v>3.89</v>
      </c>
      <c r="L105" s="154">
        <f>K105*J406</f>
        <v>0</v>
      </c>
      <c r="M105" s="133"/>
      <c r="N105" s="200"/>
      <c r="O105" s="36"/>
      <c r="P105" s="335">
        <f t="shared" si="30"/>
        <v>0</v>
      </c>
      <c r="Q105" s="48" t="str">
        <f t="shared" si="17"/>
        <v>П50х55х10</v>
      </c>
      <c r="R105" s="288">
        <f t="shared" si="28"/>
        <v>4.8600000000000003</v>
      </c>
      <c r="S105" s="235">
        <v>4.05</v>
      </c>
      <c r="T105" s="268">
        <f t="shared" si="31"/>
        <v>0</v>
      </c>
      <c r="U105" s="16"/>
      <c r="V105" s="18">
        <f t="shared" si="32"/>
        <v>0</v>
      </c>
      <c r="W105" s="49">
        <f t="shared" si="22"/>
        <v>0</v>
      </c>
      <c r="X105" s="16"/>
    </row>
    <row r="106" spans="1:24" ht="26.25" hidden="1" customHeight="1" x14ac:dyDescent="0.25">
      <c r="B106" s="15"/>
      <c r="C106" s="6" t="s">
        <v>18</v>
      </c>
      <c r="D106" s="21" t="s">
        <v>9</v>
      </c>
      <c r="E106" s="161" t="s">
        <v>631</v>
      </c>
      <c r="F106" s="294">
        <v>1360</v>
      </c>
      <c r="G106" s="12" t="s">
        <v>0</v>
      </c>
      <c r="H106" s="36"/>
      <c r="I106" s="274">
        <v>0</v>
      </c>
      <c r="J106" s="36">
        <f t="shared" si="23"/>
        <v>0</v>
      </c>
      <c r="K106" s="225">
        <f t="shared" si="29"/>
        <v>2.54</v>
      </c>
      <c r="L106" s="154">
        <f>K106*J407</f>
        <v>0</v>
      </c>
      <c r="M106" s="78"/>
      <c r="N106" s="200"/>
      <c r="O106" s="353"/>
      <c r="P106" s="225">
        <f t="shared" si="30"/>
        <v>0</v>
      </c>
      <c r="Q106" s="159" t="str">
        <f t="shared" si="17"/>
        <v>П60х20х7</v>
      </c>
      <c r="R106" s="288">
        <f t="shared" si="28"/>
        <v>3.18</v>
      </c>
      <c r="S106" s="236">
        <v>2.65</v>
      </c>
      <c r="T106" s="268">
        <f t="shared" si="31"/>
        <v>0</v>
      </c>
      <c r="U106" s="320">
        <v>52</v>
      </c>
      <c r="V106" s="18">
        <f t="shared" si="32"/>
        <v>0</v>
      </c>
      <c r="W106" s="49">
        <f t="shared" si="22"/>
        <v>0</v>
      </c>
      <c r="X106" s="16">
        <v>52</v>
      </c>
    </row>
    <row r="107" spans="1:24" ht="26.25" hidden="1" customHeight="1" thickBot="1" x14ac:dyDescent="0.3">
      <c r="B107" s="15"/>
      <c r="C107" s="6" t="s">
        <v>18</v>
      </c>
      <c r="D107" s="21" t="s">
        <v>9</v>
      </c>
      <c r="E107" s="161" t="s">
        <v>428</v>
      </c>
      <c r="F107" s="191"/>
      <c r="G107" s="12"/>
      <c r="H107" s="36"/>
      <c r="I107" s="225">
        <v>0</v>
      </c>
      <c r="J107" s="36">
        <f t="shared" si="23"/>
        <v>0</v>
      </c>
      <c r="K107" s="225"/>
      <c r="L107" s="154"/>
      <c r="M107" s="78"/>
      <c r="N107" s="200"/>
      <c r="O107" s="36"/>
      <c r="P107" s="344">
        <f t="shared" si="30"/>
        <v>0</v>
      </c>
      <c r="Q107" s="184" t="str">
        <f t="shared" si="17"/>
        <v>П30х30х9</v>
      </c>
      <c r="R107" s="288">
        <f t="shared" si="28"/>
        <v>0</v>
      </c>
      <c r="S107" s="236">
        <v>0</v>
      </c>
      <c r="T107" s="268">
        <f t="shared" si="31"/>
        <v>0</v>
      </c>
      <c r="U107" s="16">
        <v>40</v>
      </c>
      <c r="V107" s="18">
        <f t="shared" si="32"/>
        <v>0</v>
      </c>
      <c r="W107" s="49">
        <f t="shared" si="22"/>
        <v>0</v>
      </c>
      <c r="X107" s="16">
        <v>40</v>
      </c>
    </row>
    <row r="108" spans="1:24" ht="26.25" hidden="1" customHeight="1" x14ac:dyDescent="0.25">
      <c r="B108" s="15"/>
      <c r="C108" s="6" t="s">
        <v>18</v>
      </c>
      <c r="D108" s="21" t="s">
        <v>9</v>
      </c>
      <c r="E108" s="161" t="s">
        <v>723</v>
      </c>
      <c r="F108" s="368">
        <v>1496</v>
      </c>
      <c r="G108" s="45" t="s">
        <v>0</v>
      </c>
      <c r="H108" s="36"/>
      <c r="I108" s="274">
        <v>0</v>
      </c>
      <c r="J108" s="36">
        <f t="shared" si="23"/>
        <v>0</v>
      </c>
      <c r="K108" s="225">
        <f>R108*0.8</f>
        <v>4.8</v>
      </c>
      <c r="L108" s="154"/>
      <c r="M108" s="212"/>
      <c r="N108" s="200"/>
      <c r="O108" s="36"/>
      <c r="P108" s="274">
        <f t="shared" si="30"/>
        <v>0</v>
      </c>
      <c r="Q108" s="313" t="str">
        <f t="shared" si="17"/>
        <v>П70х15х8</v>
      </c>
      <c r="R108" s="223">
        <f t="shared" si="28"/>
        <v>6</v>
      </c>
      <c r="S108" s="236">
        <v>5</v>
      </c>
      <c r="T108" s="268">
        <f t="shared" si="31"/>
        <v>0</v>
      </c>
      <c r="U108" s="320"/>
      <c r="V108" s="18">
        <f t="shared" si="32"/>
        <v>0</v>
      </c>
      <c r="W108" s="49">
        <f t="shared" si="22"/>
        <v>0</v>
      </c>
      <c r="X108" s="16"/>
    </row>
    <row r="109" spans="1:24" ht="26.25" customHeight="1" x14ac:dyDescent="0.25">
      <c r="B109" s="15">
        <v>33</v>
      </c>
      <c r="C109" s="6" t="s">
        <v>18</v>
      </c>
      <c r="D109" s="21" t="s">
        <v>9</v>
      </c>
      <c r="E109" s="139" t="s">
        <v>160</v>
      </c>
      <c r="F109" s="135" t="s">
        <v>218</v>
      </c>
      <c r="G109" s="12" t="s">
        <v>0</v>
      </c>
      <c r="H109" s="36">
        <v>346</v>
      </c>
      <c r="I109" s="274">
        <v>1328.64</v>
      </c>
      <c r="J109" s="36">
        <f t="shared" si="23"/>
        <v>254</v>
      </c>
      <c r="K109" s="225">
        <f>R109*0.8</f>
        <v>2.5</v>
      </c>
      <c r="L109" s="154">
        <v>6</v>
      </c>
      <c r="M109" s="126"/>
      <c r="N109" s="200">
        <v>600</v>
      </c>
      <c r="O109" s="36"/>
      <c r="P109" s="225">
        <f t="shared" si="30"/>
        <v>0</v>
      </c>
      <c r="Q109" s="159" t="str">
        <f t="shared" si="17"/>
        <v>П84х64х14</v>
      </c>
      <c r="R109" s="223">
        <f t="shared" si="28"/>
        <v>3.12</v>
      </c>
      <c r="S109" s="248">
        <v>2.6</v>
      </c>
      <c r="T109" s="268">
        <f t="shared" si="31"/>
        <v>660.4</v>
      </c>
      <c r="U109" s="16"/>
      <c r="V109" s="18">
        <f t="shared" si="32"/>
        <v>600</v>
      </c>
      <c r="W109" s="49">
        <f t="shared" si="22"/>
        <v>600</v>
      </c>
      <c r="X109" s="16"/>
    </row>
    <row r="110" spans="1:24" ht="26.25" hidden="1" customHeight="1" x14ac:dyDescent="0.25">
      <c r="B110" s="15"/>
      <c r="C110" s="6" t="s">
        <v>18</v>
      </c>
      <c r="D110" s="21" t="s">
        <v>395</v>
      </c>
      <c r="E110" s="83" t="s">
        <v>160</v>
      </c>
      <c r="F110" s="138" t="s">
        <v>342</v>
      </c>
      <c r="G110" s="45"/>
      <c r="H110" s="36"/>
      <c r="I110" s="225">
        <v>0</v>
      </c>
      <c r="J110" s="36">
        <f t="shared" si="23"/>
        <v>0</v>
      </c>
      <c r="K110" s="225">
        <f>R110*0.8</f>
        <v>2.21</v>
      </c>
      <c r="L110" s="154">
        <f>K110*J411</f>
        <v>0</v>
      </c>
      <c r="M110" s="122"/>
      <c r="N110" s="109"/>
      <c r="O110" s="36"/>
      <c r="P110" s="344">
        <f t="shared" si="30"/>
        <v>0</v>
      </c>
      <c r="Q110" s="185" t="str">
        <f t="shared" si="17"/>
        <v>П84х64х14</v>
      </c>
      <c r="R110" s="288">
        <f t="shared" si="28"/>
        <v>2.76</v>
      </c>
      <c r="S110" s="248">
        <v>2.2999999999999998</v>
      </c>
      <c r="T110" s="268">
        <f t="shared" si="31"/>
        <v>0</v>
      </c>
      <c r="U110" s="18"/>
      <c r="V110" s="18">
        <f t="shared" si="32"/>
        <v>0</v>
      </c>
      <c r="W110" s="49">
        <f t="shared" si="22"/>
        <v>600</v>
      </c>
      <c r="X110" s="325">
        <f>24*25</f>
        <v>600</v>
      </c>
    </row>
    <row r="111" spans="1:24" ht="26.25" hidden="1" customHeight="1" x14ac:dyDescent="0.25">
      <c r="B111" s="15"/>
      <c r="C111" s="6" t="s">
        <v>18</v>
      </c>
      <c r="D111" s="21" t="s">
        <v>9</v>
      </c>
      <c r="E111" s="83" t="s">
        <v>571</v>
      </c>
      <c r="F111" s="138"/>
      <c r="G111" s="45"/>
      <c r="H111" s="36"/>
      <c r="I111" s="274"/>
      <c r="J111" s="36">
        <f t="shared" si="23"/>
        <v>0</v>
      </c>
      <c r="K111" s="225"/>
      <c r="L111" s="154"/>
      <c r="M111" s="122"/>
      <c r="N111" s="109"/>
      <c r="O111" s="36"/>
      <c r="P111" s="274"/>
      <c r="Q111" s="185" t="str">
        <f t="shared" si="17"/>
        <v>П84*64*20</v>
      </c>
      <c r="R111" s="223"/>
      <c r="S111" s="248"/>
      <c r="T111" s="268">
        <f t="shared" si="31"/>
        <v>0</v>
      </c>
      <c r="U111" s="18">
        <v>500</v>
      </c>
      <c r="V111" s="18">
        <f t="shared" si="32"/>
        <v>0</v>
      </c>
      <c r="W111" s="49"/>
      <c r="X111" s="18">
        <v>500</v>
      </c>
    </row>
    <row r="112" spans="1:24" ht="26.25" hidden="1" customHeight="1" x14ac:dyDescent="0.25">
      <c r="B112" s="15"/>
      <c r="C112" s="6" t="s">
        <v>18</v>
      </c>
      <c r="D112" s="21" t="s">
        <v>9</v>
      </c>
      <c r="E112" s="206" t="s">
        <v>484</v>
      </c>
      <c r="F112" s="138" t="s">
        <v>491</v>
      </c>
      <c r="G112" s="45"/>
      <c r="H112" s="36"/>
      <c r="I112" s="274">
        <v>0</v>
      </c>
      <c r="J112" s="36">
        <f t="shared" si="23"/>
        <v>0</v>
      </c>
      <c r="K112" s="225">
        <f>R112*0.8</f>
        <v>9.98</v>
      </c>
      <c r="L112" s="154">
        <f>K112*J413</f>
        <v>0</v>
      </c>
      <c r="M112" s="87"/>
      <c r="N112" s="200"/>
      <c r="O112" s="36"/>
      <c r="P112" s="274">
        <f t="shared" ref="P112:P132" si="33">K112*O112</f>
        <v>0</v>
      </c>
      <c r="Q112" s="48" t="str">
        <f t="shared" si="17"/>
        <v>П98х32х42</v>
      </c>
      <c r="R112" s="223">
        <f t="shared" ref="R112:R143" si="34">S112*1.2</f>
        <v>12.48</v>
      </c>
      <c r="S112" s="248">
        <v>10.4</v>
      </c>
      <c r="T112" s="268">
        <f t="shared" si="31"/>
        <v>0</v>
      </c>
      <c r="U112" s="18"/>
      <c r="V112" s="18">
        <f t="shared" si="32"/>
        <v>0</v>
      </c>
      <c r="W112" s="49">
        <f t="shared" ref="W112:W143" si="35">X112-U112+V112</f>
        <v>0</v>
      </c>
      <c r="X112" s="18"/>
    </row>
    <row r="113" spans="1:41" ht="26.25" hidden="1" customHeight="1" x14ac:dyDescent="0.25">
      <c r="B113" s="14"/>
      <c r="C113" s="6" t="s">
        <v>18</v>
      </c>
      <c r="D113" s="21" t="s">
        <v>9</v>
      </c>
      <c r="E113" s="206" t="s">
        <v>193</v>
      </c>
      <c r="F113" s="138" t="s">
        <v>492</v>
      </c>
      <c r="G113" s="45"/>
      <c r="H113" s="36"/>
      <c r="I113" s="274">
        <v>0</v>
      </c>
      <c r="J113" s="36">
        <f t="shared" si="23"/>
        <v>0</v>
      </c>
      <c r="K113" s="225">
        <f>R113*0.8</f>
        <v>9.98</v>
      </c>
      <c r="L113" s="154">
        <f>K113*J414</f>
        <v>0</v>
      </c>
      <c r="M113" s="131"/>
      <c r="N113" s="200"/>
      <c r="O113" s="36"/>
      <c r="P113" s="274">
        <f t="shared" si="33"/>
        <v>0</v>
      </c>
      <c r="Q113" s="48" t="str">
        <f t="shared" si="17"/>
        <v>П98х42х32</v>
      </c>
      <c r="R113" s="223">
        <f t="shared" si="34"/>
        <v>12.48</v>
      </c>
      <c r="S113" s="248">
        <v>10.4</v>
      </c>
      <c r="T113" s="268">
        <f t="shared" si="31"/>
        <v>0</v>
      </c>
      <c r="U113" s="18"/>
      <c r="V113" s="18">
        <f t="shared" si="32"/>
        <v>0</v>
      </c>
      <c r="W113" s="49">
        <f t="shared" si="35"/>
        <v>0</v>
      </c>
      <c r="X113" s="18"/>
    </row>
    <row r="114" spans="1:41" ht="29.25" customHeight="1" x14ac:dyDescent="0.25">
      <c r="B114" s="14">
        <v>34</v>
      </c>
      <c r="C114" s="6" t="s">
        <v>18</v>
      </c>
      <c r="D114" s="21" t="s">
        <v>9</v>
      </c>
      <c r="E114" s="139" t="s">
        <v>396</v>
      </c>
      <c r="F114" s="135" t="s">
        <v>400</v>
      </c>
      <c r="G114" s="12" t="s">
        <v>0</v>
      </c>
      <c r="H114" s="36">
        <v>2100</v>
      </c>
      <c r="I114" s="225">
        <v>4221</v>
      </c>
      <c r="J114" s="36">
        <f t="shared" si="23"/>
        <v>4400</v>
      </c>
      <c r="K114" s="225">
        <f>R114*0.8</f>
        <v>2.0099999999999998</v>
      </c>
      <c r="L114" s="154"/>
      <c r="M114" s="126"/>
      <c r="N114" s="200">
        <v>3500</v>
      </c>
      <c r="O114" s="36">
        <v>3000</v>
      </c>
      <c r="P114" s="225">
        <f t="shared" si="33"/>
        <v>6030</v>
      </c>
      <c r="Q114" s="185" t="str">
        <f t="shared" si="17"/>
        <v>ЕАЖИ 757.155.066 (пластина)</v>
      </c>
      <c r="R114" s="223">
        <f t="shared" si="34"/>
        <v>2.5099999999999998</v>
      </c>
      <c r="S114" s="248">
        <f>63.4*0.033</f>
        <v>2.09</v>
      </c>
      <c r="T114" s="268">
        <f t="shared" si="31"/>
        <v>9196</v>
      </c>
      <c r="U114" s="116">
        <v>1500</v>
      </c>
      <c r="V114" s="18">
        <f t="shared" si="32"/>
        <v>3500</v>
      </c>
      <c r="W114" s="49">
        <f t="shared" si="35"/>
        <v>2000</v>
      </c>
      <c r="X114" s="18"/>
    </row>
    <row r="115" spans="1:41" ht="33" customHeight="1" x14ac:dyDescent="0.25">
      <c r="B115" s="15">
        <v>35</v>
      </c>
      <c r="C115" s="6" t="s">
        <v>18</v>
      </c>
      <c r="D115" s="21" t="s">
        <v>9</v>
      </c>
      <c r="E115" s="139" t="s">
        <v>397</v>
      </c>
      <c r="F115" s="135" t="s">
        <v>434</v>
      </c>
      <c r="G115" s="12" t="s">
        <v>0</v>
      </c>
      <c r="H115" s="36">
        <v>1560</v>
      </c>
      <c r="I115" s="274">
        <v>3135.6</v>
      </c>
      <c r="J115" s="36">
        <f t="shared" si="23"/>
        <v>4440</v>
      </c>
      <c r="K115" s="225">
        <f>R115*0.8</f>
        <v>2.0099999999999998</v>
      </c>
      <c r="L115" s="154"/>
      <c r="M115" s="121"/>
      <c r="N115" s="200">
        <v>3000</v>
      </c>
      <c r="O115" s="353">
        <v>3000</v>
      </c>
      <c r="P115" s="225">
        <f t="shared" si="33"/>
        <v>6030</v>
      </c>
      <c r="Q115" s="159" t="str">
        <f t="shared" si="17"/>
        <v>ЕАЖИ 757.156.066 (замыкающая)</v>
      </c>
      <c r="R115" s="223">
        <f t="shared" si="34"/>
        <v>2.5099999999999998</v>
      </c>
      <c r="S115" s="248">
        <f>63.4*0.033</f>
        <v>2.09</v>
      </c>
      <c r="T115" s="268">
        <f t="shared" si="31"/>
        <v>9279.6</v>
      </c>
      <c r="U115" s="116">
        <f>52*30</f>
        <v>1560</v>
      </c>
      <c r="V115" s="18">
        <f t="shared" si="32"/>
        <v>3000</v>
      </c>
      <c r="W115" s="49">
        <f t="shared" si="35"/>
        <v>1530</v>
      </c>
      <c r="X115" s="18">
        <f>3*30</f>
        <v>90</v>
      </c>
    </row>
    <row r="116" spans="1:41" ht="26.25" hidden="1" customHeight="1" x14ac:dyDescent="0.25">
      <c r="B116" s="14"/>
      <c r="C116" s="6" t="s">
        <v>18</v>
      </c>
      <c r="D116" s="21" t="s">
        <v>9</v>
      </c>
      <c r="E116" s="139" t="s">
        <v>308</v>
      </c>
      <c r="F116" s="138"/>
      <c r="G116" s="45"/>
      <c r="H116" s="36"/>
      <c r="I116" s="225">
        <v>0</v>
      </c>
      <c r="J116" s="36">
        <f t="shared" si="23"/>
        <v>0</v>
      </c>
      <c r="K116" s="225"/>
      <c r="L116" s="154"/>
      <c r="M116" s="60"/>
      <c r="N116" s="200"/>
      <c r="O116" s="36"/>
      <c r="P116" s="344">
        <f t="shared" si="33"/>
        <v>0</v>
      </c>
      <c r="Q116" s="185" t="str">
        <f t="shared" si="17"/>
        <v>П98х23х30</v>
      </c>
      <c r="R116" s="223">
        <f t="shared" si="34"/>
        <v>0</v>
      </c>
      <c r="S116" s="248">
        <v>0</v>
      </c>
      <c r="T116" s="268">
        <f t="shared" si="31"/>
        <v>0</v>
      </c>
      <c r="U116" s="18">
        <v>300</v>
      </c>
      <c r="V116" s="18">
        <f t="shared" si="32"/>
        <v>0</v>
      </c>
      <c r="W116" s="49">
        <f t="shared" si="35"/>
        <v>0</v>
      </c>
      <c r="X116" s="18">
        <v>300</v>
      </c>
    </row>
    <row r="117" spans="1:41" s="4" customFormat="1" ht="26.25" hidden="1" customHeight="1" x14ac:dyDescent="0.25">
      <c r="A117" s="10"/>
      <c r="B117" s="11"/>
      <c r="C117" s="6" t="s">
        <v>18</v>
      </c>
      <c r="D117" s="21" t="s">
        <v>9</v>
      </c>
      <c r="E117" s="139" t="s">
        <v>710</v>
      </c>
      <c r="F117" s="298" t="s">
        <v>716</v>
      </c>
      <c r="G117" s="12" t="s">
        <v>0</v>
      </c>
      <c r="H117" s="36"/>
      <c r="I117" s="274">
        <v>0</v>
      </c>
      <c r="J117" s="36">
        <f t="shared" si="23"/>
        <v>0</v>
      </c>
      <c r="K117" s="225">
        <f>R117*0.8</f>
        <v>6.82</v>
      </c>
      <c r="L117" s="154"/>
      <c r="M117" s="65"/>
      <c r="N117" s="200"/>
      <c r="O117" s="36"/>
      <c r="P117" s="274">
        <f t="shared" si="33"/>
        <v>0</v>
      </c>
      <c r="Q117" s="323" t="str">
        <f t="shared" si="17"/>
        <v>П100х30х15</v>
      </c>
      <c r="R117" s="223">
        <f t="shared" si="34"/>
        <v>8.52</v>
      </c>
      <c r="S117" s="236">
        <v>7.1</v>
      </c>
      <c r="T117" s="268">
        <f t="shared" si="31"/>
        <v>0</v>
      </c>
      <c r="U117" s="18"/>
      <c r="V117" s="18">
        <f t="shared" si="32"/>
        <v>0</v>
      </c>
      <c r="W117" s="49">
        <f t="shared" si="35"/>
        <v>0</v>
      </c>
      <c r="X117" s="18"/>
    </row>
    <row r="118" spans="1:41" ht="26.25" customHeight="1" x14ac:dyDescent="0.25">
      <c r="B118" s="15">
        <v>36</v>
      </c>
      <c r="C118" s="6" t="s">
        <v>18</v>
      </c>
      <c r="D118" s="21" t="s">
        <v>9</v>
      </c>
      <c r="E118" s="40" t="s">
        <v>380</v>
      </c>
      <c r="F118" s="137">
        <v>1062</v>
      </c>
      <c r="G118" s="12" t="s">
        <v>0</v>
      </c>
      <c r="H118" s="36">
        <v>790</v>
      </c>
      <c r="I118" s="274">
        <v>3586.6</v>
      </c>
      <c r="J118" s="36">
        <f t="shared" si="23"/>
        <v>0</v>
      </c>
      <c r="K118" s="225">
        <v>4.54</v>
      </c>
      <c r="L118" s="154"/>
      <c r="N118" s="200"/>
      <c r="O118" s="36">
        <v>790</v>
      </c>
      <c r="P118" s="225">
        <f t="shared" si="33"/>
        <v>3586.6</v>
      </c>
      <c r="Q118" s="159" t="str">
        <f t="shared" ref="Q118:Q181" si="36">E118</f>
        <v>П98х64х14</v>
      </c>
      <c r="R118" s="223">
        <f t="shared" si="34"/>
        <v>7.08</v>
      </c>
      <c r="S118" s="237">
        <v>5.9</v>
      </c>
      <c r="T118" s="268">
        <f t="shared" si="31"/>
        <v>0</v>
      </c>
      <c r="U118" s="16"/>
      <c r="V118" s="18">
        <f t="shared" si="32"/>
        <v>0</v>
      </c>
      <c r="W118" s="49">
        <f t="shared" si="35"/>
        <v>0</v>
      </c>
      <c r="X118" s="16"/>
    </row>
    <row r="119" spans="1:41" ht="26.25" customHeight="1" x14ac:dyDescent="0.25">
      <c r="B119" s="15">
        <v>37</v>
      </c>
      <c r="C119" s="6" t="s">
        <v>18</v>
      </c>
      <c r="D119" s="21" t="s">
        <v>141</v>
      </c>
      <c r="E119" s="96" t="s">
        <v>1</v>
      </c>
      <c r="F119" s="135" t="s">
        <v>64</v>
      </c>
      <c r="G119" s="12" t="s">
        <v>0</v>
      </c>
      <c r="H119" s="36">
        <v>3000</v>
      </c>
      <c r="I119" s="274">
        <v>630</v>
      </c>
      <c r="J119" s="36">
        <f t="shared" si="23"/>
        <v>10200</v>
      </c>
      <c r="K119" s="225">
        <f>R119*0.8</f>
        <v>0.23</v>
      </c>
      <c r="L119" s="154">
        <f t="shared" ref="L119:L127" si="37">K119*J420</f>
        <v>0</v>
      </c>
      <c r="M119" s="121"/>
      <c r="N119" s="109">
        <v>7200</v>
      </c>
      <c r="O119" s="36">
        <v>6000</v>
      </c>
      <c r="P119" s="225">
        <f t="shared" si="33"/>
        <v>1380</v>
      </c>
      <c r="Q119" s="159" t="str">
        <f t="shared" si="36"/>
        <v>ОТИБ 757.151.001</v>
      </c>
      <c r="R119" s="288">
        <f t="shared" si="34"/>
        <v>0.28999999999999998</v>
      </c>
      <c r="S119" s="235">
        <v>0.24</v>
      </c>
      <c r="T119" s="268">
        <f t="shared" si="31"/>
        <v>2448</v>
      </c>
      <c r="U119" s="115">
        <f>3*600</f>
        <v>1800</v>
      </c>
      <c r="V119" s="18">
        <f t="shared" si="32"/>
        <v>7200</v>
      </c>
      <c r="W119" s="49">
        <f t="shared" si="35"/>
        <v>11400</v>
      </c>
      <c r="X119" s="397">
        <f>10*600</f>
        <v>6000</v>
      </c>
    </row>
    <row r="120" spans="1:41" ht="26.25" customHeight="1" x14ac:dyDescent="0.25">
      <c r="B120" s="11">
        <v>38</v>
      </c>
      <c r="C120" s="6" t="s">
        <v>18</v>
      </c>
      <c r="D120" s="21" t="s">
        <v>141</v>
      </c>
      <c r="E120" s="96" t="s">
        <v>2</v>
      </c>
      <c r="F120" s="135" t="s">
        <v>63</v>
      </c>
      <c r="G120" s="12" t="s">
        <v>0</v>
      </c>
      <c r="H120" s="36">
        <v>3000</v>
      </c>
      <c r="I120" s="274">
        <v>1050</v>
      </c>
      <c r="J120" s="36">
        <f t="shared" si="23"/>
        <v>10200</v>
      </c>
      <c r="K120" s="225">
        <f>R120*0.8</f>
        <v>0.38</v>
      </c>
      <c r="L120" s="154">
        <f t="shared" si="37"/>
        <v>0</v>
      </c>
      <c r="M120" s="126"/>
      <c r="N120" s="109">
        <v>7200</v>
      </c>
      <c r="O120" s="36">
        <v>6000</v>
      </c>
      <c r="P120" s="225">
        <f t="shared" si="33"/>
        <v>2280</v>
      </c>
      <c r="Q120" s="159" t="str">
        <f t="shared" si="36"/>
        <v>ОТИБ 757.152.001</v>
      </c>
      <c r="R120" s="288">
        <f t="shared" si="34"/>
        <v>0.48</v>
      </c>
      <c r="S120" s="235">
        <v>0.4</v>
      </c>
      <c r="T120" s="268">
        <f t="shared" si="31"/>
        <v>4080</v>
      </c>
      <c r="U120" s="115">
        <f>3*600</f>
        <v>1800</v>
      </c>
      <c r="V120" s="18">
        <f t="shared" si="32"/>
        <v>7200</v>
      </c>
      <c r="W120" s="49">
        <f t="shared" si="35"/>
        <v>11400</v>
      </c>
      <c r="X120" s="397">
        <f>10*600</f>
        <v>6000</v>
      </c>
    </row>
    <row r="121" spans="1:41" ht="26.25" customHeight="1" x14ac:dyDescent="0.25">
      <c r="B121" s="11">
        <v>39</v>
      </c>
      <c r="C121" s="6" t="s">
        <v>18</v>
      </c>
      <c r="D121" s="21" t="s">
        <v>141</v>
      </c>
      <c r="E121" s="96" t="s">
        <v>35</v>
      </c>
      <c r="F121" s="135" t="s">
        <v>51</v>
      </c>
      <c r="G121" s="12" t="s">
        <v>0</v>
      </c>
      <c r="H121" s="36">
        <v>1300</v>
      </c>
      <c r="I121" s="274">
        <v>832</v>
      </c>
      <c r="J121" s="36">
        <f t="shared" si="23"/>
        <v>300</v>
      </c>
      <c r="K121" s="225">
        <v>0.64</v>
      </c>
      <c r="L121" s="154">
        <f t="shared" si="37"/>
        <v>0</v>
      </c>
      <c r="M121" s="128"/>
      <c r="N121" s="111">
        <v>1000</v>
      </c>
      <c r="O121" s="36">
        <v>600</v>
      </c>
      <c r="P121" s="225">
        <f t="shared" si="33"/>
        <v>384</v>
      </c>
      <c r="Q121" s="159" t="str">
        <f t="shared" si="36"/>
        <v>КЦИР 757.125.001-04</v>
      </c>
      <c r="R121" s="223">
        <f t="shared" si="34"/>
        <v>1.21</v>
      </c>
      <c r="S121" s="235">
        <v>1.01</v>
      </c>
      <c r="T121" s="268">
        <f t="shared" si="31"/>
        <v>303</v>
      </c>
      <c r="U121" s="116">
        <f>100*10</f>
        <v>1000</v>
      </c>
      <c r="V121" s="18">
        <f t="shared" si="32"/>
        <v>1000</v>
      </c>
      <c r="W121" s="49">
        <f t="shared" si="35"/>
        <v>600</v>
      </c>
      <c r="X121" s="325">
        <v>600</v>
      </c>
    </row>
    <row r="122" spans="1:41" s="4" customFormat="1" ht="26.25" hidden="1" customHeight="1" x14ac:dyDescent="0.25">
      <c r="A122" s="10"/>
      <c r="B122" s="11"/>
      <c r="C122" s="6" t="s">
        <v>18</v>
      </c>
      <c r="D122" s="21" t="s">
        <v>141</v>
      </c>
      <c r="E122" s="1" t="s">
        <v>340</v>
      </c>
      <c r="F122" s="298" t="s">
        <v>343</v>
      </c>
      <c r="G122" s="45" t="s">
        <v>0</v>
      </c>
      <c r="H122" s="36">
        <v>0</v>
      </c>
      <c r="I122" s="225">
        <v>0</v>
      </c>
      <c r="J122" s="36">
        <f t="shared" si="23"/>
        <v>0</v>
      </c>
      <c r="K122" s="225">
        <f>R122/1.4</f>
        <v>0.34</v>
      </c>
      <c r="L122" s="154">
        <f t="shared" si="37"/>
        <v>0</v>
      </c>
      <c r="M122" s="85"/>
      <c r="N122" s="109"/>
      <c r="O122" s="36">
        <v>0</v>
      </c>
      <c r="P122" s="357">
        <f t="shared" si="33"/>
        <v>0</v>
      </c>
      <c r="Q122" s="185" t="str">
        <f t="shared" si="36"/>
        <v>К19,5х10,2х3,2</v>
      </c>
      <c r="R122" s="288">
        <f t="shared" si="34"/>
        <v>0.48</v>
      </c>
      <c r="S122" s="238">
        <v>0.4</v>
      </c>
      <c r="T122" s="268">
        <f t="shared" si="31"/>
        <v>0</v>
      </c>
      <c r="U122" s="16">
        <v>0</v>
      </c>
      <c r="V122" s="18">
        <f t="shared" si="32"/>
        <v>0</v>
      </c>
      <c r="W122" s="49">
        <f t="shared" si="35"/>
        <v>0</v>
      </c>
      <c r="X122" s="16">
        <v>0</v>
      </c>
    </row>
    <row r="123" spans="1:41" ht="26.25" customHeight="1" x14ac:dyDescent="0.25">
      <c r="B123" s="11">
        <v>40</v>
      </c>
      <c r="C123" s="6" t="s">
        <v>18</v>
      </c>
      <c r="D123" s="21" t="s">
        <v>141</v>
      </c>
      <c r="E123" s="96" t="s">
        <v>28</v>
      </c>
      <c r="F123" s="135" t="s">
        <v>50</v>
      </c>
      <c r="G123" s="12" t="s">
        <v>0</v>
      </c>
      <c r="H123" s="36">
        <v>7680</v>
      </c>
      <c r="I123" s="274">
        <v>1228.8</v>
      </c>
      <c r="J123" s="36">
        <f t="shared" si="23"/>
        <v>9120</v>
      </c>
      <c r="K123" s="225">
        <f>R123/1.4</f>
        <v>0.16</v>
      </c>
      <c r="L123" s="154">
        <f t="shared" si="37"/>
        <v>0</v>
      </c>
      <c r="M123" s="126"/>
      <c r="N123" s="111"/>
      <c r="O123" s="36">
        <v>16800</v>
      </c>
      <c r="P123" s="225">
        <f t="shared" si="33"/>
        <v>2688</v>
      </c>
      <c r="Q123" s="159" t="str">
        <f t="shared" si="36"/>
        <v>П10х20х33</v>
      </c>
      <c r="R123" s="223">
        <f t="shared" si="34"/>
        <v>0.23</v>
      </c>
      <c r="S123" s="235">
        <v>0.19</v>
      </c>
      <c r="T123" s="268">
        <f t="shared" si="31"/>
        <v>1732.8</v>
      </c>
      <c r="U123" s="116">
        <f>6720+2*480</f>
        <v>7680</v>
      </c>
      <c r="V123" s="18">
        <f t="shared" si="32"/>
        <v>0</v>
      </c>
      <c r="W123" s="49">
        <f t="shared" si="35"/>
        <v>9120</v>
      </c>
      <c r="X123" s="325">
        <f>23*480+12*480</f>
        <v>16800</v>
      </c>
    </row>
    <row r="124" spans="1:41" s="4" customFormat="1" ht="26.25" hidden="1" customHeight="1" x14ac:dyDescent="0.25">
      <c r="A124" s="10"/>
      <c r="B124" s="11"/>
      <c r="C124" s="6" t="s">
        <v>18</v>
      </c>
      <c r="D124" s="21" t="s">
        <v>141</v>
      </c>
      <c r="E124" s="96" t="s">
        <v>164</v>
      </c>
      <c r="F124" s="137" t="s">
        <v>163</v>
      </c>
      <c r="G124" s="45" t="s">
        <v>0</v>
      </c>
      <c r="H124" s="36"/>
      <c r="I124" s="274">
        <v>0</v>
      </c>
      <c r="J124" s="36">
        <f t="shared" si="23"/>
        <v>0</v>
      </c>
      <c r="K124" s="225">
        <f>R124/1.4</f>
        <v>0.19</v>
      </c>
      <c r="L124" s="154">
        <f t="shared" si="37"/>
        <v>0</v>
      </c>
      <c r="M124" s="133"/>
      <c r="N124" s="109"/>
      <c r="O124" s="353"/>
      <c r="P124" s="225">
        <f t="shared" si="33"/>
        <v>0</v>
      </c>
      <c r="Q124" s="159" t="str">
        <f t="shared" si="36"/>
        <v>П10х20х33-Литопласт</v>
      </c>
      <c r="R124" s="223">
        <f t="shared" si="34"/>
        <v>0.26</v>
      </c>
      <c r="S124" s="252">
        <v>0.22</v>
      </c>
      <c r="T124" s="268">
        <f t="shared" si="31"/>
        <v>0</v>
      </c>
      <c r="U124" s="18"/>
      <c r="V124" s="18">
        <f t="shared" si="32"/>
        <v>0</v>
      </c>
      <c r="W124" s="49">
        <f t="shared" si="35"/>
        <v>0</v>
      </c>
      <c r="X124" s="18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26.25" customHeight="1" x14ac:dyDescent="0.25">
      <c r="B125" s="11">
        <v>41</v>
      </c>
      <c r="C125" s="6" t="s">
        <v>18</v>
      </c>
      <c r="D125" s="21" t="s">
        <v>141</v>
      </c>
      <c r="E125" s="96" t="s">
        <v>464</v>
      </c>
      <c r="F125" s="135" t="s">
        <v>49</v>
      </c>
      <c r="G125" s="12" t="s">
        <v>0</v>
      </c>
      <c r="H125" s="36">
        <v>2326</v>
      </c>
      <c r="I125" s="274">
        <v>907.14</v>
      </c>
      <c r="J125" s="36">
        <f t="shared" si="23"/>
        <v>0</v>
      </c>
      <c r="K125" s="225">
        <f>R125/1.4</f>
        <v>0.39</v>
      </c>
      <c r="L125" s="154">
        <f t="shared" si="37"/>
        <v>0</v>
      </c>
      <c r="M125" s="133"/>
      <c r="N125" s="109"/>
      <c r="O125" s="36">
        <f>3186-260-100-500</f>
        <v>2326</v>
      </c>
      <c r="P125" s="225">
        <f t="shared" si="33"/>
        <v>907.14</v>
      </c>
      <c r="Q125" s="159" t="str">
        <f t="shared" si="36"/>
        <v>К22,4х8,9х10 ЭПГ110.138</v>
      </c>
      <c r="R125" s="223">
        <f t="shared" si="34"/>
        <v>0.55000000000000004</v>
      </c>
      <c r="S125" s="235">
        <v>0.46</v>
      </c>
      <c r="T125" s="268">
        <f t="shared" si="31"/>
        <v>0</v>
      </c>
      <c r="U125" s="18"/>
      <c r="V125" s="18">
        <f t="shared" si="32"/>
        <v>0</v>
      </c>
      <c r="W125" s="49">
        <f t="shared" si="35"/>
        <v>0</v>
      </c>
      <c r="X125" s="18"/>
    </row>
    <row r="126" spans="1:41" ht="26.25" hidden="1" customHeight="1" x14ac:dyDescent="0.25">
      <c r="B126" s="11"/>
      <c r="C126" s="6" t="s">
        <v>18</v>
      </c>
      <c r="D126" s="21" t="s">
        <v>141</v>
      </c>
      <c r="E126" s="96" t="s">
        <v>407</v>
      </c>
      <c r="F126" s="294">
        <v>1248</v>
      </c>
      <c r="G126" s="45"/>
      <c r="H126" s="36"/>
      <c r="I126" s="225">
        <v>0</v>
      </c>
      <c r="J126" s="36">
        <f t="shared" si="23"/>
        <v>0</v>
      </c>
      <c r="K126" s="225"/>
      <c r="L126" s="154">
        <f t="shared" si="37"/>
        <v>0</v>
      </c>
      <c r="M126" s="85"/>
      <c r="N126" s="111"/>
      <c r="O126" s="36"/>
      <c r="P126" s="344">
        <f t="shared" si="33"/>
        <v>0</v>
      </c>
      <c r="Q126" s="183" t="str">
        <f t="shared" si="36"/>
        <v>П20х16х2,5</v>
      </c>
      <c r="R126" s="288">
        <f t="shared" si="34"/>
        <v>0.12</v>
      </c>
      <c r="S126" s="238">
        <v>0.1</v>
      </c>
      <c r="T126" s="268">
        <f t="shared" si="31"/>
        <v>0</v>
      </c>
      <c r="U126" s="18"/>
      <c r="V126" s="18">
        <f t="shared" si="32"/>
        <v>0</v>
      </c>
      <c r="W126" s="49">
        <f t="shared" si="35"/>
        <v>0</v>
      </c>
      <c r="X126" s="18"/>
    </row>
    <row r="127" spans="1:41" ht="26.25" hidden="1" customHeight="1" x14ac:dyDescent="0.25">
      <c r="B127" s="15"/>
      <c r="C127" s="6" t="s">
        <v>128</v>
      </c>
      <c r="D127" s="21" t="s">
        <v>141</v>
      </c>
      <c r="E127" s="96" t="s">
        <v>129</v>
      </c>
      <c r="F127" s="302" t="s">
        <v>196</v>
      </c>
      <c r="G127" s="17" t="s">
        <v>0</v>
      </c>
      <c r="H127" s="36">
        <v>0</v>
      </c>
      <c r="I127" s="225">
        <v>0</v>
      </c>
      <c r="J127" s="36">
        <f t="shared" si="23"/>
        <v>0</v>
      </c>
      <c r="K127" s="225">
        <f t="shared" ref="K127:K132" si="38">R127/1.4</f>
        <v>1.59</v>
      </c>
      <c r="L127" s="154">
        <f t="shared" si="37"/>
        <v>0</v>
      </c>
      <c r="M127" s="56"/>
      <c r="N127" s="109"/>
      <c r="O127" s="36">
        <v>0</v>
      </c>
      <c r="P127" s="350">
        <f t="shared" si="33"/>
        <v>0</v>
      </c>
      <c r="Q127" s="184" t="str">
        <f t="shared" si="36"/>
        <v>К21,5х15х2 (8ПМ610.033)</v>
      </c>
      <c r="R127" s="288">
        <f t="shared" si="34"/>
        <v>2.2200000000000002</v>
      </c>
      <c r="S127" s="236">
        <v>1.85</v>
      </c>
      <c r="T127" s="268">
        <f t="shared" si="31"/>
        <v>0</v>
      </c>
      <c r="U127" s="16"/>
      <c r="V127" s="18">
        <f t="shared" si="32"/>
        <v>0</v>
      </c>
      <c r="W127" s="49">
        <f t="shared" si="35"/>
        <v>0</v>
      </c>
      <c r="X127" s="16"/>
    </row>
    <row r="128" spans="1:41" ht="26.25" hidden="1" customHeight="1" x14ac:dyDescent="0.25">
      <c r="B128" s="11"/>
      <c r="C128" s="6" t="s">
        <v>18</v>
      </c>
      <c r="D128" s="21" t="s">
        <v>141</v>
      </c>
      <c r="E128" s="96" t="s">
        <v>683</v>
      </c>
      <c r="F128" s="137">
        <v>1289</v>
      </c>
      <c r="G128" s="45" t="s">
        <v>0</v>
      </c>
      <c r="H128" s="36"/>
      <c r="I128" s="274">
        <v>0</v>
      </c>
      <c r="J128" s="36">
        <f t="shared" si="23"/>
        <v>0</v>
      </c>
      <c r="K128" s="225">
        <f t="shared" si="38"/>
        <v>0.04</v>
      </c>
      <c r="L128" s="154">
        <f t="shared" ref="L128:L147" si="39">K128*J432</f>
        <v>0</v>
      </c>
      <c r="M128" s="84"/>
      <c r="N128" s="109"/>
      <c r="O128" s="36"/>
      <c r="P128" s="225">
        <f t="shared" si="33"/>
        <v>0</v>
      </c>
      <c r="Q128" s="48" t="str">
        <f t="shared" si="36"/>
        <v>Д13,5х2</v>
      </c>
      <c r="R128" s="288">
        <f t="shared" si="34"/>
        <v>0.06</v>
      </c>
      <c r="S128" s="253">
        <v>0.05</v>
      </c>
      <c r="T128" s="268">
        <f t="shared" si="31"/>
        <v>0</v>
      </c>
      <c r="U128" s="18"/>
      <c r="V128" s="18">
        <f t="shared" si="32"/>
        <v>0</v>
      </c>
      <c r="W128" s="49">
        <f t="shared" si="35"/>
        <v>0</v>
      </c>
      <c r="X128" s="18"/>
    </row>
    <row r="129" spans="1:208" s="5" customFormat="1" ht="26.25" customHeight="1" thickBot="1" x14ac:dyDescent="0.3">
      <c r="B129" s="14">
        <v>42</v>
      </c>
      <c r="C129" s="6" t="s">
        <v>18</v>
      </c>
      <c r="D129" s="21" t="s">
        <v>141</v>
      </c>
      <c r="E129" s="96" t="s">
        <v>437</v>
      </c>
      <c r="F129" s="301">
        <v>761</v>
      </c>
      <c r="G129" s="12" t="s">
        <v>0</v>
      </c>
      <c r="H129" s="36"/>
      <c r="I129" s="225">
        <v>0</v>
      </c>
      <c r="J129" s="36">
        <f t="shared" si="23"/>
        <v>100</v>
      </c>
      <c r="K129" s="225">
        <f t="shared" si="38"/>
        <v>1.03</v>
      </c>
      <c r="L129" s="154">
        <f t="shared" si="39"/>
        <v>161</v>
      </c>
      <c r="M129" s="39"/>
      <c r="N129" s="109">
        <v>100</v>
      </c>
      <c r="O129" s="36"/>
      <c r="P129" s="344">
        <f t="shared" si="33"/>
        <v>0</v>
      </c>
      <c r="Q129" s="177" t="str">
        <f t="shared" si="36"/>
        <v>Д15х7х5</v>
      </c>
      <c r="R129" s="223">
        <f t="shared" si="34"/>
        <v>1.44</v>
      </c>
      <c r="S129" s="235">
        <v>1.2</v>
      </c>
      <c r="T129" s="268">
        <f t="shared" si="31"/>
        <v>120</v>
      </c>
      <c r="U129" s="16"/>
      <c r="V129" s="18">
        <f t="shared" si="32"/>
        <v>100</v>
      </c>
      <c r="W129" s="49">
        <f t="shared" si="35"/>
        <v>100</v>
      </c>
      <c r="X129" s="16"/>
    </row>
    <row r="130" spans="1:208" ht="26.25" hidden="1" customHeight="1" x14ac:dyDescent="0.25">
      <c r="B130" s="15"/>
      <c r="C130" s="6" t="s">
        <v>18</v>
      </c>
      <c r="D130" s="21" t="s">
        <v>141</v>
      </c>
      <c r="E130" s="98" t="s">
        <v>184</v>
      </c>
      <c r="F130" s="297">
        <v>879</v>
      </c>
      <c r="G130" s="17" t="s">
        <v>0</v>
      </c>
      <c r="H130" s="36"/>
      <c r="I130" s="225">
        <v>0</v>
      </c>
      <c r="J130" s="36">
        <f t="shared" si="23"/>
        <v>0</v>
      </c>
      <c r="K130" s="225">
        <f t="shared" si="38"/>
        <v>0.39</v>
      </c>
      <c r="L130" s="154">
        <f t="shared" si="39"/>
        <v>0</v>
      </c>
      <c r="M130" s="39" t="s">
        <v>154</v>
      </c>
      <c r="N130" s="109"/>
      <c r="O130" s="36"/>
      <c r="P130" s="225">
        <f t="shared" si="33"/>
        <v>0</v>
      </c>
      <c r="Q130" s="183" t="str">
        <f t="shared" si="36"/>
        <v>К9,7х4,5х12,5</v>
      </c>
      <c r="R130" s="288">
        <f t="shared" si="34"/>
        <v>0.54</v>
      </c>
      <c r="S130" s="236">
        <v>0.45</v>
      </c>
      <c r="T130" s="268">
        <f t="shared" si="31"/>
        <v>0</v>
      </c>
      <c r="U130" s="16">
        <v>0</v>
      </c>
      <c r="V130" s="18">
        <f t="shared" si="32"/>
        <v>0</v>
      </c>
      <c r="W130" s="49">
        <f t="shared" si="35"/>
        <v>0</v>
      </c>
      <c r="X130" s="16">
        <v>0</v>
      </c>
    </row>
    <row r="131" spans="1:208" s="19" customFormat="1" ht="26.25" customHeight="1" x14ac:dyDescent="0.25">
      <c r="B131" s="15">
        <v>43</v>
      </c>
      <c r="C131" s="6" t="s">
        <v>18</v>
      </c>
      <c r="D131" s="21" t="s">
        <v>141</v>
      </c>
      <c r="E131" s="96" t="s">
        <v>448</v>
      </c>
      <c r="F131" s="367" t="s">
        <v>516</v>
      </c>
      <c r="G131" s="17" t="s">
        <v>0</v>
      </c>
      <c r="H131" s="36">
        <v>299136</v>
      </c>
      <c r="I131" s="225">
        <v>8974.08</v>
      </c>
      <c r="J131" s="36">
        <f t="shared" si="23"/>
        <v>1864</v>
      </c>
      <c r="K131" s="225">
        <f t="shared" si="38"/>
        <v>0.03</v>
      </c>
      <c r="L131" s="154">
        <f t="shared" si="39"/>
        <v>0</v>
      </c>
      <c r="M131" s="192"/>
      <c r="N131" s="109">
        <v>14000</v>
      </c>
      <c r="O131" s="36">
        <f>41*7000</f>
        <v>287000</v>
      </c>
      <c r="P131" s="225">
        <f t="shared" si="33"/>
        <v>8610</v>
      </c>
      <c r="Q131" s="184" t="str">
        <f t="shared" si="36"/>
        <v>П10х5х5</v>
      </c>
      <c r="R131" s="288">
        <f t="shared" si="34"/>
        <v>0.04</v>
      </c>
      <c r="S131" s="236">
        <v>0.03</v>
      </c>
      <c r="T131" s="268">
        <f t="shared" si="31"/>
        <v>55.92</v>
      </c>
      <c r="U131" s="115">
        <f>48*7000+2*7000</f>
        <v>350000</v>
      </c>
      <c r="V131" s="18">
        <f t="shared" si="32"/>
        <v>14000</v>
      </c>
      <c r="W131" s="49">
        <f t="shared" si="35"/>
        <v>-147000</v>
      </c>
      <c r="X131" s="397">
        <f>27*7000</f>
        <v>189000</v>
      </c>
    </row>
    <row r="132" spans="1:208" s="3" customFormat="1" ht="26.25" customHeight="1" x14ac:dyDescent="0.25">
      <c r="B132" s="11">
        <v>44</v>
      </c>
      <c r="C132" s="6" t="s">
        <v>18</v>
      </c>
      <c r="D132" s="21" t="s">
        <v>141</v>
      </c>
      <c r="E132" s="96" t="s">
        <v>133</v>
      </c>
      <c r="F132" s="367" t="s">
        <v>233</v>
      </c>
      <c r="G132" s="12" t="s">
        <v>0</v>
      </c>
      <c r="H132" s="36"/>
      <c r="I132" s="274"/>
      <c r="J132" s="36">
        <f t="shared" si="23"/>
        <v>1160</v>
      </c>
      <c r="K132" s="225">
        <f t="shared" si="38"/>
        <v>0.87</v>
      </c>
      <c r="L132" s="154">
        <f t="shared" si="39"/>
        <v>0</v>
      </c>
      <c r="M132" s="85"/>
      <c r="N132" s="109">
        <v>100</v>
      </c>
      <c r="O132" s="353">
        <f>320*3+100</f>
        <v>1060</v>
      </c>
      <c r="P132" s="225">
        <f t="shared" si="33"/>
        <v>922.2</v>
      </c>
      <c r="Q132" s="159" t="str">
        <f t="shared" si="36"/>
        <v>ЭПГ110.084</v>
      </c>
      <c r="R132" s="288">
        <f t="shared" si="34"/>
        <v>1.22</v>
      </c>
      <c r="S132" s="237">
        <v>1.02</v>
      </c>
      <c r="T132" s="268">
        <f t="shared" si="31"/>
        <v>1183.2</v>
      </c>
      <c r="U132" s="115">
        <f>320*3+272</f>
        <v>1232</v>
      </c>
      <c r="V132" s="18">
        <f t="shared" si="32"/>
        <v>100</v>
      </c>
      <c r="W132" s="49">
        <f t="shared" si="35"/>
        <v>0</v>
      </c>
      <c r="X132" s="397">
        <f>320*3+272-100</f>
        <v>1132</v>
      </c>
    </row>
    <row r="133" spans="1:208" ht="26.25" customHeight="1" x14ac:dyDescent="0.25">
      <c r="B133" s="11">
        <v>45</v>
      </c>
      <c r="C133" s="6" t="s">
        <v>18</v>
      </c>
      <c r="D133" s="21" t="s">
        <v>141</v>
      </c>
      <c r="E133" s="96" t="s">
        <v>368</v>
      </c>
      <c r="F133" s="135" t="s">
        <v>68</v>
      </c>
      <c r="G133" s="12" t="s">
        <v>0</v>
      </c>
      <c r="H133" s="36">
        <v>115</v>
      </c>
      <c r="I133" s="274">
        <v>23.95</v>
      </c>
      <c r="J133" s="36">
        <f t="shared" si="23"/>
        <v>0</v>
      </c>
      <c r="K133" s="225">
        <v>0.21</v>
      </c>
      <c r="L133" s="154">
        <f t="shared" si="39"/>
        <v>0</v>
      </c>
      <c r="M133" s="88"/>
      <c r="N133" s="109"/>
      <c r="O133" s="36">
        <v>115</v>
      </c>
      <c r="P133" s="225">
        <v>23.95</v>
      </c>
      <c r="Q133" s="159" t="str">
        <f t="shared" si="36"/>
        <v>ЭПГ 110.139 (К18х10х6)</v>
      </c>
      <c r="R133" s="288">
        <f t="shared" si="34"/>
        <v>0.28999999999999998</v>
      </c>
      <c r="S133" s="254">
        <v>0.24299999999999999</v>
      </c>
      <c r="T133" s="268">
        <f t="shared" si="31"/>
        <v>0</v>
      </c>
      <c r="U133" s="16">
        <v>500</v>
      </c>
      <c r="V133" s="18">
        <f t="shared" si="32"/>
        <v>0</v>
      </c>
      <c r="W133" s="49">
        <f t="shared" si="35"/>
        <v>0</v>
      </c>
      <c r="X133" s="397">
        <v>500</v>
      </c>
    </row>
    <row r="134" spans="1:208" s="4" customFormat="1" ht="26.25" customHeight="1" x14ac:dyDescent="0.25">
      <c r="A134" s="10"/>
      <c r="B134" s="11">
        <v>46</v>
      </c>
      <c r="C134" s="6" t="s">
        <v>18</v>
      </c>
      <c r="D134" s="21" t="s">
        <v>141</v>
      </c>
      <c r="E134" s="83" t="s">
        <v>324</v>
      </c>
      <c r="F134" s="367" t="s">
        <v>467</v>
      </c>
      <c r="G134" s="12" t="s">
        <v>0</v>
      </c>
      <c r="H134" s="36">
        <v>180</v>
      </c>
      <c r="I134" s="274">
        <v>307.8</v>
      </c>
      <c r="J134" s="36">
        <f t="shared" ref="J134:J197" si="40">N134+O134-H134</f>
        <v>0</v>
      </c>
      <c r="K134" s="225">
        <f t="shared" ref="K134:K139" si="41">R134/1.4</f>
        <v>1.71</v>
      </c>
      <c r="L134" s="154">
        <f t="shared" si="39"/>
        <v>0</v>
      </c>
      <c r="M134" s="133"/>
      <c r="N134" s="109"/>
      <c r="O134" s="36">
        <v>180</v>
      </c>
      <c r="P134" s="225">
        <f t="shared" ref="P134:P139" si="42">K134*O134</f>
        <v>307.8</v>
      </c>
      <c r="Q134" s="159" t="str">
        <f t="shared" si="36"/>
        <v>Д12х5,5</v>
      </c>
      <c r="R134" s="223">
        <f t="shared" si="34"/>
        <v>2.4</v>
      </c>
      <c r="S134" s="242">
        <v>2</v>
      </c>
      <c r="T134" s="268">
        <f t="shared" si="31"/>
        <v>0</v>
      </c>
      <c r="U134" s="16">
        <v>0</v>
      </c>
      <c r="V134" s="18">
        <f t="shared" ref="V134:V165" si="43">N134</f>
        <v>0</v>
      </c>
      <c r="W134" s="49">
        <f t="shared" si="35"/>
        <v>0</v>
      </c>
      <c r="X134" s="16">
        <v>0</v>
      </c>
    </row>
    <row r="135" spans="1:208" s="4" customFormat="1" ht="26.25" customHeight="1" x14ac:dyDescent="0.25">
      <c r="A135" s="10"/>
      <c r="B135" s="11">
        <v>47</v>
      </c>
      <c r="C135" s="6" t="s">
        <v>18</v>
      </c>
      <c r="D135" s="21" t="s">
        <v>141</v>
      </c>
      <c r="E135" s="83" t="s">
        <v>387</v>
      </c>
      <c r="F135" s="367" t="s">
        <v>394</v>
      </c>
      <c r="G135" s="12" t="s">
        <v>0</v>
      </c>
      <c r="H135" s="36">
        <v>600</v>
      </c>
      <c r="I135" s="274">
        <v>66</v>
      </c>
      <c r="J135" s="36">
        <f t="shared" si="40"/>
        <v>0</v>
      </c>
      <c r="K135" s="225">
        <f t="shared" si="41"/>
        <v>0.11</v>
      </c>
      <c r="L135" s="154">
        <f t="shared" si="39"/>
        <v>0</v>
      </c>
      <c r="M135" s="39"/>
      <c r="N135" s="109"/>
      <c r="O135" s="36">
        <v>600</v>
      </c>
      <c r="P135" s="225">
        <f t="shared" si="42"/>
        <v>66</v>
      </c>
      <c r="Q135" s="159" t="str">
        <f t="shared" si="36"/>
        <v>п33х20х2,5</v>
      </c>
      <c r="R135" s="288">
        <f t="shared" si="34"/>
        <v>0.16</v>
      </c>
      <c r="S135" s="235">
        <v>0.13</v>
      </c>
      <c r="T135" s="268">
        <f t="shared" si="31"/>
        <v>0</v>
      </c>
      <c r="U135" s="16">
        <v>0</v>
      </c>
      <c r="V135" s="18">
        <f t="shared" si="43"/>
        <v>0</v>
      </c>
      <c r="W135" s="49">
        <f t="shared" si="35"/>
        <v>0</v>
      </c>
      <c r="X135" s="16">
        <v>0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208" s="4" customFormat="1" ht="26.25" hidden="1" customHeight="1" x14ac:dyDescent="0.25">
      <c r="A136" s="10"/>
      <c r="B136" s="11"/>
      <c r="C136" s="6" t="s">
        <v>18</v>
      </c>
      <c r="D136" s="21" t="s">
        <v>141</v>
      </c>
      <c r="E136" s="83" t="s">
        <v>684</v>
      </c>
      <c r="F136" s="298" t="s">
        <v>688</v>
      </c>
      <c r="G136" s="14" t="s">
        <v>0</v>
      </c>
      <c r="H136" s="36"/>
      <c r="I136" s="225">
        <v>0</v>
      </c>
      <c r="J136" s="36">
        <f t="shared" si="40"/>
        <v>0</v>
      </c>
      <c r="K136" s="225">
        <f t="shared" si="41"/>
        <v>49.71</v>
      </c>
      <c r="L136" s="154">
        <f t="shared" si="39"/>
        <v>0</v>
      </c>
      <c r="M136" s="85"/>
      <c r="N136" s="109"/>
      <c r="O136" s="36"/>
      <c r="P136" s="334">
        <f t="shared" si="42"/>
        <v>0</v>
      </c>
      <c r="Q136" s="183" t="str">
        <f t="shared" si="36"/>
        <v>К34х26х3</v>
      </c>
      <c r="R136" s="288">
        <f t="shared" si="34"/>
        <v>69.599999999999994</v>
      </c>
      <c r="S136" s="242">
        <v>58</v>
      </c>
      <c r="T136" s="268">
        <f t="shared" ref="T136:T165" si="44">S136*J136</f>
        <v>0</v>
      </c>
      <c r="U136" s="18"/>
      <c r="V136" s="18">
        <f t="shared" si="43"/>
        <v>0</v>
      </c>
      <c r="W136" s="49">
        <f t="shared" si="35"/>
        <v>0</v>
      </c>
      <c r="X136" s="18"/>
    </row>
    <row r="137" spans="1:208" ht="26.25" hidden="1" customHeight="1" x14ac:dyDescent="0.25">
      <c r="B137" s="11"/>
      <c r="C137" s="6" t="s">
        <v>18</v>
      </c>
      <c r="D137" s="21" t="s">
        <v>141</v>
      </c>
      <c r="E137" s="99" t="s">
        <v>113</v>
      </c>
      <c r="F137" s="137" t="s">
        <v>116</v>
      </c>
      <c r="G137" s="45" t="s">
        <v>0</v>
      </c>
      <c r="H137" s="36"/>
      <c r="I137" s="225">
        <v>0</v>
      </c>
      <c r="J137" s="36">
        <f t="shared" si="40"/>
        <v>0</v>
      </c>
      <c r="K137" s="225">
        <f t="shared" si="41"/>
        <v>0.01</v>
      </c>
      <c r="L137" s="154">
        <f t="shared" si="39"/>
        <v>0</v>
      </c>
      <c r="M137" s="78"/>
      <c r="N137" s="109"/>
      <c r="O137" s="36"/>
      <c r="P137" s="225">
        <f t="shared" si="42"/>
        <v>0</v>
      </c>
      <c r="Q137" s="159" t="str">
        <f t="shared" si="36"/>
        <v>ЖЕ7.074.896   (К14,2*9,5*4,6)</v>
      </c>
      <c r="R137" s="288">
        <f t="shared" si="34"/>
        <v>0.02</v>
      </c>
      <c r="S137" s="255">
        <v>2.0400000000000001E-2</v>
      </c>
      <c r="T137" s="268">
        <f t="shared" si="44"/>
        <v>0</v>
      </c>
      <c r="U137" s="18">
        <f>4*3000</f>
        <v>12000</v>
      </c>
      <c r="V137" s="18">
        <f t="shared" si="43"/>
        <v>0</v>
      </c>
      <c r="W137" s="49">
        <f t="shared" si="35"/>
        <v>0</v>
      </c>
      <c r="X137" s="18">
        <f>4*3000</f>
        <v>12000</v>
      </c>
    </row>
    <row r="138" spans="1:208" ht="26.25" hidden="1" customHeight="1" x14ac:dyDescent="0.25">
      <c r="B138" s="11"/>
      <c r="C138" s="6" t="s">
        <v>18</v>
      </c>
      <c r="D138" s="21" t="s">
        <v>141</v>
      </c>
      <c r="E138" s="99" t="s">
        <v>172</v>
      </c>
      <c r="F138" s="135" t="s">
        <v>117</v>
      </c>
      <c r="G138" s="45" t="s">
        <v>0</v>
      </c>
      <c r="H138" s="36"/>
      <c r="I138" s="225">
        <v>0</v>
      </c>
      <c r="J138" s="36">
        <f t="shared" si="40"/>
        <v>0</v>
      </c>
      <c r="K138" s="225">
        <f t="shared" si="41"/>
        <v>0.01</v>
      </c>
      <c r="L138" s="154">
        <f t="shared" si="39"/>
        <v>0</v>
      </c>
      <c r="M138" s="132"/>
      <c r="N138" s="109"/>
      <c r="O138" s="36"/>
      <c r="P138" s="225">
        <f t="shared" si="42"/>
        <v>0</v>
      </c>
      <c r="Q138" s="159" t="str">
        <f t="shared" si="36"/>
        <v>ЖЕ7.074.978   (Д14)</v>
      </c>
      <c r="R138" s="288">
        <f t="shared" si="34"/>
        <v>0.02</v>
      </c>
      <c r="S138" s="235">
        <v>1.5599999999999999E-2</v>
      </c>
      <c r="T138" s="268">
        <f t="shared" si="44"/>
        <v>0</v>
      </c>
      <c r="U138" s="16"/>
      <c r="V138" s="18">
        <f t="shared" si="43"/>
        <v>0</v>
      </c>
      <c r="W138" s="49">
        <f t="shared" si="35"/>
        <v>0</v>
      </c>
      <c r="X138" s="16"/>
    </row>
    <row r="139" spans="1:208" s="4" customFormat="1" ht="26.25" hidden="1" customHeight="1" x14ac:dyDescent="0.25">
      <c r="A139" s="10"/>
      <c r="B139" s="11"/>
      <c r="C139" s="6" t="s">
        <v>18</v>
      </c>
      <c r="D139" s="21" t="s">
        <v>141</v>
      </c>
      <c r="E139" s="83" t="s">
        <v>465</v>
      </c>
      <c r="F139" s="286">
        <v>1329</v>
      </c>
      <c r="G139" s="14" t="s">
        <v>0</v>
      </c>
      <c r="H139" s="36"/>
      <c r="I139" s="274">
        <v>0</v>
      </c>
      <c r="J139" s="36">
        <f t="shared" si="40"/>
        <v>0</v>
      </c>
      <c r="K139" s="225">
        <f t="shared" si="41"/>
        <v>8.57</v>
      </c>
      <c r="L139" s="154">
        <f t="shared" si="39"/>
        <v>0</v>
      </c>
      <c r="M139" s="133" t="s">
        <v>469</v>
      </c>
      <c r="N139" s="109"/>
      <c r="O139" s="36"/>
      <c r="P139" s="225">
        <f t="shared" si="42"/>
        <v>0</v>
      </c>
      <c r="Q139" s="184" t="str">
        <f t="shared" si="36"/>
        <v>магнитопл П250х25х1</v>
      </c>
      <c r="R139" s="223">
        <f t="shared" si="34"/>
        <v>12</v>
      </c>
      <c r="S139" s="238">
        <v>10</v>
      </c>
      <c r="T139" s="268">
        <f t="shared" si="44"/>
        <v>0</v>
      </c>
      <c r="U139" s="16"/>
      <c r="V139" s="18">
        <f t="shared" si="43"/>
        <v>0</v>
      </c>
      <c r="W139" s="49">
        <f t="shared" si="35"/>
        <v>0</v>
      </c>
      <c r="X139" s="16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</row>
    <row r="140" spans="1:208" ht="26.25" customHeight="1" x14ac:dyDescent="0.25">
      <c r="B140" s="11">
        <v>48</v>
      </c>
      <c r="C140" s="6" t="s">
        <v>18</v>
      </c>
      <c r="D140" s="21" t="s">
        <v>141</v>
      </c>
      <c r="E140" s="99" t="s">
        <v>121</v>
      </c>
      <c r="F140" s="135" t="s">
        <v>124</v>
      </c>
      <c r="G140" s="12" t="s">
        <v>0</v>
      </c>
      <c r="H140" s="36">
        <v>1300</v>
      </c>
      <c r="I140" s="274">
        <v>149.76</v>
      </c>
      <c r="J140" s="36">
        <f t="shared" si="40"/>
        <v>0</v>
      </c>
      <c r="K140" s="225">
        <v>0.12</v>
      </c>
      <c r="L140" s="154">
        <f t="shared" si="39"/>
        <v>0</v>
      </c>
      <c r="M140" s="88"/>
      <c r="N140" s="109"/>
      <c r="O140" s="36">
        <v>1300</v>
      </c>
      <c r="P140" s="225">
        <v>149.76</v>
      </c>
      <c r="Q140" s="159" t="str">
        <f t="shared" si="36"/>
        <v>ЖЕ7.074.975   (К23,6*9,5*21)</v>
      </c>
      <c r="R140" s="288">
        <f t="shared" si="34"/>
        <v>0.16</v>
      </c>
      <c r="S140" s="235">
        <v>0.13439999999999999</v>
      </c>
      <c r="T140" s="268">
        <f t="shared" si="44"/>
        <v>0</v>
      </c>
      <c r="U140" s="18"/>
      <c r="V140" s="18">
        <f t="shared" si="43"/>
        <v>0</v>
      </c>
      <c r="W140" s="49">
        <f t="shared" si="35"/>
        <v>0</v>
      </c>
      <c r="X140" s="18"/>
    </row>
    <row r="141" spans="1:208" ht="32.25" customHeight="1" x14ac:dyDescent="0.25">
      <c r="B141" s="11">
        <v>49</v>
      </c>
      <c r="C141" s="6" t="s">
        <v>18</v>
      </c>
      <c r="D141" s="21" t="s">
        <v>141</v>
      </c>
      <c r="E141" s="98" t="s">
        <v>245</v>
      </c>
      <c r="F141" s="367" t="s">
        <v>232</v>
      </c>
      <c r="G141" s="12" t="s">
        <v>0</v>
      </c>
      <c r="H141" s="36">
        <v>16000</v>
      </c>
      <c r="I141" s="274">
        <v>640</v>
      </c>
      <c r="J141" s="36">
        <f t="shared" si="40"/>
        <v>0</v>
      </c>
      <c r="K141" s="225">
        <f>R141/1.4</f>
        <v>0.04</v>
      </c>
      <c r="L141" s="154">
        <f t="shared" si="39"/>
        <v>0</v>
      </c>
      <c r="M141" s="128"/>
      <c r="N141" s="109"/>
      <c r="O141" s="36">
        <v>16000</v>
      </c>
      <c r="P141" s="225">
        <f>K141*O141</f>
        <v>640</v>
      </c>
      <c r="Q141" s="159" t="str">
        <f t="shared" si="36"/>
        <v>К14,5х10х3,3 ЭПГ110.173</v>
      </c>
      <c r="R141" s="223">
        <f t="shared" si="34"/>
        <v>0.06</v>
      </c>
      <c r="S141" s="238">
        <f>1.52*0.034</f>
        <v>0.05</v>
      </c>
      <c r="T141" s="268">
        <f t="shared" si="44"/>
        <v>0</v>
      </c>
      <c r="U141" s="115">
        <v>4000</v>
      </c>
      <c r="V141" s="18">
        <f t="shared" si="43"/>
        <v>0</v>
      </c>
      <c r="W141" s="49">
        <f t="shared" si="35"/>
        <v>40000</v>
      </c>
      <c r="X141" s="397">
        <f>4000*11</f>
        <v>44000</v>
      </c>
    </row>
    <row r="142" spans="1:208" ht="26.25" customHeight="1" x14ac:dyDescent="0.25">
      <c r="B142" s="11">
        <v>50</v>
      </c>
      <c r="C142" s="6" t="s">
        <v>18</v>
      </c>
      <c r="D142" s="21" t="s">
        <v>141</v>
      </c>
      <c r="E142" s="96" t="s">
        <v>533</v>
      </c>
      <c r="F142" s="135" t="s">
        <v>173</v>
      </c>
      <c r="G142" s="12" t="s">
        <v>0</v>
      </c>
      <c r="H142" s="36">
        <v>3950</v>
      </c>
      <c r="I142" s="274">
        <v>158</v>
      </c>
      <c r="J142" s="36">
        <f t="shared" si="40"/>
        <v>0</v>
      </c>
      <c r="K142" s="225">
        <f>R142/1.4</f>
        <v>0.04</v>
      </c>
      <c r="L142" s="154">
        <f t="shared" si="39"/>
        <v>0</v>
      </c>
      <c r="M142" s="39"/>
      <c r="N142" s="109"/>
      <c r="O142" s="36">
        <v>3950</v>
      </c>
      <c r="P142" s="225">
        <f>K142*O142</f>
        <v>158</v>
      </c>
      <c r="Q142" s="159" t="str">
        <f t="shared" si="36"/>
        <v xml:space="preserve">Д13.5х2,5 </v>
      </c>
      <c r="R142" s="288">
        <f t="shared" si="34"/>
        <v>0.06</v>
      </c>
      <c r="S142" s="236">
        <v>0.05</v>
      </c>
      <c r="T142" s="268">
        <f t="shared" si="44"/>
        <v>0</v>
      </c>
      <c r="U142" s="18">
        <f>2*5000</f>
        <v>10000</v>
      </c>
      <c r="V142" s="18">
        <f t="shared" si="43"/>
        <v>0</v>
      </c>
      <c r="W142" s="49">
        <f t="shared" si="35"/>
        <v>0</v>
      </c>
      <c r="X142" s="18">
        <f>2*5000</f>
        <v>10000</v>
      </c>
    </row>
    <row r="143" spans="1:208" ht="26.25" customHeight="1" x14ac:dyDescent="0.25">
      <c r="B143" s="11">
        <v>51</v>
      </c>
      <c r="C143" s="6" t="s">
        <v>18</v>
      </c>
      <c r="D143" s="21" t="s">
        <v>141</v>
      </c>
      <c r="E143" s="96" t="s">
        <v>152</v>
      </c>
      <c r="F143" s="135" t="s">
        <v>174</v>
      </c>
      <c r="G143" s="12" t="s">
        <v>0</v>
      </c>
      <c r="H143" s="36">
        <v>1640</v>
      </c>
      <c r="I143" s="274">
        <v>8.36</v>
      </c>
      <c r="J143" s="36">
        <f t="shared" si="40"/>
        <v>0</v>
      </c>
      <c r="K143" s="225">
        <v>0.01</v>
      </c>
      <c r="L143" s="154">
        <f t="shared" si="39"/>
        <v>0</v>
      </c>
      <c r="M143" s="39"/>
      <c r="N143" s="109"/>
      <c r="O143" s="36">
        <f>2000-360</f>
        <v>1640</v>
      </c>
      <c r="P143" s="225">
        <v>8.36</v>
      </c>
      <c r="Q143" s="159" t="str">
        <f t="shared" si="36"/>
        <v>Д13.5х4,5 (ненамаг)</v>
      </c>
      <c r="R143" s="288">
        <f t="shared" si="34"/>
        <v>0.01</v>
      </c>
      <c r="S143" s="236">
        <v>6.0000000000000001E-3</v>
      </c>
      <c r="T143" s="268">
        <f t="shared" si="44"/>
        <v>0</v>
      </c>
      <c r="U143" s="18"/>
      <c r="V143" s="18">
        <f t="shared" si="43"/>
        <v>0</v>
      </c>
      <c r="W143" s="49">
        <f t="shared" si="35"/>
        <v>0</v>
      </c>
      <c r="X143" s="18"/>
    </row>
    <row r="144" spans="1:208" ht="26.25" customHeight="1" x14ac:dyDescent="0.25">
      <c r="B144" s="11">
        <v>52</v>
      </c>
      <c r="C144" s="6" t="s">
        <v>18</v>
      </c>
      <c r="D144" s="21" t="s">
        <v>141</v>
      </c>
      <c r="E144" s="96" t="s">
        <v>32</v>
      </c>
      <c r="F144" s="135" t="s">
        <v>53</v>
      </c>
      <c r="G144" s="12" t="s">
        <v>0</v>
      </c>
      <c r="H144" s="36">
        <v>5000</v>
      </c>
      <c r="I144" s="274">
        <v>43</v>
      </c>
      <c r="J144" s="36">
        <f t="shared" si="40"/>
        <v>0</v>
      </c>
      <c r="K144" s="225">
        <v>0.01</v>
      </c>
      <c r="L144" s="154">
        <f t="shared" si="39"/>
        <v>0</v>
      </c>
      <c r="M144" s="85"/>
      <c r="N144" s="109"/>
      <c r="O144" s="36">
        <v>5000</v>
      </c>
      <c r="P144" s="225">
        <v>43</v>
      </c>
      <c r="Q144" s="159" t="str">
        <f t="shared" si="36"/>
        <v>Д 8,2х6,4</v>
      </c>
      <c r="R144" s="288">
        <f t="shared" ref="R144:R175" si="45">S144*1.2</f>
        <v>0.01</v>
      </c>
      <c r="S144" s="235">
        <v>0.01</v>
      </c>
      <c r="T144" s="268">
        <f t="shared" si="44"/>
        <v>0</v>
      </c>
      <c r="U144" s="18">
        <f>5000*6+4950</f>
        <v>34950</v>
      </c>
      <c r="V144" s="18">
        <f t="shared" si="43"/>
        <v>0</v>
      </c>
      <c r="W144" s="49">
        <f t="shared" ref="W144:W165" si="46">X144-U144+V144</f>
        <v>0</v>
      </c>
      <c r="X144" s="325">
        <f>5000*6+4950</f>
        <v>34950</v>
      </c>
    </row>
    <row r="145" spans="1:41" ht="26.25" customHeight="1" x14ac:dyDescent="0.25">
      <c r="B145" s="11">
        <v>53</v>
      </c>
      <c r="C145" s="6" t="s">
        <v>18</v>
      </c>
      <c r="D145" s="21" t="s">
        <v>141</v>
      </c>
      <c r="E145" s="97" t="s">
        <v>85</v>
      </c>
      <c r="F145" s="303">
        <v>503</v>
      </c>
      <c r="G145" s="12" t="s">
        <v>0</v>
      </c>
      <c r="H145" s="36">
        <v>2200</v>
      </c>
      <c r="I145" s="274">
        <v>277.2</v>
      </c>
      <c r="J145" s="36">
        <f t="shared" si="40"/>
        <v>0</v>
      </c>
      <c r="K145" s="225">
        <v>0.13</v>
      </c>
      <c r="L145" s="154">
        <f t="shared" si="39"/>
        <v>0</v>
      </c>
      <c r="M145" s="39"/>
      <c r="N145" s="109"/>
      <c r="O145" s="36">
        <v>2200</v>
      </c>
      <c r="P145" s="225">
        <v>277.2</v>
      </c>
      <c r="Q145" s="159" t="str">
        <f t="shared" si="36"/>
        <v>Д16х4</v>
      </c>
      <c r="R145" s="288">
        <f t="shared" si="45"/>
        <v>0.18</v>
      </c>
      <c r="S145" s="235">
        <v>0.14699999999999999</v>
      </c>
      <c r="T145" s="268">
        <f t="shared" si="44"/>
        <v>0</v>
      </c>
      <c r="U145" s="18">
        <f>3*3000</f>
        <v>9000</v>
      </c>
      <c r="V145" s="18">
        <f t="shared" si="43"/>
        <v>0</v>
      </c>
      <c r="W145" s="49">
        <f t="shared" si="46"/>
        <v>0</v>
      </c>
      <c r="X145" s="325">
        <f>3*3000</f>
        <v>9000</v>
      </c>
    </row>
    <row r="146" spans="1:41" ht="26.25" customHeight="1" x14ac:dyDescent="0.25">
      <c r="B146" s="11">
        <v>54</v>
      </c>
      <c r="C146" s="6" t="s">
        <v>18</v>
      </c>
      <c r="D146" s="21" t="s">
        <v>141</v>
      </c>
      <c r="E146" s="82" t="s">
        <v>82</v>
      </c>
      <c r="F146" s="303" t="s">
        <v>52</v>
      </c>
      <c r="G146" s="12" t="s">
        <v>0</v>
      </c>
      <c r="H146" s="36">
        <v>2400</v>
      </c>
      <c r="I146" s="274">
        <v>14808</v>
      </c>
      <c r="J146" s="36">
        <f t="shared" si="40"/>
        <v>285</v>
      </c>
      <c r="K146" s="225">
        <f>R146/1.4</f>
        <v>6.86</v>
      </c>
      <c r="L146" s="154">
        <f t="shared" si="39"/>
        <v>0</v>
      </c>
      <c r="M146" s="128"/>
      <c r="N146" s="109">
        <f>45+210</f>
        <v>255</v>
      </c>
      <c r="O146" s="36">
        <f>(24*4+21*3+3)*15</f>
        <v>2430</v>
      </c>
      <c r="P146" s="225">
        <f t="shared" ref="P146:P165" si="47">K146*O146</f>
        <v>16669.8</v>
      </c>
      <c r="Q146" s="159" t="str">
        <f t="shared" si="36"/>
        <v>Якорь магн.однор.(200 шт в к-те)</v>
      </c>
      <c r="R146" s="223">
        <f t="shared" si="45"/>
        <v>9.6</v>
      </c>
      <c r="S146" s="235">
        <v>8</v>
      </c>
      <c r="T146" s="268">
        <f t="shared" si="44"/>
        <v>2280</v>
      </c>
      <c r="U146" s="116">
        <f>114*15</f>
        <v>1710</v>
      </c>
      <c r="V146" s="18">
        <f t="shared" si="43"/>
        <v>255</v>
      </c>
      <c r="W146" s="49">
        <f t="shared" si="46"/>
        <v>720</v>
      </c>
      <c r="X146" s="325">
        <f>145*15</f>
        <v>2175</v>
      </c>
    </row>
    <row r="147" spans="1:41" s="4" customFormat="1" ht="26.25" customHeight="1" x14ac:dyDescent="0.25">
      <c r="A147" s="10"/>
      <c r="B147" s="11">
        <v>55</v>
      </c>
      <c r="C147" s="6" t="s">
        <v>18</v>
      </c>
      <c r="D147" s="21" t="s">
        <v>141</v>
      </c>
      <c r="E147" s="96" t="s">
        <v>222</v>
      </c>
      <c r="F147" s="294">
        <v>1177</v>
      </c>
      <c r="G147" s="12" t="s">
        <v>0</v>
      </c>
      <c r="H147" s="36">
        <v>1000</v>
      </c>
      <c r="I147" s="274">
        <v>90</v>
      </c>
      <c r="J147" s="36">
        <f t="shared" si="40"/>
        <v>0</v>
      </c>
      <c r="K147" s="225">
        <v>0.09</v>
      </c>
      <c r="L147" s="154">
        <f t="shared" si="39"/>
        <v>0</v>
      </c>
      <c r="M147" s="39"/>
      <c r="N147" s="109"/>
      <c r="O147" s="36">
        <v>1000</v>
      </c>
      <c r="P147" s="225">
        <f t="shared" si="47"/>
        <v>90</v>
      </c>
      <c r="Q147" s="159" t="str">
        <f t="shared" si="36"/>
        <v>Д18х3</v>
      </c>
      <c r="R147" s="288">
        <f t="shared" si="45"/>
        <v>0.1</v>
      </c>
      <c r="S147" s="242">
        <v>0.08</v>
      </c>
      <c r="T147" s="268">
        <f t="shared" si="44"/>
        <v>0</v>
      </c>
      <c r="U147" s="16"/>
      <c r="V147" s="18">
        <f t="shared" si="43"/>
        <v>0</v>
      </c>
      <c r="W147" s="49">
        <f t="shared" si="46"/>
        <v>0</v>
      </c>
      <c r="X147" s="16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s="4" customFormat="1" ht="26.25" hidden="1" customHeight="1" x14ac:dyDescent="0.25">
      <c r="A148" s="10"/>
      <c r="B148" s="11"/>
      <c r="C148" s="6" t="s">
        <v>18</v>
      </c>
      <c r="D148" s="21" t="s">
        <v>141</v>
      </c>
      <c r="E148" s="82" t="s">
        <v>507</v>
      </c>
      <c r="F148" s="295">
        <v>1372</v>
      </c>
      <c r="G148" s="12" t="s">
        <v>0</v>
      </c>
      <c r="H148" s="36"/>
      <c r="I148" s="274">
        <v>0</v>
      </c>
      <c r="J148" s="36">
        <f t="shared" si="40"/>
        <v>0</v>
      </c>
      <c r="K148" s="225">
        <f t="shared" ref="K148:K179" si="48">R148/1.4</f>
        <v>0.14000000000000001</v>
      </c>
      <c r="L148" s="154"/>
      <c r="M148" s="39"/>
      <c r="N148" s="109"/>
      <c r="O148" s="36"/>
      <c r="P148" s="225">
        <f t="shared" si="47"/>
        <v>0</v>
      </c>
      <c r="Q148" s="314" t="str">
        <f t="shared" si="36"/>
        <v>Круглый магнит аурикулярный Д2,5</v>
      </c>
      <c r="R148" s="288">
        <f t="shared" si="45"/>
        <v>0.19</v>
      </c>
      <c r="S148" s="242">
        <f>5.28*0.03</f>
        <v>0.16</v>
      </c>
      <c r="T148" s="268">
        <f t="shared" si="44"/>
        <v>0</v>
      </c>
      <c r="U148" s="18"/>
      <c r="V148" s="18">
        <f t="shared" si="43"/>
        <v>0</v>
      </c>
      <c r="W148" s="49">
        <f t="shared" si="46"/>
        <v>0</v>
      </c>
      <c r="X148" s="18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s="4" customFormat="1" ht="26.25" hidden="1" customHeight="1" x14ac:dyDescent="0.25">
      <c r="A149" s="10"/>
      <c r="B149" s="11"/>
      <c r="C149" s="6" t="s">
        <v>18</v>
      </c>
      <c r="D149" s="21" t="s">
        <v>141</v>
      </c>
      <c r="E149" s="82" t="s">
        <v>508</v>
      </c>
      <c r="F149" s="295">
        <v>1373</v>
      </c>
      <c r="G149" s="12" t="s">
        <v>0</v>
      </c>
      <c r="H149" s="36"/>
      <c r="I149" s="274">
        <v>0</v>
      </c>
      <c r="J149" s="36">
        <f t="shared" si="40"/>
        <v>0</v>
      </c>
      <c r="K149" s="225">
        <f t="shared" si="48"/>
        <v>0.14000000000000001</v>
      </c>
      <c r="L149" s="154"/>
      <c r="M149" s="39"/>
      <c r="N149" s="109"/>
      <c r="O149" s="36"/>
      <c r="P149" s="225">
        <f t="shared" si="47"/>
        <v>0</v>
      </c>
      <c r="Q149" s="181" t="str">
        <f t="shared" si="36"/>
        <v>Круглый магнит малый Д3,5</v>
      </c>
      <c r="R149" s="288">
        <f t="shared" si="45"/>
        <v>0.19</v>
      </c>
      <c r="S149" s="242">
        <f>5.28*0.03</f>
        <v>0.16</v>
      </c>
      <c r="T149" s="268">
        <f t="shared" si="44"/>
        <v>0</v>
      </c>
      <c r="U149" s="18"/>
      <c r="V149" s="18">
        <f t="shared" si="43"/>
        <v>0</v>
      </c>
      <c r="W149" s="49">
        <f t="shared" si="46"/>
        <v>0</v>
      </c>
      <c r="X149" s="18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s="4" customFormat="1" ht="26.25" hidden="1" customHeight="1" x14ac:dyDescent="0.25">
      <c r="A150" s="10"/>
      <c r="B150" s="11"/>
      <c r="C150" s="6" t="s">
        <v>18</v>
      </c>
      <c r="D150" s="21" t="s">
        <v>141</v>
      </c>
      <c r="E150" s="82" t="s">
        <v>509</v>
      </c>
      <c r="F150" s="295">
        <v>1374</v>
      </c>
      <c r="G150" s="12" t="s">
        <v>0</v>
      </c>
      <c r="H150" s="36"/>
      <c r="I150" s="274">
        <v>0</v>
      </c>
      <c r="J150" s="36">
        <f t="shared" si="40"/>
        <v>0</v>
      </c>
      <c r="K150" s="225">
        <f t="shared" si="48"/>
        <v>0.14000000000000001</v>
      </c>
      <c r="L150" s="154"/>
      <c r="M150" s="39"/>
      <c r="N150" s="109"/>
      <c r="O150" s="36"/>
      <c r="P150" s="225">
        <f t="shared" si="47"/>
        <v>0</v>
      </c>
      <c r="Q150" s="181" t="str">
        <f t="shared" si="36"/>
        <v>Круглый магнит большой Д5</v>
      </c>
      <c r="R150" s="288">
        <f t="shared" si="45"/>
        <v>0.19</v>
      </c>
      <c r="S150" s="242">
        <f>5.28*0.03</f>
        <v>0.16</v>
      </c>
      <c r="T150" s="268">
        <f t="shared" si="44"/>
        <v>0</v>
      </c>
      <c r="U150" s="18"/>
      <c r="V150" s="18">
        <f t="shared" si="43"/>
        <v>0</v>
      </c>
      <c r="W150" s="49">
        <f t="shared" si="46"/>
        <v>0</v>
      </c>
      <c r="X150" s="18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s="4" customFormat="1" ht="26.25" hidden="1" customHeight="1" x14ac:dyDescent="0.25">
      <c r="A151" s="10"/>
      <c r="B151" s="11"/>
      <c r="C151" s="6" t="s">
        <v>18</v>
      </c>
      <c r="D151" s="21" t="s">
        <v>141</v>
      </c>
      <c r="E151" s="1" t="s">
        <v>503</v>
      </c>
      <c r="F151" s="297">
        <v>1309</v>
      </c>
      <c r="G151" s="12" t="s">
        <v>0</v>
      </c>
      <c r="H151" s="36"/>
      <c r="I151" s="274">
        <v>0</v>
      </c>
      <c r="J151" s="36">
        <f t="shared" si="40"/>
        <v>0</v>
      </c>
      <c r="K151" s="225">
        <f t="shared" si="48"/>
        <v>0.22</v>
      </c>
      <c r="L151" s="154"/>
      <c r="M151" s="39"/>
      <c r="N151" s="318"/>
      <c r="O151" s="36"/>
      <c r="P151" s="225">
        <f t="shared" si="47"/>
        <v>0</v>
      </c>
      <c r="Q151" s="181" t="str">
        <f t="shared" si="36"/>
        <v>Плоский магнит "стрелка"</v>
      </c>
      <c r="R151" s="288">
        <f t="shared" si="45"/>
        <v>0.31</v>
      </c>
      <c r="S151" s="290">
        <f>8.7*0.03</f>
        <v>0.26</v>
      </c>
      <c r="T151" s="268">
        <f t="shared" si="44"/>
        <v>0</v>
      </c>
      <c r="U151" s="18"/>
      <c r="V151" s="18">
        <f t="shared" si="43"/>
        <v>0</v>
      </c>
      <c r="W151" s="49">
        <f t="shared" si="46"/>
        <v>0</v>
      </c>
      <c r="X151" s="18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s="4" customFormat="1" ht="38.25" hidden="1" customHeight="1" x14ac:dyDescent="0.25">
      <c r="A152" s="10"/>
      <c r="B152" s="11"/>
      <c r="C152" s="6" t="s">
        <v>18</v>
      </c>
      <c r="D152" s="21" t="s">
        <v>141</v>
      </c>
      <c r="E152" s="1" t="s">
        <v>506</v>
      </c>
      <c r="F152" s="297">
        <v>1375</v>
      </c>
      <c r="G152" s="12" t="s">
        <v>0</v>
      </c>
      <c r="H152" s="36"/>
      <c r="I152" s="274">
        <v>0</v>
      </c>
      <c r="J152" s="36">
        <f t="shared" si="40"/>
        <v>0</v>
      </c>
      <c r="K152" s="225">
        <f t="shared" si="48"/>
        <v>0.89</v>
      </c>
      <c r="L152" s="154"/>
      <c r="M152" s="39"/>
      <c r="N152" s="318"/>
      <c r="O152" s="36"/>
      <c r="P152" s="225">
        <f t="shared" si="47"/>
        <v>0</v>
      </c>
      <c r="Q152" s="48" t="str">
        <f t="shared" si="36"/>
        <v>Кольцевой магнит большой усиленной намагниченности</v>
      </c>
      <c r="R152" s="288">
        <f t="shared" si="45"/>
        <v>1.25</v>
      </c>
      <c r="S152" s="290">
        <f>34.8*0.03</f>
        <v>1.04</v>
      </c>
      <c r="T152" s="268">
        <f t="shared" si="44"/>
        <v>0</v>
      </c>
      <c r="U152" s="18"/>
      <c r="V152" s="18">
        <f t="shared" si="43"/>
        <v>0</v>
      </c>
      <c r="W152" s="49">
        <f t="shared" si="46"/>
        <v>0</v>
      </c>
      <c r="X152" s="18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s="4" customFormat="1" ht="43.5" hidden="1" customHeight="1" x14ac:dyDescent="0.25">
      <c r="A153" s="10"/>
      <c r="B153" s="11"/>
      <c r="C153" s="6" t="s">
        <v>18</v>
      </c>
      <c r="D153" s="21" t="s">
        <v>141</v>
      </c>
      <c r="E153" s="1" t="s">
        <v>504</v>
      </c>
      <c r="F153" s="297">
        <v>1310</v>
      </c>
      <c r="G153" s="12" t="s">
        <v>0</v>
      </c>
      <c r="H153" s="36"/>
      <c r="I153" s="274">
        <v>0</v>
      </c>
      <c r="J153" s="36">
        <f t="shared" si="40"/>
        <v>0</v>
      </c>
      <c r="K153" s="225">
        <f t="shared" si="48"/>
        <v>0.56000000000000005</v>
      </c>
      <c r="L153" s="154"/>
      <c r="M153" s="39"/>
      <c r="N153" s="318"/>
      <c r="O153" s="36"/>
      <c r="P153" s="225">
        <f t="shared" si="47"/>
        <v>0</v>
      </c>
      <c r="Q153" s="48" t="str">
        <f t="shared" si="36"/>
        <v>Кольцевой магнит большой Д17 со вставкой(110.045)</v>
      </c>
      <c r="R153" s="288">
        <f t="shared" si="45"/>
        <v>0.78</v>
      </c>
      <c r="S153" s="290">
        <f>21.75*0.03</f>
        <v>0.65</v>
      </c>
      <c r="T153" s="268">
        <f t="shared" si="44"/>
        <v>0</v>
      </c>
      <c r="U153" s="18"/>
      <c r="V153" s="18">
        <f t="shared" si="43"/>
        <v>0</v>
      </c>
      <c r="W153" s="49">
        <f t="shared" si="46"/>
        <v>0</v>
      </c>
      <c r="X153" s="18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s="4" customFormat="1" ht="26.25" hidden="1" customHeight="1" x14ac:dyDescent="0.25">
      <c r="A154" s="10"/>
      <c r="B154" s="11"/>
      <c r="C154" s="6" t="s">
        <v>18</v>
      </c>
      <c r="D154" s="21" t="s">
        <v>141</v>
      </c>
      <c r="E154" s="1" t="s">
        <v>510</v>
      </c>
      <c r="F154" s="297">
        <v>1311</v>
      </c>
      <c r="G154" s="12" t="s">
        <v>0</v>
      </c>
      <c r="H154" s="36"/>
      <c r="I154" s="274">
        <v>0</v>
      </c>
      <c r="J154" s="36">
        <f t="shared" si="40"/>
        <v>0</v>
      </c>
      <c r="K154" s="225">
        <f t="shared" si="48"/>
        <v>0.31</v>
      </c>
      <c r="L154" s="154"/>
      <c r="M154" s="39"/>
      <c r="N154" s="318"/>
      <c r="O154" s="36"/>
      <c r="P154" s="225">
        <f t="shared" si="47"/>
        <v>0</v>
      </c>
      <c r="Q154" s="48" t="str">
        <f t="shared" si="36"/>
        <v>Кольцевой магнит малый Д11 со вставкой (110.044)</v>
      </c>
      <c r="R154" s="288">
        <f t="shared" si="45"/>
        <v>0.44</v>
      </c>
      <c r="S154" s="290">
        <f>12.43*0.03</f>
        <v>0.37</v>
      </c>
      <c r="T154" s="268">
        <f t="shared" si="44"/>
        <v>0</v>
      </c>
      <c r="U154" s="18"/>
      <c r="V154" s="18">
        <f t="shared" si="43"/>
        <v>0</v>
      </c>
      <c r="W154" s="49">
        <f t="shared" si="46"/>
        <v>0</v>
      </c>
      <c r="X154" s="18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s="4" customFormat="1" ht="26.25" hidden="1" customHeight="1" x14ac:dyDescent="0.25">
      <c r="A155" s="10"/>
      <c r="B155" s="11"/>
      <c r="C155" s="6" t="s">
        <v>18</v>
      </c>
      <c r="D155" s="21" t="s">
        <v>141</v>
      </c>
      <c r="E155" s="1" t="s">
        <v>511</v>
      </c>
      <c r="F155" s="297">
        <v>1312</v>
      </c>
      <c r="G155" s="12" t="s">
        <v>0</v>
      </c>
      <c r="H155" s="36"/>
      <c r="I155" s="274">
        <v>0</v>
      </c>
      <c r="J155" s="36">
        <f t="shared" si="40"/>
        <v>0</v>
      </c>
      <c r="K155" s="225">
        <f t="shared" si="48"/>
        <v>1.44</v>
      </c>
      <c r="L155" s="154"/>
      <c r="M155" s="39"/>
      <c r="N155" s="318"/>
      <c r="O155" s="36"/>
      <c r="P155" s="225">
        <f t="shared" si="47"/>
        <v>0</v>
      </c>
      <c r="Q155" s="48" t="str">
        <f t="shared" si="36"/>
        <v>4х кольцевой магнит</v>
      </c>
      <c r="R155" s="288">
        <f t="shared" si="45"/>
        <v>2.02</v>
      </c>
      <c r="S155" s="290">
        <f>55.94*0.03</f>
        <v>1.68</v>
      </c>
      <c r="T155" s="268">
        <f t="shared" si="44"/>
        <v>0</v>
      </c>
      <c r="U155" s="18"/>
      <c r="V155" s="18">
        <f t="shared" si="43"/>
        <v>0</v>
      </c>
      <c r="W155" s="49">
        <f t="shared" si="46"/>
        <v>0</v>
      </c>
      <c r="X155" s="1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s="4" customFormat="1" ht="26.25" hidden="1" customHeight="1" x14ac:dyDescent="0.25">
      <c r="A156" s="10"/>
      <c r="B156" s="11"/>
      <c r="C156" s="6" t="s">
        <v>18</v>
      </c>
      <c r="D156" s="21" t="s">
        <v>141</v>
      </c>
      <c r="E156" s="1" t="s">
        <v>513</v>
      </c>
      <c r="F156" s="297">
        <v>1376</v>
      </c>
      <c r="G156" s="12" t="s">
        <v>0</v>
      </c>
      <c r="H156" s="36"/>
      <c r="I156" s="274">
        <v>0</v>
      </c>
      <c r="J156" s="36">
        <f t="shared" si="40"/>
        <v>0</v>
      </c>
      <c r="K156" s="225">
        <f t="shared" si="48"/>
        <v>0.11</v>
      </c>
      <c r="L156" s="154"/>
      <c r="M156" s="39"/>
      <c r="N156" s="318"/>
      <c r="O156" s="36"/>
      <c r="P156" s="225">
        <f t="shared" si="47"/>
        <v>0</v>
      </c>
      <c r="Q156" s="48" t="str">
        <f t="shared" si="36"/>
        <v xml:space="preserve"> Большой Д7 со звездочкой (110.015)</v>
      </c>
      <c r="R156" s="288">
        <f t="shared" si="45"/>
        <v>0.16</v>
      </c>
      <c r="S156" s="290">
        <f>4.35*0.03</f>
        <v>0.13</v>
      </c>
      <c r="T156" s="268">
        <f t="shared" si="44"/>
        <v>0</v>
      </c>
      <c r="U156" s="18"/>
      <c r="V156" s="18">
        <f t="shared" si="43"/>
        <v>0</v>
      </c>
      <c r="W156" s="49">
        <f t="shared" si="46"/>
        <v>0</v>
      </c>
      <c r="X156" s="18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s="4" customFormat="1" ht="26.25" hidden="1" customHeight="1" x14ac:dyDescent="0.25">
      <c r="A157" s="10"/>
      <c r="B157" s="11"/>
      <c r="C157" s="6" t="s">
        <v>18</v>
      </c>
      <c r="D157" s="21" t="s">
        <v>141</v>
      </c>
      <c r="E157" s="1" t="s">
        <v>505</v>
      </c>
      <c r="F157" s="297">
        <v>1314</v>
      </c>
      <c r="G157" s="12" t="s">
        <v>0</v>
      </c>
      <c r="H157" s="36"/>
      <c r="I157" s="274">
        <v>0</v>
      </c>
      <c r="J157" s="36">
        <f t="shared" si="40"/>
        <v>0</v>
      </c>
      <c r="K157" s="225">
        <f t="shared" si="48"/>
        <v>0.11</v>
      </c>
      <c r="L157" s="154"/>
      <c r="M157" s="39"/>
      <c r="N157" s="318"/>
      <c r="O157" s="36"/>
      <c r="P157" s="225">
        <f t="shared" si="47"/>
        <v>0</v>
      </c>
      <c r="Q157" s="48" t="str">
        <f t="shared" si="36"/>
        <v xml:space="preserve"> Малый Д5 со звездочкой (110.015)</v>
      </c>
      <c r="R157" s="288">
        <f t="shared" si="45"/>
        <v>0.16</v>
      </c>
      <c r="S157" s="290">
        <f>4.35*0.03</f>
        <v>0.13</v>
      </c>
      <c r="T157" s="268">
        <f t="shared" si="44"/>
        <v>0</v>
      </c>
      <c r="U157" s="18"/>
      <c r="V157" s="18">
        <f t="shared" si="43"/>
        <v>0</v>
      </c>
      <c r="W157" s="49">
        <f t="shared" si="46"/>
        <v>0</v>
      </c>
      <c r="X157" s="18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s="4" customFormat="1" ht="26.25" hidden="1" customHeight="1" x14ac:dyDescent="0.25">
      <c r="A158" s="10"/>
      <c r="B158" s="11"/>
      <c r="C158" s="6" t="s">
        <v>18</v>
      </c>
      <c r="D158" s="21" t="s">
        <v>141</v>
      </c>
      <c r="E158" s="1" t="s">
        <v>537</v>
      </c>
      <c r="F158" s="297">
        <v>1313</v>
      </c>
      <c r="G158" s="12" t="s">
        <v>0</v>
      </c>
      <c r="H158" s="36"/>
      <c r="I158" s="274">
        <v>0</v>
      </c>
      <c r="J158" s="36">
        <f t="shared" si="40"/>
        <v>0</v>
      </c>
      <c r="K158" s="225">
        <f t="shared" si="48"/>
        <v>2.88</v>
      </c>
      <c r="L158" s="154"/>
      <c r="M158" s="39"/>
      <c r="N158" s="318"/>
      <c r="O158" s="36"/>
      <c r="P158" s="225">
        <f t="shared" si="47"/>
        <v>0</v>
      </c>
      <c r="Q158" s="48" t="str">
        <f t="shared" si="36"/>
        <v>6ти кольцевой</v>
      </c>
      <c r="R158" s="288">
        <f t="shared" si="45"/>
        <v>4.03</v>
      </c>
      <c r="S158" s="290">
        <f>111.87*0.03</f>
        <v>3.36</v>
      </c>
      <c r="T158" s="268">
        <f t="shared" si="44"/>
        <v>0</v>
      </c>
      <c r="U158" s="18"/>
      <c r="V158" s="18">
        <f t="shared" si="43"/>
        <v>0</v>
      </c>
      <c r="W158" s="49">
        <f t="shared" si="46"/>
        <v>0</v>
      </c>
      <c r="X158" s="18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s="4" customFormat="1" ht="26.25" hidden="1" customHeight="1" x14ac:dyDescent="0.25">
      <c r="A159" s="10"/>
      <c r="B159" s="11"/>
      <c r="C159" s="6" t="s">
        <v>18</v>
      </c>
      <c r="D159" s="21" t="s">
        <v>141</v>
      </c>
      <c r="E159" s="1" t="s">
        <v>512</v>
      </c>
      <c r="F159" s="297">
        <v>1378</v>
      </c>
      <c r="G159" s="12" t="s">
        <v>0</v>
      </c>
      <c r="H159" s="36"/>
      <c r="I159" s="274">
        <v>0</v>
      </c>
      <c r="J159" s="36">
        <f t="shared" si="40"/>
        <v>0</v>
      </c>
      <c r="K159" s="225">
        <f t="shared" si="48"/>
        <v>0.09</v>
      </c>
      <c r="L159" s="154"/>
      <c r="M159" s="39"/>
      <c r="N159" s="318"/>
      <c r="O159" s="36"/>
      <c r="P159" s="225">
        <f t="shared" si="47"/>
        <v>0</v>
      </c>
      <c r="Q159" s="48" t="str">
        <f t="shared" si="36"/>
        <v xml:space="preserve"> Односторонний под наклейку  Д7</v>
      </c>
      <c r="R159" s="288">
        <f t="shared" si="45"/>
        <v>0.13</v>
      </c>
      <c r="S159" s="290">
        <f>3.73*0.03</f>
        <v>0.11</v>
      </c>
      <c r="T159" s="268">
        <f t="shared" si="44"/>
        <v>0</v>
      </c>
      <c r="U159" s="18"/>
      <c r="V159" s="18">
        <f t="shared" si="43"/>
        <v>0</v>
      </c>
      <c r="W159" s="49">
        <f t="shared" si="46"/>
        <v>0</v>
      </c>
      <c r="X159" s="18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s="4" customFormat="1" ht="26.25" customHeight="1" x14ac:dyDescent="0.25">
      <c r="A160" s="10"/>
      <c r="B160" s="11">
        <v>56</v>
      </c>
      <c r="C160" s="6" t="s">
        <v>18</v>
      </c>
      <c r="D160" s="21" t="s">
        <v>141</v>
      </c>
      <c r="E160" s="331" t="s">
        <v>579</v>
      </c>
      <c r="F160" s="298" t="s">
        <v>527</v>
      </c>
      <c r="G160" s="12" t="s">
        <v>0</v>
      </c>
      <c r="H160" s="36"/>
      <c r="I160" s="274">
        <v>0</v>
      </c>
      <c r="J160" s="36">
        <f t="shared" si="40"/>
        <v>400</v>
      </c>
      <c r="K160" s="225">
        <f t="shared" si="48"/>
        <v>0.22</v>
      </c>
      <c r="L160" s="154"/>
      <c r="M160" s="39"/>
      <c r="N160" s="318">
        <v>400</v>
      </c>
      <c r="O160" s="36"/>
      <c r="P160" s="225">
        <f t="shared" si="47"/>
        <v>0</v>
      </c>
      <c r="Q160" s="48" t="str">
        <f t="shared" si="36"/>
        <v>ЭПГ110.014</v>
      </c>
      <c r="R160" s="288">
        <f t="shared" si="45"/>
        <v>0.31</v>
      </c>
      <c r="S160" s="399">
        <v>0.26</v>
      </c>
      <c r="T160" s="268">
        <f t="shared" si="44"/>
        <v>104</v>
      </c>
      <c r="U160" s="18"/>
      <c r="V160" s="18">
        <f t="shared" si="43"/>
        <v>400</v>
      </c>
      <c r="W160" s="49">
        <f t="shared" si="46"/>
        <v>400</v>
      </c>
      <c r="X160" s="18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24" ht="26.25" customHeight="1" x14ac:dyDescent="0.25">
      <c r="B161" s="11">
        <v>57</v>
      </c>
      <c r="C161" s="6" t="s">
        <v>18</v>
      </c>
      <c r="D161" s="21" t="s">
        <v>141</v>
      </c>
      <c r="E161" s="331" t="s">
        <v>712</v>
      </c>
      <c r="F161" s="298" t="s">
        <v>54</v>
      </c>
      <c r="G161" s="262" t="s">
        <v>0</v>
      </c>
      <c r="H161" s="36"/>
      <c r="I161" s="274">
        <v>0</v>
      </c>
      <c r="J161" s="36">
        <f t="shared" si="40"/>
        <v>50</v>
      </c>
      <c r="K161" s="225">
        <f t="shared" si="48"/>
        <v>0.26</v>
      </c>
      <c r="L161" s="154">
        <f>K161*J465</f>
        <v>0</v>
      </c>
      <c r="M161" s="133"/>
      <c r="N161" s="109">
        <v>50</v>
      </c>
      <c r="O161" s="36"/>
      <c r="P161" s="225">
        <f t="shared" si="47"/>
        <v>0</v>
      </c>
      <c r="Q161" s="48" t="str">
        <f t="shared" si="36"/>
        <v>ЭПГ110.032</v>
      </c>
      <c r="R161" s="288">
        <f t="shared" si="45"/>
        <v>0.36</v>
      </c>
      <c r="S161" s="399">
        <v>0.3</v>
      </c>
      <c r="T161" s="268">
        <f t="shared" si="44"/>
        <v>15</v>
      </c>
      <c r="U161" s="18"/>
      <c r="V161" s="18">
        <f t="shared" si="43"/>
        <v>50</v>
      </c>
      <c r="W161" s="49">
        <f t="shared" si="46"/>
        <v>50</v>
      </c>
      <c r="X161" s="18"/>
    </row>
    <row r="162" spans="1:24" s="4" customFormat="1" ht="26.25" customHeight="1" x14ac:dyDescent="0.25">
      <c r="A162" s="10"/>
      <c r="B162" s="11">
        <v>58</v>
      </c>
      <c r="C162" s="6" t="s">
        <v>18</v>
      </c>
      <c r="D162" s="21" t="s">
        <v>141</v>
      </c>
      <c r="E162" s="331" t="s">
        <v>580</v>
      </c>
      <c r="F162" s="298" t="s">
        <v>409</v>
      </c>
      <c r="G162" s="12" t="s">
        <v>0</v>
      </c>
      <c r="H162" s="36"/>
      <c r="I162" s="274">
        <v>0</v>
      </c>
      <c r="J162" s="36">
        <f t="shared" si="40"/>
        <v>60</v>
      </c>
      <c r="K162" s="225">
        <f t="shared" si="48"/>
        <v>0.37</v>
      </c>
      <c r="L162" s="154">
        <f>K162*J466</f>
        <v>0</v>
      </c>
      <c r="M162" s="127"/>
      <c r="N162" s="109">
        <v>60</v>
      </c>
      <c r="O162" s="353"/>
      <c r="P162" s="225">
        <f t="shared" si="47"/>
        <v>0</v>
      </c>
      <c r="Q162" s="159" t="str">
        <f t="shared" si="36"/>
        <v>ЭПГ110.044</v>
      </c>
      <c r="R162" s="288">
        <f t="shared" si="45"/>
        <v>0.52</v>
      </c>
      <c r="S162" s="399">
        <v>0.43</v>
      </c>
      <c r="T162" s="268">
        <f t="shared" si="44"/>
        <v>25.8</v>
      </c>
      <c r="U162" s="16">
        <v>0</v>
      </c>
      <c r="V162" s="18">
        <f t="shared" si="43"/>
        <v>60</v>
      </c>
      <c r="W162" s="49">
        <f t="shared" si="46"/>
        <v>60</v>
      </c>
      <c r="X162" s="16">
        <v>0</v>
      </c>
    </row>
    <row r="163" spans="1:24" s="4" customFormat="1" ht="26.25" customHeight="1" x14ac:dyDescent="0.25">
      <c r="A163" s="10"/>
      <c r="B163" s="11">
        <v>59</v>
      </c>
      <c r="C163" s="6" t="s">
        <v>18</v>
      </c>
      <c r="D163" s="21" t="s">
        <v>141</v>
      </c>
      <c r="E163" s="331" t="s">
        <v>761</v>
      </c>
      <c r="F163" s="298" t="s">
        <v>762</v>
      </c>
      <c r="G163" s="12" t="s">
        <v>0</v>
      </c>
      <c r="H163" s="36"/>
      <c r="I163" s="274">
        <v>0</v>
      </c>
      <c r="J163" s="36">
        <f t="shared" si="40"/>
        <v>20</v>
      </c>
      <c r="K163" s="225">
        <f t="shared" si="48"/>
        <v>0.64</v>
      </c>
      <c r="L163" s="154">
        <f>K163*J467</f>
        <v>0</v>
      </c>
      <c r="M163" s="126"/>
      <c r="N163" s="109">
        <v>20</v>
      </c>
      <c r="O163" s="353"/>
      <c r="P163" s="225">
        <f t="shared" si="47"/>
        <v>0</v>
      </c>
      <c r="Q163" s="159" t="str">
        <f t="shared" si="36"/>
        <v>ЭПГ110.045</v>
      </c>
      <c r="R163" s="288">
        <f t="shared" si="45"/>
        <v>0.9</v>
      </c>
      <c r="S163" s="399">
        <v>0.75</v>
      </c>
      <c r="T163" s="268">
        <f t="shared" si="44"/>
        <v>15</v>
      </c>
      <c r="U163" s="16">
        <v>0</v>
      </c>
      <c r="V163" s="18">
        <f t="shared" si="43"/>
        <v>20</v>
      </c>
      <c r="W163" s="49">
        <f t="shared" si="46"/>
        <v>20</v>
      </c>
      <c r="X163" s="16">
        <v>0</v>
      </c>
    </row>
    <row r="164" spans="1:24" ht="26.25" customHeight="1" x14ac:dyDescent="0.25">
      <c r="B164" s="14">
        <v>60</v>
      </c>
      <c r="C164" s="6" t="s">
        <v>128</v>
      </c>
      <c r="D164" s="21" t="s">
        <v>141</v>
      </c>
      <c r="E164" s="329" t="s">
        <v>584</v>
      </c>
      <c r="F164" s="297">
        <v>629</v>
      </c>
      <c r="G164" s="12" t="s">
        <v>0</v>
      </c>
      <c r="H164" s="36"/>
      <c r="I164" s="225">
        <v>0</v>
      </c>
      <c r="J164" s="36">
        <f t="shared" si="40"/>
        <v>500</v>
      </c>
      <c r="K164" s="225">
        <f t="shared" si="48"/>
        <v>1.59</v>
      </c>
      <c r="L164" s="154">
        <f>K164*J468</f>
        <v>0</v>
      </c>
      <c r="M164" s="327"/>
      <c r="N164" s="109">
        <v>500</v>
      </c>
      <c r="O164" s="353"/>
      <c r="P164" s="225">
        <f t="shared" si="47"/>
        <v>0</v>
      </c>
      <c r="Q164" s="159" t="str">
        <f t="shared" si="36"/>
        <v xml:space="preserve">8ПМ.610.033    МП-1  </v>
      </c>
      <c r="R164" s="288">
        <f t="shared" si="45"/>
        <v>2.2200000000000002</v>
      </c>
      <c r="S164" s="235">
        <v>1.85</v>
      </c>
      <c r="T164" s="268">
        <f t="shared" si="44"/>
        <v>925</v>
      </c>
      <c r="U164" s="18"/>
      <c r="V164" s="18">
        <f t="shared" si="43"/>
        <v>500</v>
      </c>
      <c r="W164" s="49">
        <f t="shared" si="46"/>
        <v>500</v>
      </c>
      <c r="X164" s="18"/>
    </row>
    <row r="165" spans="1:24" ht="26.25" hidden="1" customHeight="1" x14ac:dyDescent="0.25">
      <c r="B165" s="11"/>
      <c r="C165" s="6" t="s">
        <v>19</v>
      </c>
      <c r="D165" s="21" t="s">
        <v>139</v>
      </c>
      <c r="E165" s="97" t="s">
        <v>159</v>
      </c>
      <c r="F165" s="302"/>
      <c r="G165" s="14" t="s">
        <v>36</v>
      </c>
      <c r="H165" s="36"/>
      <c r="I165" s="225">
        <v>0</v>
      </c>
      <c r="J165" s="36">
        <f t="shared" si="40"/>
        <v>0</v>
      </c>
      <c r="K165" s="225">
        <f t="shared" si="48"/>
        <v>0</v>
      </c>
      <c r="L165" s="154">
        <f>K165*J469</f>
        <v>0</v>
      </c>
      <c r="M165" s="39"/>
      <c r="N165" s="109"/>
      <c r="O165" s="36"/>
      <c r="P165" s="344">
        <f t="shared" si="47"/>
        <v>0</v>
      </c>
      <c r="Q165" s="48" t="str">
        <f t="shared" si="36"/>
        <v>к10</v>
      </c>
      <c r="R165" s="288">
        <f t="shared" si="45"/>
        <v>0</v>
      </c>
      <c r="S165" s="235">
        <v>0</v>
      </c>
      <c r="T165" s="268">
        <f t="shared" si="44"/>
        <v>0</v>
      </c>
      <c r="U165" s="16"/>
      <c r="V165" s="18">
        <f t="shared" si="43"/>
        <v>0</v>
      </c>
      <c r="W165" s="49">
        <f t="shared" si="46"/>
        <v>16000</v>
      </c>
      <c r="X165" s="397">
        <f>8000*2</f>
        <v>16000</v>
      </c>
    </row>
    <row r="166" spans="1:24" ht="26.25" hidden="1" customHeight="1" x14ac:dyDescent="0.25">
      <c r="B166" s="11"/>
      <c r="C166" s="6" t="s">
        <v>19</v>
      </c>
      <c r="D166" s="21" t="s">
        <v>139</v>
      </c>
      <c r="E166" s="83" t="s">
        <v>681</v>
      </c>
      <c r="F166" s="302" t="s">
        <v>689</v>
      </c>
      <c r="G166" s="14"/>
      <c r="H166" s="36"/>
      <c r="I166" s="274"/>
      <c r="J166" s="36">
        <f t="shared" si="40"/>
        <v>0</v>
      </c>
      <c r="K166" s="225">
        <f t="shared" si="48"/>
        <v>1.63</v>
      </c>
      <c r="L166" s="154"/>
      <c r="M166" s="39"/>
      <c r="N166" s="109"/>
      <c r="O166" s="36"/>
      <c r="P166" s="344"/>
      <c r="Q166" s="48" t="str">
        <f t="shared" si="36"/>
        <v>23х6,4х12,5</v>
      </c>
      <c r="R166" s="288">
        <f t="shared" si="45"/>
        <v>2.2799999999999998</v>
      </c>
      <c r="S166" s="235">
        <v>1.9</v>
      </c>
      <c r="T166" s="268"/>
      <c r="U166" s="16"/>
      <c r="V166" s="18"/>
      <c r="W166" s="49"/>
      <c r="X166" s="16"/>
    </row>
    <row r="167" spans="1:24" ht="26.25" hidden="1" customHeight="1" x14ac:dyDescent="0.25">
      <c r="B167" s="11"/>
      <c r="C167" s="6" t="s">
        <v>19</v>
      </c>
      <c r="D167" s="21" t="s">
        <v>139</v>
      </c>
      <c r="E167" s="329" t="s">
        <v>682</v>
      </c>
      <c r="F167" s="295">
        <v>1487</v>
      </c>
      <c r="G167" s="12" t="s">
        <v>0</v>
      </c>
      <c r="H167" s="36"/>
      <c r="I167" s="274">
        <v>0</v>
      </c>
      <c r="J167" s="36">
        <f t="shared" si="40"/>
        <v>0</v>
      </c>
      <c r="K167" s="225">
        <f t="shared" si="48"/>
        <v>1.61</v>
      </c>
      <c r="L167" s="154">
        <f t="shared" ref="L167:L185" si="49">K167*J470</f>
        <v>0</v>
      </c>
      <c r="M167" s="192"/>
      <c r="N167" s="109"/>
      <c r="O167" s="36"/>
      <c r="P167" s="225">
        <f t="shared" ref="P167:P179" si="50">K167*O167</f>
        <v>0</v>
      </c>
      <c r="Q167" s="48" t="str">
        <f t="shared" si="36"/>
        <v>К6х4х3</v>
      </c>
      <c r="R167" s="288">
        <f t="shared" si="45"/>
        <v>2.2599999999999998</v>
      </c>
      <c r="S167" s="235">
        <v>1.88</v>
      </c>
      <c r="T167" s="268">
        <f t="shared" ref="T167:T198" si="51">S167*J167</f>
        <v>0</v>
      </c>
      <c r="U167" s="16"/>
      <c r="V167" s="18">
        <f t="shared" ref="V167:V198" si="52">N167</f>
        <v>0</v>
      </c>
      <c r="W167" s="49">
        <f t="shared" ref="W167:W198" si="53">X167-U167+V167</f>
        <v>0</v>
      </c>
      <c r="X167" s="16"/>
    </row>
    <row r="168" spans="1:24" ht="26.25" hidden="1" customHeight="1" x14ac:dyDescent="0.25">
      <c r="B168" s="14"/>
      <c r="C168" s="6" t="s">
        <v>19</v>
      </c>
      <c r="D168" s="21" t="s">
        <v>139</v>
      </c>
      <c r="E168" s="96" t="s">
        <v>30</v>
      </c>
      <c r="F168" s="298" t="s">
        <v>221</v>
      </c>
      <c r="G168" s="14" t="s">
        <v>0</v>
      </c>
      <c r="H168" s="36"/>
      <c r="I168" s="225">
        <v>0</v>
      </c>
      <c r="J168" s="36">
        <f t="shared" si="40"/>
        <v>0</v>
      </c>
      <c r="K168" s="225">
        <f t="shared" si="48"/>
        <v>0.01</v>
      </c>
      <c r="L168" s="154">
        <f t="shared" si="49"/>
        <v>0</v>
      </c>
      <c r="M168" s="39"/>
      <c r="N168" s="109"/>
      <c r="O168" s="36"/>
      <c r="P168" s="225">
        <f t="shared" si="50"/>
        <v>0</v>
      </c>
      <c r="Q168" s="48" t="str">
        <f t="shared" si="36"/>
        <v xml:space="preserve"> СпГ210-004 Пг 2,8х2,3х3,5</v>
      </c>
      <c r="R168" s="288">
        <f t="shared" si="45"/>
        <v>0.02</v>
      </c>
      <c r="S168" s="235">
        <v>0.02</v>
      </c>
      <c r="T168" s="268">
        <f t="shared" si="51"/>
        <v>0</v>
      </c>
      <c r="U168" s="16">
        <v>14345</v>
      </c>
      <c r="V168" s="18">
        <f t="shared" si="52"/>
        <v>0</v>
      </c>
      <c r="W168" s="49">
        <f t="shared" si="53"/>
        <v>0</v>
      </c>
      <c r="X168" s="16">
        <v>14345</v>
      </c>
    </row>
    <row r="169" spans="1:24" ht="26.25" hidden="1" customHeight="1" x14ac:dyDescent="0.25">
      <c r="B169" s="14"/>
      <c r="C169" s="6" t="s">
        <v>19</v>
      </c>
      <c r="D169" s="21" t="s">
        <v>139</v>
      </c>
      <c r="E169" s="96" t="s">
        <v>488</v>
      </c>
      <c r="F169" s="297">
        <v>1347</v>
      </c>
      <c r="G169" s="45" t="s">
        <v>0</v>
      </c>
      <c r="H169" s="36"/>
      <c r="I169" s="274">
        <v>0</v>
      </c>
      <c r="J169" s="36">
        <f t="shared" si="40"/>
        <v>0</v>
      </c>
      <c r="K169" s="225">
        <f t="shared" si="48"/>
        <v>0.34</v>
      </c>
      <c r="L169" s="154">
        <f t="shared" si="49"/>
        <v>0</v>
      </c>
      <c r="M169" s="85"/>
      <c r="N169" s="109"/>
      <c r="O169" s="36"/>
      <c r="P169" s="350">
        <f t="shared" si="50"/>
        <v>0</v>
      </c>
      <c r="Q169" s="48" t="str">
        <f t="shared" si="36"/>
        <v>C4х32</v>
      </c>
      <c r="R169" s="288">
        <f t="shared" si="45"/>
        <v>0.48</v>
      </c>
      <c r="S169" s="246">
        <v>0.4</v>
      </c>
      <c r="T169" s="268">
        <f t="shared" si="51"/>
        <v>0</v>
      </c>
      <c r="U169" s="18"/>
      <c r="V169" s="18">
        <f t="shared" si="52"/>
        <v>0</v>
      </c>
      <c r="W169" s="49">
        <f t="shared" si="53"/>
        <v>0</v>
      </c>
      <c r="X169" s="18"/>
    </row>
    <row r="170" spans="1:24" ht="26.25" hidden="1" customHeight="1" x14ac:dyDescent="0.25">
      <c r="B170" s="17"/>
      <c r="C170" s="6" t="s">
        <v>19</v>
      </c>
      <c r="D170" s="21" t="s">
        <v>139</v>
      </c>
      <c r="E170" s="96" t="s">
        <v>23</v>
      </c>
      <c r="F170" s="135" t="s">
        <v>56</v>
      </c>
      <c r="G170" s="12" t="s">
        <v>0</v>
      </c>
      <c r="H170" s="36"/>
      <c r="I170" s="274">
        <v>0</v>
      </c>
      <c r="J170" s="36">
        <f t="shared" si="40"/>
        <v>0</v>
      </c>
      <c r="K170" s="225">
        <f t="shared" si="48"/>
        <v>0.04</v>
      </c>
      <c r="L170" s="154">
        <f t="shared" si="49"/>
        <v>0</v>
      </c>
      <c r="M170" s="128"/>
      <c r="N170" s="109"/>
      <c r="O170" s="353"/>
      <c r="P170" s="225">
        <f t="shared" si="50"/>
        <v>0</v>
      </c>
      <c r="Q170" s="159" t="str">
        <f t="shared" si="36"/>
        <v xml:space="preserve"> СГ 210-001 Г5,5х3х7,4</v>
      </c>
      <c r="R170" s="223">
        <f t="shared" si="45"/>
        <v>0.06</v>
      </c>
      <c r="S170" s="255">
        <v>0.05</v>
      </c>
      <c r="T170" s="268">
        <f t="shared" si="51"/>
        <v>0</v>
      </c>
      <c r="U170" s="18"/>
      <c r="V170" s="18">
        <f t="shared" si="52"/>
        <v>0</v>
      </c>
      <c r="W170" s="49">
        <f t="shared" si="53"/>
        <v>0</v>
      </c>
      <c r="X170" s="18"/>
    </row>
    <row r="171" spans="1:24" ht="26.25" hidden="1" customHeight="1" x14ac:dyDescent="0.25">
      <c r="B171" s="17"/>
      <c r="C171" s="6" t="s">
        <v>19</v>
      </c>
      <c r="D171" s="21" t="s">
        <v>139</v>
      </c>
      <c r="E171" s="99" t="s">
        <v>92</v>
      </c>
      <c r="F171" s="296" t="s">
        <v>298</v>
      </c>
      <c r="G171" s="45" t="s">
        <v>0</v>
      </c>
      <c r="H171" s="36"/>
      <c r="I171" s="225">
        <v>0</v>
      </c>
      <c r="J171" s="36">
        <f t="shared" si="40"/>
        <v>0</v>
      </c>
      <c r="K171" s="225">
        <f t="shared" si="48"/>
        <v>0.01</v>
      </c>
      <c r="L171" s="154">
        <f t="shared" si="49"/>
        <v>0</v>
      </c>
      <c r="M171" s="85"/>
      <c r="N171" s="109"/>
      <c r="O171" s="36"/>
      <c r="P171" s="344">
        <f t="shared" si="50"/>
        <v>0</v>
      </c>
      <c r="Q171" s="48" t="str">
        <f t="shared" si="36"/>
        <v>серд СТ210-005(Т3,5х1,2х10)</v>
      </c>
      <c r="R171" s="288">
        <f t="shared" si="45"/>
        <v>0.02</v>
      </c>
      <c r="S171" s="235">
        <v>0.02</v>
      </c>
      <c r="T171" s="268">
        <f t="shared" si="51"/>
        <v>0</v>
      </c>
      <c r="U171" s="16">
        <v>9950</v>
      </c>
      <c r="V171" s="18">
        <f t="shared" si="52"/>
        <v>0</v>
      </c>
      <c r="W171" s="49">
        <f t="shared" si="53"/>
        <v>0</v>
      </c>
      <c r="X171" s="16">
        <v>9950</v>
      </c>
    </row>
    <row r="172" spans="1:24" ht="26.25" hidden="1" customHeight="1" x14ac:dyDescent="0.25">
      <c r="B172" s="14"/>
      <c r="C172" s="6" t="s">
        <v>19</v>
      </c>
      <c r="D172" s="21" t="s">
        <v>139</v>
      </c>
      <c r="E172" s="99" t="s">
        <v>628</v>
      </c>
      <c r="F172" s="135">
        <v>393</v>
      </c>
      <c r="G172" s="13" t="s">
        <v>0</v>
      </c>
      <c r="H172" s="36"/>
      <c r="I172" s="225">
        <v>0</v>
      </c>
      <c r="J172" s="36">
        <f t="shared" si="40"/>
        <v>0</v>
      </c>
      <c r="K172" s="225">
        <f t="shared" si="48"/>
        <v>3</v>
      </c>
      <c r="L172" s="154">
        <f t="shared" si="49"/>
        <v>0</v>
      </c>
      <c r="M172" s="88"/>
      <c r="N172" s="109"/>
      <c r="O172" s="36"/>
      <c r="P172" s="225">
        <f t="shared" si="50"/>
        <v>0</v>
      </c>
      <c r="Q172" s="48" t="str">
        <f t="shared" si="36"/>
        <v>ИБЯД.04.00.001</v>
      </c>
      <c r="R172" s="288">
        <f t="shared" si="45"/>
        <v>4.2</v>
      </c>
      <c r="S172" s="235">
        <v>3.5</v>
      </c>
      <c r="T172" s="268">
        <f t="shared" si="51"/>
        <v>0</v>
      </c>
      <c r="U172" s="16">
        <v>0</v>
      </c>
      <c r="V172" s="18">
        <f t="shared" si="52"/>
        <v>0</v>
      </c>
      <c r="W172" s="49">
        <f t="shared" si="53"/>
        <v>0</v>
      </c>
      <c r="X172" s="16">
        <v>0</v>
      </c>
    </row>
    <row r="173" spans="1:24" ht="26.25" hidden="1" customHeight="1" x14ac:dyDescent="0.25">
      <c r="B173" s="11"/>
      <c r="C173" s="6" t="s">
        <v>19</v>
      </c>
      <c r="D173" s="21" t="s">
        <v>139</v>
      </c>
      <c r="E173" s="99" t="s">
        <v>235</v>
      </c>
      <c r="F173" s="301">
        <v>1089</v>
      </c>
      <c r="G173" s="14" t="s">
        <v>0</v>
      </c>
      <c r="H173" s="36"/>
      <c r="I173" s="225">
        <v>0</v>
      </c>
      <c r="J173" s="36">
        <f t="shared" si="40"/>
        <v>0</v>
      </c>
      <c r="K173" s="225">
        <f t="shared" si="48"/>
        <v>0.04</v>
      </c>
      <c r="L173" s="154">
        <f t="shared" si="49"/>
        <v>0</v>
      </c>
      <c r="M173" s="39"/>
      <c r="N173" s="109"/>
      <c r="O173" s="36"/>
      <c r="P173" s="225">
        <f t="shared" si="50"/>
        <v>0</v>
      </c>
      <c r="Q173" s="48" t="str">
        <f t="shared" si="36"/>
        <v>Ч14</v>
      </c>
      <c r="R173" s="288">
        <f t="shared" si="45"/>
        <v>0.05</v>
      </c>
      <c r="S173" s="235">
        <v>0.04</v>
      </c>
      <c r="T173" s="268">
        <f t="shared" si="51"/>
        <v>0</v>
      </c>
      <c r="U173" s="16">
        <v>150000</v>
      </c>
      <c r="V173" s="18">
        <f t="shared" si="52"/>
        <v>0</v>
      </c>
      <c r="W173" s="49">
        <f t="shared" si="53"/>
        <v>0</v>
      </c>
      <c r="X173" s="16">
        <v>150000</v>
      </c>
    </row>
    <row r="174" spans="1:24" ht="26.25" hidden="1" customHeight="1" x14ac:dyDescent="0.25">
      <c r="B174" s="14"/>
      <c r="C174" s="6" t="s">
        <v>19</v>
      </c>
      <c r="D174" s="21" t="s">
        <v>139</v>
      </c>
      <c r="E174" s="96" t="s">
        <v>130</v>
      </c>
      <c r="F174" s="297">
        <v>72</v>
      </c>
      <c r="G174" s="14" t="s">
        <v>0</v>
      </c>
      <c r="H174" s="36">
        <v>0</v>
      </c>
      <c r="I174" s="225">
        <v>0</v>
      </c>
      <c r="J174" s="36">
        <f t="shared" si="40"/>
        <v>0</v>
      </c>
      <c r="K174" s="225">
        <f t="shared" si="48"/>
        <v>1.06</v>
      </c>
      <c r="L174" s="154">
        <f t="shared" si="49"/>
        <v>0</v>
      </c>
      <c r="M174" s="84"/>
      <c r="N174" s="109"/>
      <c r="O174" s="36">
        <v>0</v>
      </c>
      <c r="P174" s="350">
        <f t="shared" si="50"/>
        <v>0</v>
      </c>
      <c r="Q174" s="48" t="str">
        <f t="shared" si="36"/>
        <v>ПП30*15*10</v>
      </c>
      <c r="R174" s="288">
        <f t="shared" si="45"/>
        <v>1.49</v>
      </c>
      <c r="S174" s="235">
        <v>1.24</v>
      </c>
      <c r="T174" s="268">
        <f t="shared" si="51"/>
        <v>0</v>
      </c>
      <c r="U174" s="16">
        <v>0</v>
      </c>
      <c r="V174" s="18">
        <f t="shared" si="52"/>
        <v>0</v>
      </c>
      <c r="W174" s="49">
        <f t="shared" si="53"/>
        <v>0</v>
      </c>
      <c r="X174" s="16">
        <v>0</v>
      </c>
    </row>
    <row r="175" spans="1:24" ht="26.25" customHeight="1" x14ac:dyDescent="0.25">
      <c r="B175" s="11">
        <v>61</v>
      </c>
      <c r="C175" s="6" t="s">
        <v>19</v>
      </c>
      <c r="D175" s="21" t="s">
        <v>139</v>
      </c>
      <c r="E175" s="96" t="s">
        <v>478</v>
      </c>
      <c r="F175" s="294">
        <v>1340</v>
      </c>
      <c r="G175" s="12" t="s">
        <v>0</v>
      </c>
      <c r="H175" s="36">
        <v>4800</v>
      </c>
      <c r="I175" s="274">
        <v>2832</v>
      </c>
      <c r="J175" s="36">
        <f t="shared" si="40"/>
        <v>0</v>
      </c>
      <c r="K175" s="225">
        <f t="shared" si="48"/>
        <v>0.59</v>
      </c>
      <c r="L175" s="154">
        <f t="shared" si="49"/>
        <v>0</v>
      </c>
      <c r="M175" s="208"/>
      <c r="N175" s="109"/>
      <c r="O175" s="36">
        <v>4800</v>
      </c>
      <c r="P175" s="225">
        <f t="shared" si="50"/>
        <v>2832</v>
      </c>
      <c r="Q175" s="159" t="str">
        <f t="shared" si="36"/>
        <v>К38х24х7</v>
      </c>
      <c r="R175" s="288">
        <f t="shared" si="45"/>
        <v>0.83</v>
      </c>
      <c r="S175" s="238">
        <f>20.21*0.034</f>
        <v>0.69</v>
      </c>
      <c r="T175" s="268">
        <f t="shared" si="51"/>
        <v>0</v>
      </c>
      <c r="U175" s="116">
        <f>300*33+180</f>
        <v>10080</v>
      </c>
      <c r="V175" s="18">
        <f t="shared" si="52"/>
        <v>0</v>
      </c>
      <c r="W175" s="49">
        <f t="shared" si="53"/>
        <v>0</v>
      </c>
      <c r="X175" s="325">
        <f>300*33+180</f>
        <v>10080</v>
      </c>
    </row>
    <row r="176" spans="1:24" ht="26.25" customHeight="1" x14ac:dyDescent="0.25">
      <c r="B176" s="11">
        <v>62</v>
      </c>
      <c r="C176" s="6" t="s">
        <v>19</v>
      </c>
      <c r="D176" s="21" t="s">
        <v>146</v>
      </c>
      <c r="E176" s="96" t="s">
        <v>479</v>
      </c>
      <c r="F176" s="294">
        <v>1348</v>
      </c>
      <c r="G176" s="12" t="s">
        <v>0</v>
      </c>
      <c r="H176" s="36">
        <v>4800</v>
      </c>
      <c r="I176" s="274">
        <v>1872</v>
      </c>
      <c r="J176" s="36">
        <f t="shared" si="40"/>
        <v>0</v>
      </c>
      <c r="K176" s="225">
        <f t="shared" si="48"/>
        <v>0.39</v>
      </c>
      <c r="L176" s="154">
        <f t="shared" si="49"/>
        <v>0</v>
      </c>
      <c r="M176" s="56"/>
      <c r="N176" s="109"/>
      <c r="O176" s="36">
        <v>4800</v>
      </c>
      <c r="P176" s="225">
        <f t="shared" si="50"/>
        <v>1872</v>
      </c>
      <c r="Q176" s="159" t="str">
        <f t="shared" si="36"/>
        <v>К23х10х7</v>
      </c>
      <c r="R176" s="288">
        <f t="shared" ref="R176:R207" si="54">S176*1.2</f>
        <v>0.54</v>
      </c>
      <c r="S176" s="254">
        <f>13.17*0.034</f>
        <v>0.45</v>
      </c>
      <c r="T176" s="268">
        <f t="shared" si="51"/>
        <v>0</v>
      </c>
      <c r="U176" s="115">
        <v>8650</v>
      </c>
      <c r="V176" s="18">
        <f t="shared" si="52"/>
        <v>0</v>
      </c>
      <c r="W176" s="49">
        <f t="shared" si="53"/>
        <v>0</v>
      </c>
      <c r="X176" s="397">
        <v>8650</v>
      </c>
    </row>
    <row r="177" spans="1:41" ht="26.25" hidden="1" customHeight="1" x14ac:dyDescent="0.25">
      <c r="B177" s="11"/>
      <c r="C177" s="6" t="s">
        <v>19</v>
      </c>
      <c r="D177" s="21" t="s">
        <v>139</v>
      </c>
      <c r="E177" s="96" t="s">
        <v>79</v>
      </c>
      <c r="F177" s="299">
        <v>92</v>
      </c>
      <c r="G177" s="12" t="s">
        <v>0</v>
      </c>
      <c r="H177" s="36"/>
      <c r="I177" s="225">
        <v>0</v>
      </c>
      <c r="J177" s="36">
        <f t="shared" si="40"/>
        <v>0</v>
      </c>
      <c r="K177" s="225">
        <f t="shared" si="48"/>
        <v>1.2</v>
      </c>
      <c r="L177" s="154">
        <f t="shared" si="49"/>
        <v>0</v>
      </c>
      <c r="M177" s="89"/>
      <c r="N177" s="109"/>
      <c r="O177" s="36"/>
      <c r="P177" s="344">
        <f t="shared" si="50"/>
        <v>0</v>
      </c>
      <c r="Q177" s="48" t="str">
        <f t="shared" si="36"/>
        <v>СП210-028</v>
      </c>
      <c r="R177" s="288">
        <f t="shared" si="54"/>
        <v>1.68</v>
      </c>
      <c r="S177" s="235">
        <v>1.4</v>
      </c>
      <c r="T177" s="268">
        <f t="shared" si="51"/>
        <v>0</v>
      </c>
      <c r="U177" s="16">
        <v>60</v>
      </c>
      <c r="V177" s="18">
        <f t="shared" si="52"/>
        <v>0</v>
      </c>
      <c r="W177" s="49">
        <f t="shared" si="53"/>
        <v>0</v>
      </c>
      <c r="X177" s="16">
        <v>60</v>
      </c>
    </row>
    <row r="178" spans="1:41" ht="26.25" hidden="1" customHeight="1" x14ac:dyDescent="0.25">
      <c r="B178" s="17"/>
      <c r="C178" s="6" t="s">
        <v>19</v>
      </c>
      <c r="D178" s="21" t="s">
        <v>139</v>
      </c>
      <c r="E178" s="83" t="s">
        <v>605</v>
      </c>
      <c r="F178" s="298" t="s">
        <v>608</v>
      </c>
      <c r="G178" s="12" t="s">
        <v>0</v>
      </c>
      <c r="H178" s="36"/>
      <c r="I178" s="225">
        <v>0</v>
      </c>
      <c r="J178" s="36">
        <f t="shared" si="40"/>
        <v>0</v>
      </c>
      <c r="K178" s="225">
        <f t="shared" si="48"/>
        <v>0.25</v>
      </c>
      <c r="L178" s="154">
        <f t="shared" si="49"/>
        <v>0</v>
      </c>
      <c r="M178" s="132"/>
      <c r="N178" s="109"/>
      <c r="O178" s="36"/>
      <c r="P178" s="225">
        <f t="shared" si="50"/>
        <v>0</v>
      </c>
      <c r="Q178" s="48" t="str">
        <f t="shared" si="36"/>
        <v>С8х30</v>
      </c>
      <c r="R178" s="288">
        <f t="shared" si="54"/>
        <v>0.35</v>
      </c>
      <c r="S178" s="255">
        <v>0.28999999999999998</v>
      </c>
      <c r="T178" s="268">
        <f t="shared" si="51"/>
        <v>0</v>
      </c>
      <c r="U178" s="16"/>
      <c r="V178" s="18">
        <f t="shared" si="52"/>
        <v>0</v>
      </c>
      <c r="W178" s="49">
        <f t="shared" si="53"/>
        <v>0</v>
      </c>
      <c r="X178" s="16"/>
    </row>
    <row r="179" spans="1:41" ht="26.25" customHeight="1" x14ac:dyDescent="0.25">
      <c r="B179" s="11">
        <v>63</v>
      </c>
      <c r="C179" s="6" t="s">
        <v>19</v>
      </c>
      <c r="D179" s="21" t="s">
        <v>139</v>
      </c>
      <c r="E179" s="96" t="s">
        <v>75</v>
      </c>
      <c r="F179" s="135">
        <v>437</v>
      </c>
      <c r="G179" s="12" t="s">
        <v>0</v>
      </c>
      <c r="H179" s="36">
        <v>1400</v>
      </c>
      <c r="I179" s="274">
        <v>546</v>
      </c>
      <c r="J179" s="36">
        <f t="shared" si="40"/>
        <v>1400</v>
      </c>
      <c r="K179" s="225">
        <f t="shared" si="48"/>
        <v>0.39</v>
      </c>
      <c r="L179" s="154">
        <f t="shared" si="49"/>
        <v>0</v>
      </c>
      <c r="M179" s="128"/>
      <c r="N179" s="109"/>
      <c r="O179" s="36">
        <f>4*700</f>
        <v>2800</v>
      </c>
      <c r="P179" s="225">
        <f t="shared" si="50"/>
        <v>1092</v>
      </c>
      <c r="Q179" s="159" t="str">
        <f t="shared" si="36"/>
        <v>С10х40</v>
      </c>
      <c r="R179" s="223">
        <f t="shared" si="54"/>
        <v>0.54</v>
      </c>
      <c r="S179" s="235">
        <v>0.45</v>
      </c>
      <c r="T179" s="268">
        <f t="shared" si="51"/>
        <v>630</v>
      </c>
      <c r="U179" s="66">
        <v>500</v>
      </c>
      <c r="V179" s="18">
        <f t="shared" si="52"/>
        <v>0</v>
      </c>
      <c r="W179" s="49">
        <f t="shared" si="53"/>
        <v>200</v>
      </c>
      <c r="X179" s="325">
        <v>700</v>
      </c>
    </row>
    <row r="180" spans="1:41" ht="26.25" customHeight="1" x14ac:dyDescent="0.25">
      <c r="B180" s="11">
        <v>64</v>
      </c>
      <c r="C180" s="6" t="s">
        <v>19</v>
      </c>
      <c r="D180" s="21" t="s">
        <v>139</v>
      </c>
      <c r="E180" s="96" t="s">
        <v>78</v>
      </c>
      <c r="F180" s="135">
        <v>391</v>
      </c>
      <c r="G180" s="12" t="s">
        <v>0</v>
      </c>
      <c r="H180" s="36">
        <v>1800</v>
      </c>
      <c r="I180" s="274">
        <v>21.24</v>
      </c>
      <c r="J180" s="36">
        <f t="shared" si="40"/>
        <v>0</v>
      </c>
      <c r="K180" s="225">
        <v>0.01</v>
      </c>
      <c r="L180" s="154">
        <f t="shared" si="49"/>
        <v>0</v>
      </c>
      <c r="M180" s="39"/>
      <c r="N180" s="109"/>
      <c r="O180" s="36">
        <v>1800</v>
      </c>
      <c r="P180" s="225">
        <f>I180</f>
        <v>21.24</v>
      </c>
      <c r="Q180" s="159" t="str">
        <f t="shared" si="36"/>
        <v>С10х26</v>
      </c>
      <c r="R180" s="288">
        <f t="shared" si="54"/>
        <v>0.36</v>
      </c>
      <c r="S180" s="236">
        <v>0.3</v>
      </c>
      <c r="T180" s="268">
        <f t="shared" si="51"/>
        <v>0</v>
      </c>
      <c r="U180" s="116">
        <v>1800</v>
      </c>
      <c r="V180" s="18">
        <f t="shared" si="52"/>
        <v>0</v>
      </c>
      <c r="W180" s="49">
        <f t="shared" si="53"/>
        <v>0</v>
      </c>
      <c r="X180" s="325">
        <v>1800</v>
      </c>
    </row>
    <row r="181" spans="1:41" ht="26.25" customHeight="1" x14ac:dyDescent="0.25">
      <c r="B181" s="11">
        <v>65</v>
      </c>
      <c r="C181" s="6" t="s">
        <v>19</v>
      </c>
      <c r="D181" s="21" t="s">
        <v>146</v>
      </c>
      <c r="E181" s="96" t="s">
        <v>206</v>
      </c>
      <c r="F181" s="297">
        <v>373</v>
      </c>
      <c r="G181" s="45" t="s">
        <v>0</v>
      </c>
      <c r="H181" s="36"/>
      <c r="I181" s="274">
        <v>0</v>
      </c>
      <c r="J181" s="36">
        <f t="shared" si="40"/>
        <v>8</v>
      </c>
      <c r="K181" s="225">
        <f>R181/1.4</f>
        <v>4.37</v>
      </c>
      <c r="L181" s="154">
        <f t="shared" si="49"/>
        <v>0</v>
      </c>
      <c r="M181" s="277" t="s">
        <v>591</v>
      </c>
      <c r="N181" s="109">
        <v>8</v>
      </c>
      <c r="O181" s="353"/>
      <c r="P181" s="225">
        <f t="shared" ref="P181:P190" si="55">K181*O181</f>
        <v>0</v>
      </c>
      <c r="Q181" s="159" t="str">
        <f t="shared" si="36"/>
        <v>С8х160 М400НН</v>
      </c>
      <c r="R181" s="288">
        <f t="shared" si="54"/>
        <v>6.12</v>
      </c>
      <c r="S181" s="242">
        <v>5.0999999999999996</v>
      </c>
      <c r="T181" s="268">
        <f t="shared" si="51"/>
        <v>40.799999999999997</v>
      </c>
      <c r="U181" s="115">
        <f>15*14+12</f>
        <v>222</v>
      </c>
      <c r="V181" s="18">
        <f t="shared" si="52"/>
        <v>8</v>
      </c>
      <c r="W181" s="49">
        <f t="shared" si="53"/>
        <v>8</v>
      </c>
      <c r="X181" s="16">
        <f>15*14+12</f>
        <v>222</v>
      </c>
    </row>
    <row r="182" spans="1:41" s="20" customFormat="1" ht="26.25" hidden="1" customHeight="1" x14ac:dyDescent="0.25">
      <c r="A182" s="10"/>
      <c r="B182" s="11"/>
      <c r="C182" s="6" t="s">
        <v>19</v>
      </c>
      <c r="D182" s="21" t="s">
        <v>146</v>
      </c>
      <c r="E182" s="96" t="s">
        <v>145</v>
      </c>
      <c r="F182" s="296" t="s">
        <v>241</v>
      </c>
      <c r="G182" s="14" t="s">
        <v>0</v>
      </c>
      <c r="H182" s="36">
        <v>0</v>
      </c>
      <c r="I182" s="225">
        <v>0</v>
      </c>
      <c r="J182" s="36">
        <f t="shared" si="40"/>
        <v>0</v>
      </c>
      <c r="K182" s="225">
        <f>R182/1.4</f>
        <v>5.57</v>
      </c>
      <c r="L182" s="154">
        <f t="shared" si="49"/>
        <v>0</v>
      </c>
      <c r="M182" s="170" t="s">
        <v>590</v>
      </c>
      <c r="N182" s="109"/>
      <c r="O182" s="353">
        <v>0</v>
      </c>
      <c r="P182" s="225">
        <f t="shared" si="55"/>
        <v>0</v>
      </c>
      <c r="Q182" s="159" t="str">
        <f t="shared" ref="Q182:Q251" si="56">E182</f>
        <v>С10х200 М400НН</v>
      </c>
      <c r="R182" s="288">
        <f t="shared" si="54"/>
        <v>7.8</v>
      </c>
      <c r="S182" s="235">
        <v>6.5</v>
      </c>
      <c r="T182" s="268">
        <f t="shared" si="51"/>
        <v>0</v>
      </c>
      <c r="U182" s="115">
        <v>55</v>
      </c>
      <c r="V182" s="18">
        <f t="shared" si="52"/>
        <v>0</v>
      </c>
      <c r="W182" s="49">
        <f t="shared" si="53"/>
        <v>0</v>
      </c>
      <c r="X182" s="16">
        <v>55</v>
      </c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26.25" hidden="1" customHeight="1" x14ac:dyDescent="0.25">
      <c r="B183" s="14"/>
      <c r="C183" s="6" t="s">
        <v>19</v>
      </c>
      <c r="D183" s="21" t="s">
        <v>15</v>
      </c>
      <c r="E183" s="99" t="s">
        <v>153</v>
      </c>
      <c r="F183" s="301">
        <v>589</v>
      </c>
      <c r="G183" s="13" t="s">
        <v>0</v>
      </c>
      <c r="H183" s="36">
        <v>0</v>
      </c>
      <c r="I183" s="225">
        <v>0</v>
      </c>
      <c r="J183" s="36">
        <f t="shared" si="40"/>
        <v>0</v>
      </c>
      <c r="K183" s="225">
        <f>R183/1.4</f>
        <v>0.43</v>
      </c>
      <c r="L183" s="154">
        <f t="shared" si="49"/>
        <v>0</v>
      </c>
      <c r="M183" s="86"/>
      <c r="N183" s="109"/>
      <c r="O183" s="36">
        <v>0</v>
      </c>
      <c r="P183" s="344">
        <f t="shared" si="55"/>
        <v>0</v>
      </c>
      <c r="Q183" s="48" t="str">
        <f t="shared" si="56"/>
        <v>С6х30</v>
      </c>
      <c r="R183" s="288">
        <f t="shared" si="54"/>
        <v>0.6</v>
      </c>
      <c r="S183" s="235">
        <v>0.5</v>
      </c>
      <c r="T183" s="268">
        <f t="shared" si="51"/>
        <v>0</v>
      </c>
      <c r="U183" s="16">
        <v>0</v>
      </c>
      <c r="V183" s="18">
        <f t="shared" si="52"/>
        <v>0</v>
      </c>
      <c r="W183" s="49">
        <f t="shared" si="53"/>
        <v>0</v>
      </c>
      <c r="X183" s="16">
        <v>0</v>
      </c>
    </row>
    <row r="184" spans="1:41" s="19" customFormat="1" ht="26.25" hidden="1" customHeight="1" x14ac:dyDescent="0.25">
      <c r="B184" s="15"/>
      <c r="C184" s="6" t="s">
        <v>19</v>
      </c>
      <c r="D184" s="21" t="s">
        <v>15</v>
      </c>
      <c r="E184" s="96" t="s">
        <v>205</v>
      </c>
      <c r="F184" s="297">
        <v>944</v>
      </c>
      <c r="G184" s="17" t="s">
        <v>0</v>
      </c>
      <c r="H184" s="36"/>
      <c r="I184" s="225">
        <v>0</v>
      </c>
      <c r="J184" s="36">
        <f t="shared" si="40"/>
        <v>0</v>
      </c>
      <c r="K184" s="225">
        <f>R184/1.4</f>
        <v>0.27</v>
      </c>
      <c r="L184" s="154">
        <f t="shared" si="49"/>
        <v>0</v>
      </c>
      <c r="M184" s="103" t="s">
        <v>209</v>
      </c>
      <c r="N184" s="109"/>
      <c r="O184" s="36"/>
      <c r="P184" s="225">
        <f t="shared" si="55"/>
        <v>0</v>
      </c>
      <c r="Q184" s="48" t="str">
        <f t="shared" si="56"/>
        <v>ПС6х25</v>
      </c>
      <c r="R184" s="288">
        <f t="shared" si="54"/>
        <v>0.38</v>
      </c>
      <c r="S184" s="236">
        <v>0.32</v>
      </c>
      <c r="T184" s="268">
        <f t="shared" si="51"/>
        <v>0</v>
      </c>
      <c r="U184" s="16">
        <v>0</v>
      </c>
      <c r="V184" s="18">
        <f t="shared" si="52"/>
        <v>0</v>
      </c>
      <c r="W184" s="49">
        <f t="shared" si="53"/>
        <v>0</v>
      </c>
      <c r="X184" s="16">
        <v>0</v>
      </c>
    </row>
    <row r="185" spans="1:41" ht="26.25" hidden="1" customHeight="1" x14ac:dyDescent="0.25">
      <c r="B185" s="11"/>
      <c r="C185" s="6" t="s">
        <v>19</v>
      </c>
      <c r="D185" s="21" t="s">
        <v>15</v>
      </c>
      <c r="E185" s="96" t="s">
        <v>276</v>
      </c>
      <c r="F185" s="136"/>
      <c r="G185" s="45" t="s">
        <v>0</v>
      </c>
      <c r="H185" s="36"/>
      <c r="I185" s="225">
        <v>0</v>
      </c>
      <c r="J185" s="36">
        <f t="shared" si="40"/>
        <v>0</v>
      </c>
      <c r="K185" s="225">
        <f>R185/1.4</f>
        <v>0</v>
      </c>
      <c r="L185" s="154">
        <f t="shared" si="49"/>
        <v>0</v>
      </c>
      <c r="M185" s="95" t="s">
        <v>259</v>
      </c>
      <c r="N185" s="109"/>
      <c r="O185" s="36"/>
      <c r="P185" s="225">
        <f t="shared" si="55"/>
        <v>0</v>
      </c>
      <c r="Q185" s="48" t="str">
        <f t="shared" si="56"/>
        <v>С10х100</v>
      </c>
      <c r="R185" s="288">
        <f t="shared" si="54"/>
        <v>0</v>
      </c>
      <c r="S185" s="235">
        <v>0</v>
      </c>
      <c r="T185" s="268">
        <f t="shared" si="51"/>
        <v>0</v>
      </c>
      <c r="U185" s="18"/>
      <c r="V185" s="18">
        <f t="shared" si="52"/>
        <v>0</v>
      </c>
      <c r="W185" s="49">
        <f t="shared" si="53"/>
        <v>0</v>
      </c>
      <c r="X185" s="18"/>
    </row>
    <row r="186" spans="1:41" ht="26.25" hidden="1" customHeight="1" x14ac:dyDescent="0.25">
      <c r="B186" s="11"/>
      <c r="C186" s="6" t="s">
        <v>19</v>
      </c>
      <c r="D186" s="21" t="s">
        <v>15</v>
      </c>
      <c r="E186" s="96"/>
      <c r="F186" s="136"/>
      <c r="G186" s="45"/>
      <c r="H186" s="36"/>
      <c r="I186" s="225">
        <v>0</v>
      </c>
      <c r="J186" s="36">
        <f t="shared" si="40"/>
        <v>0</v>
      </c>
      <c r="K186" s="225"/>
      <c r="L186" s="154"/>
      <c r="M186" s="95"/>
      <c r="N186" s="109"/>
      <c r="O186" s="36"/>
      <c r="P186" s="225">
        <f t="shared" si="55"/>
        <v>0</v>
      </c>
      <c r="Q186" s="48">
        <f t="shared" si="56"/>
        <v>0</v>
      </c>
      <c r="R186" s="288">
        <f t="shared" si="54"/>
        <v>0</v>
      </c>
      <c r="S186" s="255">
        <v>0</v>
      </c>
      <c r="T186" s="268">
        <f t="shared" si="51"/>
        <v>0</v>
      </c>
      <c r="U186" s="18"/>
      <c r="V186" s="18">
        <f t="shared" si="52"/>
        <v>0</v>
      </c>
      <c r="W186" s="49">
        <f t="shared" si="53"/>
        <v>0</v>
      </c>
      <c r="X186" s="18"/>
    </row>
    <row r="187" spans="1:41" ht="26.25" hidden="1" customHeight="1" x14ac:dyDescent="0.25">
      <c r="B187" s="11"/>
      <c r="C187" s="6" t="s">
        <v>19</v>
      </c>
      <c r="D187" s="21" t="s">
        <v>15</v>
      </c>
      <c r="E187" s="1" t="s">
        <v>316</v>
      </c>
      <c r="F187" s="136"/>
      <c r="G187" s="45"/>
      <c r="H187" s="36"/>
      <c r="I187" s="225">
        <v>0</v>
      </c>
      <c r="J187" s="36">
        <f t="shared" si="40"/>
        <v>0</v>
      </c>
      <c r="K187" s="225">
        <f>R187/1.4</f>
        <v>0.09</v>
      </c>
      <c r="L187" s="154"/>
      <c r="M187" s="95" t="s">
        <v>319</v>
      </c>
      <c r="N187" s="109"/>
      <c r="O187" s="36"/>
      <c r="P187" s="225">
        <f t="shared" si="55"/>
        <v>0</v>
      </c>
      <c r="Q187" s="48" t="str">
        <f t="shared" si="56"/>
        <v>К7х4х2</v>
      </c>
      <c r="R187" s="288">
        <f t="shared" si="54"/>
        <v>0.12</v>
      </c>
      <c r="S187" s="235">
        <v>0.1</v>
      </c>
      <c r="T187" s="268">
        <f t="shared" si="51"/>
        <v>0</v>
      </c>
      <c r="U187" s="18"/>
      <c r="V187" s="18">
        <f t="shared" si="52"/>
        <v>0</v>
      </c>
      <c r="W187" s="49">
        <f t="shared" si="53"/>
        <v>0</v>
      </c>
      <c r="X187" s="18"/>
    </row>
    <row r="188" spans="1:41" ht="26.25" hidden="1" customHeight="1" x14ac:dyDescent="0.25">
      <c r="B188" s="11"/>
      <c r="C188" s="6" t="s">
        <v>19</v>
      </c>
      <c r="D188" s="21" t="s">
        <v>15</v>
      </c>
      <c r="E188" s="1" t="s">
        <v>335</v>
      </c>
      <c r="F188" s="136">
        <v>1142</v>
      </c>
      <c r="G188" s="45"/>
      <c r="H188" s="36"/>
      <c r="I188" s="225">
        <v>0</v>
      </c>
      <c r="J188" s="36">
        <f t="shared" si="40"/>
        <v>0</v>
      </c>
      <c r="K188" s="225">
        <f>R188/1.4</f>
        <v>0.11</v>
      </c>
      <c r="L188" s="154"/>
      <c r="M188" s="95" t="s">
        <v>339</v>
      </c>
      <c r="N188" s="109"/>
      <c r="O188" s="36"/>
      <c r="P188" s="225">
        <f t="shared" si="55"/>
        <v>0</v>
      </c>
      <c r="Q188" s="48" t="str">
        <f t="shared" si="56"/>
        <v>К17х8,2х5</v>
      </c>
      <c r="R188" s="288">
        <f t="shared" si="54"/>
        <v>0.16</v>
      </c>
      <c r="S188" s="235">
        <v>0.13</v>
      </c>
      <c r="T188" s="268">
        <f t="shared" si="51"/>
        <v>0</v>
      </c>
      <c r="U188" s="18"/>
      <c r="V188" s="18">
        <f t="shared" si="52"/>
        <v>0</v>
      </c>
      <c r="W188" s="49">
        <f t="shared" si="53"/>
        <v>0</v>
      </c>
      <c r="X188" s="18"/>
    </row>
    <row r="189" spans="1:41" s="4" customFormat="1" ht="26.25" hidden="1" customHeight="1" x14ac:dyDescent="0.25">
      <c r="A189" s="10"/>
      <c r="B189" s="14"/>
      <c r="C189" s="6" t="s">
        <v>19</v>
      </c>
      <c r="D189" s="21" t="s">
        <v>15</v>
      </c>
      <c r="E189" s="99" t="s">
        <v>171</v>
      </c>
      <c r="F189" s="137">
        <v>1204</v>
      </c>
      <c r="G189" s="45" t="s">
        <v>0</v>
      </c>
      <c r="H189" s="36"/>
      <c r="I189" s="274">
        <v>0</v>
      </c>
      <c r="J189" s="36">
        <f t="shared" si="40"/>
        <v>0</v>
      </c>
      <c r="K189" s="225">
        <f>R189/1.4</f>
        <v>1.37</v>
      </c>
      <c r="L189" s="154">
        <f>K189*J492</f>
        <v>0</v>
      </c>
      <c r="M189" s="281"/>
      <c r="N189" s="109"/>
      <c r="O189" s="36"/>
      <c r="P189" s="225">
        <f t="shared" si="55"/>
        <v>0</v>
      </c>
      <c r="Q189" s="48" t="str">
        <f t="shared" si="56"/>
        <v>К10х6х3</v>
      </c>
      <c r="R189" s="288">
        <f t="shared" si="54"/>
        <v>1.92</v>
      </c>
      <c r="S189" s="238">
        <v>1.6</v>
      </c>
      <c r="T189" s="268">
        <f t="shared" si="51"/>
        <v>0</v>
      </c>
      <c r="U189" s="16">
        <v>0</v>
      </c>
      <c r="V189" s="18">
        <f t="shared" si="52"/>
        <v>0</v>
      </c>
      <c r="W189" s="49">
        <f t="shared" si="53"/>
        <v>0</v>
      </c>
      <c r="X189" s="16">
        <v>0</v>
      </c>
    </row>
    <row r="190" spans="1:41" ht="26.25" customHeight="1" x14ac:dyDescent="0.25">
      <c r="B190" s="11">
        <v>66</v>
      </c>
      <c r="C190" s="6" t="s">
        <v>19</v>
      </c>
      <c r="D190" s="21" t="s">
        <v>15</v>
      </c>
      <c r="E190" s="96" t="s">
        <v>21</v>
      </c>
      <c r="F190" s="294" t="s">
        <v>126</v>
      </c>
      <c r="G190" s="12" t="s">
        <v>0</v>
      </c>
      <c r="H190" s="36">
        <v>1761</v>
      </c>
      <c r="I190" s="274">
        <v>1127.04</v>
      </c>
      <c r="J190" s="36">
        <f t="shared" si="40"/>
        <v>0</v>
      </c>
      <c r="K190" s="292">
        <f>R190/1.4</f>
        <v>0.64</v>
      </c>
      <c r="L190" s="154">
        <f>K190*J493</f>
        <v>0</v>
      </c>
      <c r="M190" s="277"/>
      <c r="N190" s="109"/>
      <c r="O190" s="36">
        <f>3000-239-500-500</f>
        <v>1761</v>
      </c>
      <c r="P190" s="225">
        <f t="shared" si="55"/>
        <v>1127.04</v>
      </c>
      <c r="Q190" s="159" t="str">
        <f t="shared" si="56"/>
        <v>К10х6х4,5</v>
      </c>
      <c r="R190" s="288">
        <f t="shared" si="54"/>
        <v>0.9</v>
      </c>
      <c r="S190" s="235">
        <v>0.75</v>
      </c>
      <c r="T190" s="268">
        <f t="shared" si="51"/>
        <v>0</v>
      </c>
      <c r="U190" s="116">
        <v>10000</v>
      </c>
      <c r="V190" s="18">
        <f t="shared" si="52"/>
        <v>0</v>
      </c>
      <c r="W190" s="49">
        <f t="shared" si="53"/>
        <v>0</v>
      </c>
      <c r="X190" s="18">
        <v>10000</v>
      </c>
    </row>
    <row r="191" spans="1:41" ht="26.25" customHeight="1" x14ac:dyDescent="0.25">
      <c r="B191" s="11">
        <v>67</v>
      </c>
      <c r="C191" s="6" t="s">
        <v>19</v>
      </c>
      <c r="D191" s="21" t="s">
        <v>15</v>
      </c>
      <c r="E191" s="96" t="s">
        <v>110</v>
      </c>
      <c r="F191" s="135" t="s">
        <v>80</v>
      </c>
      <c r="G191" s="12" t="s">
        <v>0</v>
      </c>
      <c r="H191" s="36">
        <v>5000</v>
      </c>
      <c r="I191" s="274">
        <v>1285.5</v>
      </c>
      <c r="J191" s="36">
        <f t="shared" si="40"/>
        <v>0</v>
      </c>
      <c r="K191" s="225">
        <v>0.26</v>
      </c>
      <c r="L191" s="154">
        <f>K191*J494</f>
        <v>0</v>
      </c>
      <c r="M191" s="90"/>
      <c r="N191" s="109"/>
      <c r="O191" s="36">
        <v>5000</v>
      </c>
      <c r="P191" s="225">
        <f>I191</f>
        <v>1285.5</v>
      </c>
      <c r="Q191" s="159" t="str">
        <f t="shared" si="56"/>
        <v>К10х6х4,5 с п/п</v>
      </c>
      <c r="R191" s="288">
        <f t="shared" si="54"/>
        <v>0.36</v>
      </c>
      <c r="S191" s="236">
        <v>0.3</v>
      </c>
      <c r="T191" s="268">
        <f t="shared" si="51"/>
        <v>0</v>
      </c>
      <c r="U191" s="18"/>
      <c r="V191" s="18">
        <f t="shared" si="52"/>
        <v>0</v>
      </c>
      <c r="W191" s="49">
        <f t="shared" si="53"/>
        <v>0</v>
      </c>
      <c r="X191" s="18"/>
    </row>
    <row r="192" spans="1:41" ht="26.25" customHeight="1" x14ac:dyDescent="0.25">
      <c r="B192" s="11">
        <v>68</v>
      </c>
      <c r="C192" s="6" t="s">
        <v>19</v>
      </c>
      <c r="D192" s="21" t="s">
        <v>15</v>
      </c>
      <c r="E192" s="96" t="s">
        <v>483</v>
      </c>
      <c r="F192" s="135">
        <v>374</v>
      </c>
      <c r="G192" s="12" t="s">
        <v>0</v>
      </c>
      <c r="H192" s="36">
        <v>53545</v>
      </c>
      <c r="I192" s="274">
        <v>11244.45</v>
      </c>
      <c r="J192" s="36">
        <f t="shared" si="40"/>
        <v>455</v>
      </c>
      <c r="K192" s="225">
        <f>R192/1.4</f>
        <v>0.21</v>
      </c>
      <c r="L192" s="154">
        <f>K192*J495</f>
        <v>0</v>
      </c>
      <c r="M192" s="277"/>
      <c r="N192" s="109">
        <v>2000</v>
      </c>
      <c r="O192" s="36">
        <v>52000</v>
      </c>
      <c r="P192" s="225">
        <f t="shared" ref="P192:P202" si="57">K192*O192</f>
        <v>10920</v>
      </c>
      <c r="Q192" s="159" t="str">
        <f t="shared" si="56"/>
        <v>К16х10х4,5</v>
      </c>
      <c r="R192" s="288">
        <f t="shared" si="54"/>
        <v>0.3</v>
      </c>
      <c r="S192" s="235">
        <v>0.25</v>
      </c>
      <c r="T192" s="268">
        <f t="shared" si="51"/>
        <v>113.75</v>
      </c>
      <c r="U192" s="116">
        <f>161200-515-520</f>
        <v>160165</v>
      </c>
      <c r="V192" s="18">
        <f t="shared" si="52"/>
        <v>2000</v>
      </c>
      <c r="W192" s="49">
        <f t="shared" si="53"/>
        <v>2000</v>
      </c>
      <c r="X192" s="18">
        <f>161200-515-520</f>
        <v>160165</v>
      </c>
    </row>
    <row r="193" spans="2:24" ht="26.25" hidden="1" customHeight="1" x14ac:dyDescent="0.25">
      <c r="B193" s="14"/>
      <c r="C193" s="6" t="s">
        <v>19</v>
      </c>
      <c r="D193" s="21" t="s">
        <v>191</v>
      </c>
      <c r="E193" s="96" t="s">
        <v>195</v>
      </c>
      <c r="F193" s="297">
        <v>1071</v>
      </c>
      <c r="G193" s="14" t="s">
        <v>0</v>
      </c>
      <c r="H193" s="36"/>
      <c r="I193" s="225">
        <v>0</v>
      </c>
      <c r="J193" s="36">
        <f t="shared" si="40"/>
        <v>0</v>
      </c>
      <c r="K193" s="225">
        <f>R193/1.4</f>
        <v>0.26</v>
      </c>
      <c r="L193" s="154"/>
      <c r="M193" s="78" t="s">
        <v>269</v>
      </c>
      <c r="N193" s="109"/>
      <c r="O193" s="36"/>
      <c r="P193" s="344">
        <f t="shared" si="57"/>
        <v>0</v>
      </c>
      <c r="Q193" s="48" t="str">
        <f t="shared" si="56"/>
        <v>К16 х  10  х 4,5 c  п/п</v>
      </c>
      <c r="R193" s="288">
        <f t="shared" si="54"/>
        <v>0.36</v>
      </c>
      <c r="S193" s="238">
        <v>0.3</v>
      </c>
      <c r="T193" s="268">
        <f t="shared" si="51"/>
        <v>0</v>
      </c>
      <c r="U193" s="115">
        <f>11*1500</f>
        <v>16500</v>
      </c>
      <c r="V193" s="18">
        <f t="shared" si="52"/>
        <v>0</v>
      </c>
      <c r="W193" s="49">
        <f t="shared" si="53"/>
        <v>0</v>
      </c>
      <c r="X193" s="16">
        <f>11*1500</f>
        <v>16500</v>
      </c>
    </row>
    <row r="194" spans="2:24" s="19" customFormat="1" ht="26.25" customHeight="1" x14ac:dyDescent="0.25">
      <c r="B194" s="11">
        <v>69</v>
      </c>
      <c r="C194" s="6" t="s">
        <v>19</v>
      </c>
      <c r="D194" s="21" t="s">
        <v>15</v>
      </c>
      <c r="E194" s="96" t="s">
        <v>33</v>
      </c>
      <c r="F194" s="135" t="s">
        <v>62</v>
      </c>
      <c r="G194" s="12" t="s">
        <v>0</v>
      </c>
      <c r="H194" s="36">
        <v>674</v>
      </c>
      <c r="I194" s="274">
        <v>141.54</v>
      </c>
      <c r="J194" s="36">
        <f t="shared" si="40"/>
        <v>0</v>
      </c>
      <c r="K194" s="225">
        <v>0.21</v>
      </c>
      <c r="L194" s="154">
        <f t="shared" ref="L194:L216" si="58">K194*J497</f>
        <v>0</v>
      </c>
      <c r="M194" s="279"/>
      <c r="N194" s="109"/>
      <c r="O194" s="36">
        <v>674</v>
      </c>
      <c r="P194" s="225">
        <f t="shared" si="57"/>
        <v>141.54</v>
      </c>
      <c r="Q194" s="159" t="str">
        <f t="shared" si="56"/>
        <v>К20х10х5</v>
      </c>
      <c r="R194" s="288">
        <f t="shared" si="54"/>
        <v>0.3</v>
      </c>
      <c r="S194" s="236">
        <v>0.25</v>
      </c>
      <c r="T194" s="268">
        <f t="shared" si="51"/>
        <v>0</v>
      </c>
      <c r="U194" s="18">
        <v>685</v>
      </c>
      <c r="V194" s="18">
        <f t="shared" si="52"/>
        <v>0</v>
      </c>
      <c r="W194" s="49">
        <f t="shared" si="53"/>
        <v>0</v>
      </c>
      <c r="X194" s="18">
        <v>685</v>
      </c>
    </row>
    <row r="195" spans="2:24" s="19" customFormat="1" ht="26.25" hidden="1" customHeight="1" x14ac:dyDescent="0.25">
      <c r="B195" s="15"/>
      <c r="C195" s="6" t="s">
        <v>19</v>
      </c>
      <c r="D195" s="21" t="s">
        <v>15</v>
      </c>
      <c r="E195" s="96" t="s">
        <v>101</v>
      </c>
      <c r="F195" s="298" t="s">
        <v>265</v>
      </c>
      <c r="G195" s="12" t="s">
        <v>0</v>
      </c>
      <c r="H195" s="36"/>
      <c r="I195" s="225">
        <v>0</v>
      </c>
      <c r="J195" s="36">
        <f t="shared" si="40"/>
        <v>0</v>
      </c>
      <c r="K195" s="225">
        <f>R195/1.4</f>
        <v>0.47</v>
      </c>
      <c r="L195" s="154">
        <f t="shared" si="58"/>
        <v>0</v>
      </c>
      <c r="M195" s="373" t="s">
        <v>673</v>
      </c>
      <c r="N195" s="109"/>
      <c r="O195" s="36"/>
      <c r="P195" s="357">
        <f t="shared" si="57"/>
        <v>0</v>
      </c>
      <c r="Q195" s="48" t="str">
        <f t="shared" si="56"/>
        <v>К20х12х6 с п/п</v>
      </c>
      <c r="R195" s="288">
        <f t="shared" si="54"/>
        <v>0.66</v>
      </c>
      <c r="S195" s="253">
        <v>0.55000000000000004</v>
      </c>
      <c r="T195" s="268">
        <f t="shared" si="51"/>
        <v>0</v>
      </c>
      <c r="U195" s="16">
        <f>4600-50-300</f>
        <v>4250</v>
      </c>
      <c r="V195" s="18">
        <f t="shared" si="52"/>
        <v>0</v>
      </c>
      <c r="W195" s="49">
        <f t="shared" si="53"/>
        <v>0</v>
      </c>
      <c r="X195" s="16">
        <f>4600-50-300</f>
        <v>4250</v>
      </c>
    </row>
    <row r="196" spans="2:24" ht="26.25" customHeight="1" x14ac:dyDescent="0.25">
      <c r="B196" s="11">
        <v>70</v>
      </c>
      <c r="C196" s="6" t="s">
        <v>19</v>
      </c>
      <c r="D196" s="21" t="s">
        <v>15</v>
      </c>
      <c r="E196" s="96" t="s">
        <v>142</v>
      </c>
      <c r="F196" s="135" t="s">
        <v>199</v>
      </c>
      <c r="G196" s="12" t="s">
        <v>0</v>
      </c>
      <c r="H196" s="36">
        <v>752</v>
      </c>
      <c r="I196" s="274">
        <v>496.32</v>
      </c>
      <c r="J196" s="36">
        <f t="shared" si="40"/>
        <v>0</v>
      </c>
      <c r="K196" s="225">
        <v>0.66</v>
      </c>
      <c r="L196" s="154">
        <f t="shared" si="58"/>
        <v>0</v>
      </c>
      <c r="M196" s="277" t="s">
        <v>564</v>
      </c>
      <c r="N196" s="109">
        <v>25</v>
      </c>
      <c r="O196" s="36">
        <f>799-47-25</f>
        <v>727</v>
      </c>
      <c r="P196" s="225">
        <f t="shared" si="57"/>
        <v>479.82</v>
      </c>
      <c r="Q196" s="159" t="str">
        <f t="shared" si="56"/>
        <v>К 20х12х6</v>
      </c>
      <c r="R196" s="288">
        <f t="shared" si="54"/>
        <v>0.95</v>
      </c>
      <c r="S196" s="235">
        <v>0.79</v>
      </c>
      <c r="T196" s="268">
        <f t="shared" si="51"/>
        <v>0</v>
      </c>
      <c r="U196" s="18">
        <f>10869-2250-100-25-47</f>
        <v>8447</v>
      </c>
      <c r="V196" s="18">
        <f t="shared" si="52"/>
        <v>25</v>
      </c>
      <c r="W196" s="49">
        <f t="shared" si="53"/>
        <v>25</v>
      </c>
      <c r="X196" s="18">
        <f>10869-2250-100-25-47</f>
        <v>8447</v>
      </c>
    </row>
    <row r="197" spans="2:24" ht="26.25" customHeight="1" x14ac:dyDescent="0.25">
      <c r="B197" s="11">
        <v>71</v>
      </c>
      <c r="C197" s="6" t="s">
        <v>19</v>
      </c>
      <c r="D197" s="75" t="s">
        <v>191</v>
      </c>
      <c r="E197" s="96" t="s">
        <v>101</v>
      </c>
      <c r="F197" s="135">
        <v>596</v>
      </c>
      <c r="G197" s="12" t="s">
        <v>0</v>
      </c>
      <c r="H197" s="36">
        <v>435</v>
      </c>
      <c r="I197" s="274">
        <v>204.45</v>
      </c>
      <c r="J197" s="36">
        <f t="shared" si="40"/>
        <v>0</v>
      </c>
      <c r="K197" s="225">
        <f>R197/1.4</f>
        <v>0.47</v>
      </c>
      <c r="L197" s="154">
        <f t="shared" si="58"/>
        <v>0</v>
      </c>
      <c r="M197" s="215"/>
      <c r="N197" s="109"/>
      <c r="O197" s="36">
        <v>435</v>
      </c>
      <c r="P197" s="225">
        <f t="shared" si="57"/>
        <v>204.45</v>
      </c>
      <c r="Q197" s="159" t="str">
        <f t="shared" si="56"/>
        <v>К20х12х6 с п/п</v>
      </c>
      <c r="R197" s="288">
        <f t="shared" si="54"/>
        <v>0.66</v>
      </c>
      <c r="S197" s="235">
        <v>0.55000000000000004</v>
      </c>
      <c r="T197" s="268">
        <f t="shared" si="51"/>
        <v>0</v>
      </c>
      <c r="U197" s="18">
        <f>700-15</f>
        <v>685</v>
      </c>
      <c r="V197" s="18">
        <f t="shared" si="52"/>
        <v>0</v>
      </c>
      <c r="W197" s="49">
        <f t="shared" si="53"/>
        <v>0</v>
      </c>
      <c r="X197" s="18">
        <f>700-15</f>
        <v>685</v>
      </c>
    </row>
    <row r="198" spans="2:24" s="19" customFormat="1" ht="26.25" customHeight="1" x14ac:dyDescent="0.25">
      <c r="B198" s="11">
        <v>72</v>
      </c>
      <c r="C198" s="6" t="s">
        <v>19</v>
      </c>
      <c r="D198" s="21" t="s">
        <v>15</v>
      </c>
      <c r="E198" s="96" t="s">
        <v>122</v>
      </c>
      <c r="F198" s="367">
        <v>620</v>
      </c>
      <c r="G198" s="12" t="s">
        <v>0</v>
      </c>
      <c r="H198" s="36">
        <v>1084</v>
      </c>
      <c r="I198" s="274">
        <v>682.92</v>
      </c>
      <c r="J198" s="36">
        <f t="shared" ref="J198:J270" si="59">N198+O198-H198</f>
        <v>0</v>
      </c>
      <c r="K198" s="225">
        <v>0.63</v>
      </c>
      <c r="L198" s="154">
        <f t="shared" si="58"/>
        <v>0</v>
      </c>
      <c r="M198" s="216"/>
      <c r="N198" s="109"/>
      <c r="O198" s="36">
        <v>1084</v>
      </c>
      <c r="P198" s="225">
        <f t="shared" si="57"/>
        <v>682.92</v>
      </c>
      <c r="Q198" s="159" t="str">
        <f t="shared" si="56"/>
        <v xml:space="preserve">К28х16х9 </v>
      </c>
      <c r="R198" s="288">
        <f t="shared" si="54"/>
        <v>0.89</v>
      </c>
      <c r="S198" s="236">
        <v>0.74</v>
      </c>
      <c r="T198" s="268">
        <f t="shared" si="51"/>
        <v>0</v>
      </c>
      <c r="U198" s="116">
        <f>1200*2+600+2890-5-5</f>
        <v>5880</v>
      </c>
      <c r="V198" s="18">
        <f t="shared" si="52"/>
        <v>0</v>
      </c>
      <c r="W198" s="49">
        <f t="shared" si="53"/>
        <v>0</v>
      </c>
      <c r="X198" s="18">
        <f>1200*2+600+2890-5-5</f>
        <v>5880</v>
      </c>
    </row>
    <row r="199" spans="2:24" s="19" customFormat="1" ht="26.25" hidden="1" customHeight="1" x14ac:dyDescent="0.25">
      <c r="B199" s="15"/>
      <c r="C199" s="6" t="s">
        <v>19</v>
      </c>
      <c r="D199" s="21" t="s">
        <v>15</v>
      </c>
      <c r="E199" s="96" t="s">
        <v>205</v>
      </c>
      <c r="F199" s="297">
        <v>944</v>
      </c>
      <c r="G199" s="17" t="s">
        <v>0</v>
      </c>
      <c r="H199" s="36"/>
      <c r="I199" s="225">
        <v>0</v>
      </c>
      <c r="J199" s="36">
        <f t="shared" si="59"/>
        <v>0</v>
      </c>
      <c r="K199" s="225">
        <f>R199/1.4</f>
        <v>0.27</v>
      </c>
      <c r="L199" s="154">
        <f t="shared" si="58"/>
        <v>0</v>
      </c>
      <c r="M199" s="103" t="s">
        <v>209</v>
      </c>
      <c r="N199" s="109"/>
      <c r="O199" s="36"/>
      <c r="P199" s="344">
        <f t="shared" si="57"/>
        <v>0</v>
      </c>
      <c r="Q199" s="183" t="str">
        <f t="shared" si="56"/>
        <v>ПС6х25</v>
      </c>
      <c r="R199" s="288">
        <f t="shared" si="54"/>
        <v>0.38</v>
      </c>
      <c r="S199" s="249">
        <v>0.32</v>
      </c>
      <c r="T199" s="268">
        <f t="shared" ref="T199:T236" si="60">S199*J199</f>
        <v>0</v>
      </c>
      <c r="U199" s="16">
        <v>0</v>
      </c>
      <c r="V199" s="18">
        <f t="shared" ref="V199:V236" si="61">N199</f>
        <v>0</v>
      </c>
      <c r="W199" s="49">
        <f t="shared" ref="W199:W236" si="62">X199-U199+V199</f>
        <v>0</v>
      </c>
      <c r="X199" s="16">
        <v>0</v>
      </c>
    </row>
    <row r="200" spans="2:24" s="19" customFormat="1" ht="26.25" hidden="1" customHeight="1" x14ac:dyDescent="0.25">
      <c r="B200" s="15"/>
      <c r="C200" s="6" t="s">
        <v>19</v>
      </c>
      <c r="D200" s="21" t="s">
        <v>15</v>
      </c>
      <c r="E200" s="96" t="s">
        <v>147</v>
      </c>
      <c r="F200" s="299">
        <v>426</v>
      </c>
      <c r="G200" s="12" t="s">
        <v>0</v>
      </c>
      <c r="H200" s="36"/>
      <c r="I200" s="225">
        <v>0</v>
      </c>
      <c r="J200" s="36">
        <f t="shared" si="59"/>
        <v>0</v>
      </c>
      <c r="K200" s="225">
        <f>R200/1.4</f>
        <v>0.39</v>
      </c>
      <c r="L200" s="154">
        <f t="shared" si="58"/>
        <v>0</v>
      </c>
      <c r="M200" s="193" t="s">
        <v>151</v>
      </c>
      <c r="N200" s="109"/>
      <c r="O200" s="36"/>
      <c r="P200" s="225">
        <f t="shared" si="57"/>
        <v>0</v>
      </c>
      <c r="Q200" s="184" t="str">
        <f t="shared" si="56"/>
        <v>К38х19х9 п/п</v>
      </c>
      <c r="R200" s="288">
        <f t="shared" si="54"/>
        <v>0.55000000000000004</v>
      </c>
      <c r="S200" s="255">
        <v>0.46</v>
      </c>
      <c r="T200" s="268">
        <f t="shared" si="60"/>
        <v>0</v>
      </c>
      <c r="U200" s="16"/>
      <c r="V200" s="18">
        <f t="shared" si="61"/>
        <v>0</v>
      </c>
      <c r="W200" s="49">
        <f t="shared" si="62"/>
        <v>0</v>
      </c>
      <c r="X200" s="16"/>
    </row>
    <row r="201" spans="2:24" s="19" customFormat="1" ht="26.25" customHeight="1" x14ac:dyDescent="0.3">
      <c r="B201" s="11">
        <v>73</v>
      </c>
      <c r="C201" s="6" t="s">
        <v>19</v>
      </c>
      <c r="D201" s="21" t="s">
        <v>15</v>
      </c>
      <c r="E201" s="96" t="s">
        <v>61</v>
      </c>
      <c r="F201" s="135">
        <v>208</v>
      </c>
      <c r="G201" s="12" t="s">
        <v>0</v>
      </c>
      <c r="H201" s="36">
        <v>686</v>
      </c>
      <c r="I201" s="274">
        <v>823.2</v>
      </c>
      <c r="J201" s="36">
        <f t="shared" si="59"/>
        <v>225</v>
      </c>
      <c r="K201" s="225">
        <f>R201/1.4</f>
        <v>1.2</v>
      </c>
      <c r="L201" s="154">
        <f t="shared" si="58"/>
        <v>0</v>
      </c>
      <c r="M201" s="217" t="s">
        <v>730</v>
      </c>
      <c r="N201" s="109">
        <v>568</v>
      </c>
      <c r="O201" s="36">
        <v>343</v>
      </c>
      <c r="P201" s="225">
        <f t="shared" si="57"/>
        <v>411.6</v>
      </c>
      <c r="Q201" s="159" t="str">
        <f t="shared" si="56"/>
        <v>К38х19х9</v>
      </c>
      <c r="R201" s="288">
        <f t="shared" si="54"/>
        <v>1.68</v>
      </c>
      <c r="S201" s="235">
        <v>1.4</v>
      </c>
      <c r="T201" s="268">
        <f t="shared" si="60"/>
        <v>315</v>
      </c>
      <c r="U201" s="70">
        <f>343*2+225</f>
        <v>911</v>
      </c>
      <c r="V201" s="18">
        <f t="shared" si="61"/>
        <v>568</v>
      </c>
      <c r="W201" s="49">
        <f t="shared" si="62"/>
        <v>568</v>
      </c>
      <c r="X201" s="70">
        <f>343*2+225</f>
        <v>911</v>
      </c>
    </row>
    <row r="202" spans="2:24" ht="26.25" customHeight="1" x14ac:dyDescent="0.25">
      <c r="B202" s="11">
        <v>74</v>
      </c>
      <c r="C202" s="6" t="s">
        <v>19</v>
      </c>
      <c r="D202" s="21" t="s">
        <v>15</v>
      </c>
      <c r="E202" s="96" t="s">
        <v>86</v>
      </c>
      <c r="F202" s="294">
        <v>506</v>
      </c>
      <c r="G202" s="12" t="s">
        <v>0</v>
      </c>
      <c r="H202" s="36">
        <v>800</v>
      </c>
      <c r="I202" s="274">
        <v>1648</v>
      </c>
      <c r="J202" s="36">
        <f t="shared" si="59"/>
        <v>0</v>
      </c>
      <c r="K202" s="225">
        <f>R202/1.4</f>
        <v>2.06</v>
      </c>
      <c r="L202" s="154">
        <f t="shared" si="58"/>
        <v>0</v>
      </c>
      <c r="M202" s="125" t="s">
        <v>731</v>
      </c>
      <c r="N202" s="109"/>
      <c r="O202" s="36">
        <v>800</v>
      </c>
      <c r="P202" s="225">
        <f t="shared" si="57"/>
        <v>1648</v>
      </c>
      <c r="Q202" s="159" t="str">
        <f t="shared" si="56"/>
        <v>К45х28х8</v>
      </c>
      <c r="R202" s="288">
        <f t="shared" si="54"/>
        <v>2.88</v>
      </c>
      <c r="S202" s="235">
        <v>2.4</v>
      </c>
      <c r="T202" s="268">
        <f t="shared" si="60"/>
        <v>0</v>
      </c>
      <c r="U202" s="116">
        <f>5*360</f>
        <v>1800</v>
      </c>
      <c r="V202" s="18">
        <f t="shared" si="61"/>
        <v>0</v>
      </c>
      <c r="W202" s="49">
        <f t="shared" si="62"/>
        <v>0</v>
      </c>
      <c r="X202" s="18">
        <f>5*360</f>
        <v>1800</v>
      </c>
    </row>
    <row r="203" spans="2:24" ht="26.25" customHeight="1" x14ac:dyDescent="0.25">
      <c r="B203" s="11">
        <v>75</v>
      </c>
      <c r="C203" s="6" t="s">
        <v>19</v>
      </c>
      <c r="D203" s="21" t="s">
        <v>15</v>
      </c>
      <c r="E203" s="96" t="s">
        <v>143</v>
      </c>
      <c r="F203" s="135">
        <v>590</v>
      </c>
      <c r="G203" s="12" t="s">
        <v>0</v>
      </c>
      <c r="H203" s="36">
        <v>462</v>
      </c>
      <c r="I203" s="274">
        <v>910.14</v>
      </c>
      <c r="J203" s="36">
        <f t="shared" si="59"/>
        <v>0</v>
      </c>
      <c r="K203" s="225">
        <v>1.97</v>
      </c>
      <c r="L203" s="154">
        <f t="shared" si="58"/>
        <v>0</v>
      </c>
      <c r="M203" s="277"/>
      <c r="N203" s="109">
        <v>8</v>
      </c>
      <c r="O203" s="36">
        <f>510-46-2-8</f>
        <v>454</v>
      </c>
      <c r="P203" s="225">
        <f>O203*K203</f>
        <v>894.38</v>
      </c>
      <c r="Q203" s="159" t="str">
        <f t="shared" si="56"/>
        <v>К45х28х12</v>
      </c>
      <c r="R203" s="288">
        <f t="shared" si="54"/>
        <v>6.24</v>
      </c>
      <c r="S203" s="235">
        <v>5.2</v>
      </c>
      <c r="T203" s="268">
        <f t="shared" si="60"/>
        <v>0</v>
      </c>
      <c r="U203" s="116">
        <f>13*120+240*7</f>
        <v>3240</v>
      </c>
      <c r="V203" s="18">
        <f t="shared" si="61"/>
        <v>8</v>
      </c>
      <c r="W203" s="49">
        <f t="shared" si="62"/>
        <v>8</v>
      </c>
      <c r="X203" s="18">
        <f>13*120+240*7</f>
        <v>3240</v>
      </c>
    </row>
    <row r="204" spans="2:24" ht="26.25" customHeight="1" x14ac:dyDescent="0.25">
      <c r="B204" s="11">
        <v>76</v>
      </c>
      <c r="C204" s="6" t="s">
        <v>19</v>
      </c>
      <c r="D204" s="21" t="s">
        <v>15</v>
      </c>
      <c r="E204" s="96" t="s">
        <v>22</v>
      </c>
      <c r="F204" s="135" t="s">
        <v>57</v>
      </c>
      <c r="G204" s="12" t="s">
        <v>0</v>
      </c>
      <c r="H204" s="36">
        <v>1670</v>
      </c>
      <c r="I204" s="274">
        <v>501</v>
      </c>
      <c r="J204" s="36">
        <f t="shared" si="59"/>
        <v>0</v>
      </c>
      <c r="K204" s="225">
        <f t="shared" ref="K204:K228" si="63">R204/1.4</f>
        <v>0.3</v>
      </c>
      <c r="L204" s="154">
        <f t="shared" si="58"/>
        <v>0</v>
      </c>
      <c r="M204" s="278"/>
      <c r="N204" s="109"/>
      <c r="O204" s="36">
        <v>1670</v>
      </c>
      <c r="P204" s="225">
        <f t="shared" ref="P204:P240" si="64">K204*O204</f>
        <v>501</v>
      </c>
      <c r="Q204" s="159" t="str">
        <f t="shared" si="56"/>
        <v xml:space="preserve"> Ч22 </v>
      </c>
      <c r="R204" s="288">
        <f t="shared" si="54"/>
        <v>0.42</v>
      </c>
      <c r="S204" s="235">
        <v>0.35</v>
      </c>
      <c r="T204" s="268">
        <f t="shared" si="60"/>
        <v>0</v>
      </c>
      <c r="U204" s="116">
        <f>100+1105+213+158-100-20</f>
        <v>1456</v>
      </c>
      <c r="V204" s="18">
        <f t="shared" si="61"/>
        <v>0</v>
      </c>
      <c r="W204" s="49">
        <f t="shared" si="62"/>
        <v>0</v>
      </c>
      <c r="X204" s="18">
        <f>100+1105+213+158-100-20</f>
        <v>1456</v>
      </c>
    </row>
    <row r="205" spans="2:24" ht="26.25" hidden="1" customHeight="1" x14ac:dyDescent="0.25">
      <c r="B205" s="11"/>
      <c r="C205" s="6" t="s">
        <v>19</v>
      </c>
      <c r="D205" s="21" t="s">
        <v>15</v>
      </c>
      <c r="E205" s="96" t="s">
        <v>112</v>
      </c>
      <c r="F205" s="285">
        <v>605</v>
      </c>
      <c r="G205" s="12" t="s">
        <v>0</v>
      </c>
      <c r="H205" s="36"/>
      <c r="I205" s="274">
        <v>0</v>
      </c>
      <c r="J205" s="36">
        <f t="shared" si="59"/>
        <v>0</v>
      </c>
      <c r="K205" s="225">
        <f t="shared" si="63"/>
        <v>1.7</v>
      </c>
      <c r="L205" s="154">
        <f t="shared" si="58"/>
        <v>0</v>
      </c>
      <c r="M205" s="146" t="s">
        <v>470</v>
      </c>
      <c r="N205" s="109"/>
      <c r="O205" s="36"/>
      <c r="P205" s="334">
        <f t="shared" si="64"/>
        <v>0</v>
      </c>
      <c r="Q205" s="48" t="str">
        <f t="shared" si="56"/>
        <v>Ч36</v>
      </c>
      <c r="R205" s="223">
        <f t="shared" si="54"/>
        <v>2.38</v>
      </c>
      <c r="S205" s="235">
        <v>1.98</v>
      </c>
      <c r="T205" s="268">
        <f t="shared" si="60"/>
        <v>0</v>
      </c>
      <c r="U205" s="116">
        <v>506</v>
      </c>
      <c r="V205" s="18">
        <f t="shared" si="61"/>
        <v>0</v>
      </c>
      <c r="W205" s="49">
        <f t="shared" si="62"/>
        <v>0</v>
      </c>
      <c r="X205" s="18">
        <v>506</v>
      </c>
    </row>
    <row r="206" spans="2:24" ht="26.25" hidden="1" customHeight="1" x14ac:dyDescent="0.25">
      <c r="B206" s="14"/>
      <c r="C206" s="6" t="s">
        <v>19</v>
      </c>
      <c r="D206" s="21" t="s">
        <v>15</v>
      </c>
      <c r="E206" s="96" t="s">
        <v>74</v>
      </c>
      <c r="F206" s="135">
        <v>339</v>
      </c>
      <c r="G206" s="45" t="s">
        <v>0</v>
      </c>
      <c r="H206" s="36"/>
      <c r="I206" s="225">
        <v>0</v>
      </c>
      <c r="J206" s="36">
        <f t="shared" si="59"/>
        <v>0</v>
      </c>
      <c r="K206" s="225">
        <f t="shared" si="63"/>
        <v>0.79</v>
      </c>
      <c r="L206" s="154">
        <f t="shared" si="58"/>
        <v>0</v>
      </c>
      <c r="M206" s="114" t="s">
        <v>377</v>
      </c>
      <c r="N206" s="109"/>
      <c r="O206" s="36"/>
      <c r="P206" s="225">
        <f t="shared" si="64"/>
        <v>0</v>
      </c>
      <c r="Q206" s="185" t="str">
        <f t="shared" si="56"/>
        <v>Ч30</v>
      </c>
      <c r="R206" s="288">
        <f t="shared" si="54"/>
        <v>1.1000000000000001</v>
      </c>
      <c r="S206" s="254">
        <v>0.91500000000000004</v>
      </c>
      <c r="T206" s="268">
        <f t="shared" si="60"/>
        <v>0</v>
      </c>
      <c r="U206" s="116">
        <f>155+108</f>
        <v>263</v>
      </c>
      <c r="V206" s="18">
        <f t="shared" si="61"/>
        <v>0</v>
      </c>
      <c r="W206" s="49">
        <f t="shared" si="62"/>
        <v>0</v>
      </c>
      <c r="X206" s="18">
        <f>155+108</f>
        <v>263</v>
      </c>
    </row>
    <row r="207" spans="2:24" ht="26.25" customHeight="1" x14ac:dyDescent="0.25">
      <c r="B207" s="11">
        <v>77</v>
      </c>
      <c r="C207" s="6" t="s">
        <v>19</v>
      </c>
      <c r="D207" s="21" t="s">
        <v>15</v>
      </c>
      <c r="E207" s="96" t="s">
        <v>390</v>
      </c>
      <c r="F207" s="298" t="s">
        <v>528</v>
      </c>
      <c r="G207" s="12" t="s">
        <v>0</v>
      </c>
      <c r="H207" s="36">
        <v>200</v>
      </c>
      <c r="I207" s="225">
        <v>24</v>
      </c>
      <c r="J207" s="36">
        <f t="shared" si="59"/>
        <v>640</v>
      </c>
      <c r="K207" s="225">
        <f t="shared" si="63"/>
        <v>0.12</v>
      </c>
      <c r="L207" s="154">
        <f t="shared" si="58"/>
        <v>0</v>
      </c>
      <c r="M207" s="328" t="s">
        <v>732</v>
      </c>
      <c r="N207" s="109">
        <v>840</v>
      </c>
      <c r="O207" s="36"/>
      <c r="P207" s="225">
        <f t="shared" si="64"/>
        <v>0</v>
      </c>
      <c r="Q207" s="48" t="str">
        <f t="shared" si="56"/>
        <v>Ш  4х4 М2000НМ</v>
      </c>
      <c r="R207" s="288">
        <f t="shared" si="54"/>
        <v>0.17</v>
      </c>
      <c r="S207" s="256">
        <v>0.14000000000000001</v>
      </c>
      <c r="T207" s="268">
        <f t="shared" si="60"/>
        <v>89.6</v>
      </c>
      <c r="U207" s="115">
        <f>12000-1234-3000+12000-510-234</f>
        <v>19022</v>
      </c>
      <c r="V207" s="18">
        <f t="shared" si="61"/>
        <v>840</v>
      </c>
      <c r="W207" s="49">
        <f t="shared" si="62"/>
        <v>840</v>
      </c>
      <c r="X207" s="16">
        <f>12000-1234-3000+12000-510-234</f>
        <v>19022</v>
      </c>
    </row>
    <row r="208" spans="2:24" ht="26.25" hidden="1" customHeight="1" thickBot="1" x14ac:dyDescent="0.35">
      <c r="B208" s="11"/>
      <c r="C208" s="6" t="s">
        <v>19</v>
      </c>
      <c r="D208" s="21" t="s">
        <v>15</v>
      </c>
      <c r="E208" s="96" t="s">
        <v>138</v>
      </c>
      <c r="F208" s="135" t="s">
        <v>55</v>
      </c>
      <c r="G208" s="45" t="s">
        <v>0</v>
      </c>
      <c r="H208" s="36"/>
      <c r="I208" s="225">
        <v>0</v>
      </c>
      <c r="J208" s="36">
        <f t="shared" si="59"/>
        <v>0</v>
      </c>
      <c r="K208" s="225">
        <f t="shared" si="63"/>
        <v>0.09</v>
      </c>
      <c r="L208" s="154">
        <f t="shared" si="58"/>
        <v>0</v>
      </c>
      <c r="M208" s="157" t="s">
        <v>411</v>
      </c>
      <c r="N208" s="109"/>
      <c r="O208" s="36"/>
      <c r="P208" s="225">
        <f t="shared" si="64"/>
        <v>0</v>
      </c>
      <c r="Q208" s="185" t="str">
        <f t="shared" si="56"/>
        <v>Ш6х6 М2000НМ1</v>
      </c>
      <c r="R208" s="288">
        <f t="shared" ref="R208:R245" si="65">S208*1.2</f>
        <v>0.13</v>
      </c>
      <c r="S208" s="236">
        <v>0.105</v>
      </c>
      <c r="T208" s="268">
        <f t="shared" si="60"/>
        <v>0</v>
      </c>
      <c r="U208" s="178">
        <v>81790</v>
      </c>
      <c r="V208" s="18">
        <f t="shared" si="61"/>
        <v>0</v>
      </c>
      <c r="W208" s="49">
        <f t="shared" si="62"/>
        <v>0</v>
      </c>
      <c r="X208" s="70">
        <v>81790</v>
      </c>
    </row>
    <row r="209" spans="2:24" ht="26.25" hidden="1" customHeight="1" thickBot="1" x14ac:dyDescent="0.3">
      <c r="B209" s="11"/>
      <c r="C209" s="6" t="s">
        <v>19</v>
      </c>
      <c r="D209" s="21" t="s">
        <v>191</v>
      </c>
      <c r="E209" s="96" t="s">
        <v>186</v>
      </c>
      <c r="F209" s="296" t="s">
        <v>188</v>
      </c>
      <c r="G209" s="17" t="s">
        <v>0</v>
      </c>
      <c r="H209" s="36"/>
      <c r="I209" s="225">
        <v>0</v>
      </c>
      <c r="J209" s="36">
        <f t="shared" si="59"/>
        <v>0</v>
      </c>
      <c r="K209" s="225">
        <f t="shared" si="63"/>
        <v>7.0000000000000007E-2</v>
      </c>
      <c r="L209" s="154">
        <f t="shared" si="58"/>
        <v>0</v>
      </c>
      <c r="M209" s="114" t="s">
        <v>347</v>
      </c>
      <c r="N209" s="109"/>
      <c r="O209" s="36"/>
      <c r="P209" s="225">
        <f t="shared" si="64"/>
        <v>0</v>
      </c>
      <c r="Q209" s="186" t="str">
        <f t="shared" si="56"/>
        <v>Ш6х6 М2500НМ</v>
      </c>
      <c r="R209" s="288">
        <f t="shared" si="65"/>
        <v>0.1</v>
      </c>
      <c r="S209" s="236">
        <v>8.5000000000000006E-2</v>
      </c>
      <c r="T209" s="268">
        <f t="shared" si="60"/>
        <v>0</v>
      </c>
      <c r="U209" s="16"/>
      <c r="V209" s="18">
        <f t="shared" si="61"/>
        <v>0</v>
      </c>
      <c r="W209" s="49">
        <f t="shared" si="62"/>
        <v>0</v>
      </c>
      <c r="X209" s="16"/>
    </row>
    <row r="210" spans="2:24" ht="26.25" hidden="1" customHeight="1" x14ac:dyDescent="0.25">
      <c r="B210" s="15"/>
      <c r="C210" s="6" t="s">
        <v>19</v>
      </c>
      <c r="D210" s="21" t="s">
        <v>201</v>
      </c>
      <c r="E210" s="96" t="s">
        <v>202</v>
      </c>
      <c r="F210" s="298" t="s">
        <v>192</v>
      </c>
      <c r="G210" s="17" t="s">
        <v>0</v>
      </c>
      <c r="H210" s="36"/>
      <c r="I210" s="225">
        <v>0</v>
      </c>
      <c r="J210" s="36">
        <f t="shared" si="59"/>
        <v>0</v>
      </c>
      <c r="K210" s="225">
        <f t="shared" si="63"/>
        <v>0.06</v>
      </c>
      <c r="L210" s="154">
        <f t="shared" si="58"/>
        <v>0</v>
      </c>
      <c r="M210" s="60" t="s">
        <v>203</v>
      </c>
      <c r="N210" s="109"/>
      <c r="O210" s="36"/>
      <c r="P210" s="225">
        <f t="shared" si="64"/>
        <v>0</v>
      </c>
      <c r="Q210" s="183" t="str">
        <f t="shared" si="56"/>
        <v>Ш6х6 М6000НМ</v>
      </c>
      <c r="R210" s="288">
        <f t="shared" si="65"/>
        <v>0.08</v>
      </c>
      <c r="S210" s="249">
        <v>6.93E-2</v>
      </c>
      <c r="T210" s="268">
        <f t="shared" si="60"/>
        <v>0</v>
      </c>
      <c r="U210" s="16"/>
      <c r="V210" s="18">
        <f t="shared" si="61"/>
        <v>0</v>
      </c>
      <c r="W210" s="49">
        <f t="shared" si="62"/>
        <v>0</v>
      </c>
      <c r="X210" s="16"/>
    </row>
    <row r="211" spans="2:24" ht="26.25" customHeight="1" x14ac:dyDescent="0.25">
      <c r="B211" s="14">
        <v>78</v>
      </c>
      <c r="C211" s="6" t="s">
        <v>20</v>
      </c>
      <c r="D211" s="21" t="s">
        <v>15</v>
      </c>
      <c r="E211" s="96" t="s">
        <v>95</v>
      </c>
      <c r="F211" s="297">
        <v>103</v>
      </c>
      <c r="G211" s="393" t="s">
        <v>0</v>
      </c>
      <c r="H211" s="359">
        <v>3000</v>
      </c>
      <c r="I211" s="319">
        <v>480</v>
      </c>
      <c r="J211" s="36">
        <f t="shared" si="59"/>
        <v>0</v>
      </c>
      <c r="K211" s="225">
        <f t="shared" si="63"/>
        <v>0.16</v>
      </c>
      <c r="L211" s="154">
        <f t="shared" si="58"/>
        <v>0</v>
      </c>
      <c r="M211" s="383" t="s">
        <v>733</v>
      </c>
      <c r="N211" s="109"/>
      <c r="O211" s="36">
        <v>3000</v>
      </c>
      <c r="P211" s="225">
        <f t="shared" si="64"/>
        <v>480</v>
      </c>
      <c r="Q211" s="159" t="str">
        <f t="shared" si="56"/>
        <v>Ш7х7 М2000НМ</v>
      </c>
      <c r="R211" s="288">
        <f t="shared" si="65"/>
        <v>0.22</v>
      </c>
      <c r="S211" s="235">
        <v>0.18</v>
      </c>
      <c r="T211" s="268">
        <f t="shared" si="60"/>
        <v>0</v>
      </c>
      <c r="U211" s="16"/>
      <c r="V211" s="18">
        <f t="shared" si="61"/>
        <v>0</v>
      </c>
      <c r="W211" s="49">
        <f t="shared" si="62"/>
        <v>0</v>
      </c>
      <c r="X211" s="16"/>
    </row>
    <row r="212" spans="2:24" s="19" customFormat="1" ht="26.25" hidden="1" customHeight="1" x14ac:dyDescent="0.25">
      <c r="B212" s="15"/>
      <c r="C212" s="6" t="s">
        <v>19</v>
      </c>
      <c r="D212" s="21" t="s">
        <v>191</v>
      </c>
      <c r="E212" s="96" t="s">
        <v>336</v>
      </c>
      <c r="F212" s="298" t="s">
        <v>217</v>
      </c>
      <c r="G212" s="12" t="s">
        <v>0</v>
      </c>
      <c r="H212" s="36"/>
      <c r="I212" s="225">
        <v>0</v>
      </c>
      <c r="J212" s="36">
        <f t="shared" si="59"/>
        <v>0</v>
      </c>
      <c r="K212" s="225">
        <f t="shared" si="63"/>
        <v>0.16</v>
      </c>
      <c r="L212" s="154">
        <f t="shared" si="58"/>
        <v>0</v>
      </c>
      <c r="M212" s="383" t="s">
        <v>693</v>
      </c>
      <c r="N212" s="109"/>
      <c r="O212" s="36"/>
      <c r="P212" s="225">
        <f t="shared" si="64"/>
        <v>0</v>
      </c>
      <c r="Q212" s="184" t="str">
        <f t="shared" si="56"/>
        <v xml:space="preserve">Ш7х7 </v>
      </c>
      <c r="R212" s="288">
        <f t="shared" si="65"/>
        <v>0.22</v>
      </c>
      <c r="S212" s="255">
        <v>0.18</v>
      </c>
      <c r="T212" s="268">
        <f t="shared" si="60"/>
        <v>0</v>
      </c>
      <c r="U212" s="115">
        <f>20900-20-150-450-300</f>
        <v>19980</v>
      </c>
      <c r="V212" s="18">
        <f t="shared" si="61"/>
        <v>0</v>
      </c>
      <c r="W212" s="49">
        <f t="shared" si="62"/>
        <v>0</v>
      </c>
      <c r="X212" s="16">
        <f>20900-20-150-450-300</f>
        <v>19980</v>
      </c>
    </row>
    <row r="213" spans="2:24" ht="26.25" hidden="1" customHeight="1" x14ac:dyDescent="0.25">
      <c r="B213" s="11"/>
      <c r="C213" s="6" t="s">
        <v>19</v>
      </c>
      <c r="D213" s="21" t="s">
        <v>15</v>
      </c>
      <c r="E213" s="96" t="s">
        <v>109</v>
      </c>
      <c r="F213" s="135" t="s">
        <v>111</v>
      </c>
      <c r="G213" s="17" t="s">
        <v>0</v>
      </c>
      <c r="H213" s="36"/>
      <c r="I213" s="274">
        <v>0</v>
      </c>
      <c r="J213" s="36">
        <f t="shared" si="59"/>
        <v>0</v>
      </c>
      <c r="K213" s="225">
        <f t="shared" si="63"/>
        <v>0.69</v>
      </c>
      <c r="L213" s="154">
        <f t="shared" si="58"/>
        <v>0</v>
      </c>
      <c r="M213" s="60"/>
      <c r="N213" s="109"/>
      <c r="O213" s="353"/>
      <c r="P213" s="225">
        <f t="shared" si="64"/>
        <v>0</v>
      </c>
      <c r="Q213" s="159" t="str">
        <f t="shared" si="56"/>
        <v>Ш 10х10</v>
      </c>
      <c r="R213" s="288">
        <f t="shared" si="65"/>
        <v>0.97</v>
      </c>
      <c r="S213" s="235">
        <v>0.81</v>
      </c>
      <c r="T213" s="268">
        <f t="shared" si="60"/>
        <v>0</v>
      </c>
      <c r="U213" s="115">
        <f>260+700</f>
        <v>960</v>
      </c>
      <c r="V213" s="18">
        <f t="shared" si="61"/>
        <v>0</v>
      </c>
      <c r="W213" s="49">
        <f t="shared" si="62"/>
        <v>0</v>
      </c>
      <c r="X213" s="16">
        <f>260+700</f>
        <v>960</v>
      </c>
    </row>
    <row r="214" spans="2:24" ht="26.25" hidden="1" customHeight="1" x14ac:dyDescent="0.25">
      <c r="B214" s="11"/>
      <c r="C214" s="6" t="s">
        <v>19</v>
      </c>
      <c r="D214" s="21" t="s">
        <v>15</v>
      </c>
      <c r="E214" s="96" t="s">
        <v>100</v>
      </c>
      <c r="F214" s="298"/>
      <c r="G214" s="14" t="s">
        <v>0</v>
      </c>
      <c r="H214" s="36"/>
      <c r="I214" s="225">
        <v>0</v>
      </c>
      <c r="J214" s="36">
        <f t="shared" si="59"/>
        <v>0</v>
      </c>
      <c r="K214" s="225">
        <f t="shared" si="63"/>
        <v>0.46</v>
      </c>
      <c r="L214" s="154">
        <f t="shared" si="58"/>
        <v>0</v>
      </c>
      <c r="M214" s="86" t="s">
        <v>120</v>
      </c>
      <c r="N214" s="109"/>
      <c r="O214" s="36"/>
      <c r="P214" s="344">
        <f t="shared" si="64"/>
        <v>0</v>
      </c>
      <c r="Q214" s="185" t="str">
        <f t="shared" si="56"/>
        <v>Ш12х15</v>
      </c>
      <c r="R214" s="288">
        <f t="shared" si="65"/>
        <v>0.65</v>
      </c>
      <c r="S214" s="238">
        <v>0.54</v>
      </c>
      <c r="T214" s="268">
        <f t="shared" si="60"/>
        <v>0</v>
      </c>
      <c r="U214" s="115">
        <v>5600</v>
      </c>
      <c r="V214" s="18">
        <f t="shared" si="61"/>
        <v>0</v>
      </c>
      <c r="W214" s="49">
        <f t="shared" si="62"/>
        <v>0</v>
      </c>
      <c r="X214" s="16">
        <v>5600</v>
      </c>
    </row>
    <row r="215" spans="2:24" ht="26.25" customHeight="1" x14ac:dyDescent="0.25">
      <c r="B215" s="11">
        <v>79</v>
      </c>
      <c r="C215" s="6" t="s">
        <v>20</v>
      </c>
      <c r="D215" s="21" t="s">
        <v>15</v>
      </c>
      <c r="E215" s="96" t="s">
        <v>162</v>
      </c>
      <c r="F215" s="135">
        <v>433</v>
      </c>
      <c r="G215" s="12" t="s">
        <v>0</v>
      </c>
      <c r="H215" s="36">
        <v>192</v>
      </c>
      <c r="I215" s="274">
        <v>971.52</v>
      </c>
      <c r="J215" s="36">
        <f t="shared" si="59"/>
        <v>0</v>
      </c>
      <c r="K215" s="225">
        <f t="shared" si="63"/>
        <v>5.0599999999999996</v>
      </c>
      <c r="L215" s="154">
        <f t="shared" si="58"/>
        <v>0</v>
      </c>
      <c r="M215" s="279"/>
      <c r="N215" s="109"/>
      <c r="O215" s="36">
        <v>192</v>
      </c>
      <c r="P215" s="225">
        <f t="shared" si="64"/>
        <v>971.52</v>
      </c>
      <c r="Q215" s="159" t="str">
        <f t="shared" si="56"/>
        <v xml:space="preserve">Ш20х28 </v>
      </c>
      <c r="R215" s="288">
        <f t="shared" si="65"/>
        <v>7.08</v>
      </c>
      <c r="S215" s="235">
        <v>5.9</v>
      </c>
      <c r="T215" s="268">
        <f t="shared" si="60"/>
        <v>0</v>
      </c>
      <c r="U215" s="115">
        <v>4000</v>
      </c>
      <c r="V215" s="18">
        <f t="shared" si="61"/>
        <v>0</v>
      </c>
      <c r="W215" s="49">
        <f t="shared" si="62"/>
        <v>0</v>
      </c>
      <c r="X215" s="16">
        <v>4000</v>
      </c>
    </row>
    <row r="216" spans="2:24" ht="26.25" hidden="1" customHeight="1" x14ac:dyDescent="0.25">
      <c r="B216" s="11"/>
      <c r="C216" s="6" t="s">
        <v>19</v>
      </c>
      <c r="D216" s="21" t="s">
        <v>15</v>
      </c>
      <c r="E216" s="96" t="s">
        <v>155</v>
      </c>
      <c r="F216" s="298" t="s">
        <v>118</v>
      </c>
      <c r="G216" s="14" t="s">
        <v>0</v>
      </c>
      <c r="H216" s="36"/>
      <c r="I216" s="225">
        <v>0</v>
      </c>
      <c r="J216" s="36">
        <f t="shared" si="59"/>
        <v>0</v>
      </c>
      <c r="K216" s="225">
        <f t="shared" si="63"/>
        <v>0.34</v>
      </c>
      <c r="L216" s="154">
        <f t="shared" si="58"/>
        <v>0</v>
      </c>
      <c r="M216" s="86" t="s">
        <v>119</v>
      </c>
      <c r="N216" s="109"/>
      <c r="O216" s="36"/>
      <c r="P216" s="344">
        <f t="shared" si="64"/>
        <v>0</v>
      </c>
      <c r="Q216" s="183" t="str">
        <f t="shared" si="56"/>
        <v>Ш42х21х13</v>
      </c>
      <c r="R216" s="288">
        <f t="shared" si="65"/>
        <v>0.48</v>
      </c>
      <c r="S216" s="242">
        <v>0.4</v>
      </c>
      <c r="T216" s="268">
        <f t="shared" si="60"/>
        <v>0</v>
      </c>
      <c r="U216" s="116">
        <f>400+44+2000</f>
        <v>2444</v>
      </c>
      <c r="V216" s="18">
        <f t="shared" si="61"/>
        <v>0</v>
      </c>
      <c r="W216" s="49">
        <f t="shared" si="62"/>
        <v>0</v>
      </c>
      <c r="X216" s="18">
        <f>400+44+2000</f>
        <v>2444</v>
      </c>
    </row>
    <row r="217" spans="2:24" ht="26.25" customHeight="1" x14ac:dyDescent="0.25">
      <c r="B217" s="11">
        <v>80</v>
      </c>
      <c r="C217" s="6" t="s">
        <v>19</v>
      </c>
      <c r="D217" s="398" t="s">
        <v>201</v>
      </c>
      <c r="E217" s="329" t="s">
        <v>750</v>
      </c>
      <c r="F217" s="304" t="s">
        <v>755</v>
      </c>
      <c r="G217" s="45" t="s">
        <v>0</v>
      </c>
      <c r="H217" s="36"/>
      <c r="I217" s="225">
        <v>0</v>
      </c>
      <c r="J217" s="36">
        <f t="shared" si="59"/>
        <v>240</v>
      </c>
      <c r="K217" s="225">
        <f t="shared" si="63"/>
        <v>0.85</v>
      </c>
      <c r="L217" s="154">
        <f>K217*J515</f>
        <v>0</v>
      </c>
      <c r="M217" s="124" t="s">
        <v>566</v>
      </c>
      <c r="N217" s="110">
        <v>240</v>
      </c>
      <c r="O217" s="353"/>
      <c r="P217" s="225">
        <f t="shared" si="64"/>
        <v>0</v>
      </c>
      <c r="Q217" s="48" t="str">
        <f t="shared" ref="Q217:Q222" si="66">E217</f>
        <v>к21х12х7</v>
      </c>
      <c r="R217" s="223">
        <f t="shared" si="65"/>
        <v>1.19</v>
      </c>
      <c r="S217" s="399">
        <f>29.15*0.034</f>
        <v>0.99</v>
      </c>
      <c r="T217" s="268">
        <f t="shared" si="60"/>
        <v>237.6</v>
      </c>
      <c r="U217" s="18"/>
      <c r="V217" s="18">
        <f t="shared" si="61"/>
        <v>240</v>
      </c>
      <c r="W217" s="49">
        <f t="shared" si="62"/>
        <v>240</v>
      </c>
      <c r="X217" s="18"/>
    </row>
    <row r="218" spans="2:24" ht="26.25" customHeight="1" x14ac:dyDescent="0.25">
      <c r="B218" s="11">
        <v>81</v>
      </c>
      <c r="C218" s="6" t="s">
        <v>19</v>
      </c>
      <c r="D218" s="398" t="s">
        <v>752</v>
      </c>
      <c r="E218" s="329" t="s">
        <v>750</v>
      </c>
      <c r="F218" s="304" t="s">
        <v>756</v>
      </c>
      <c r="G218" s="45" t="s">
        <v>0</v>
      </c>
      <c r="H218" s="36"/>
      <c r="I218" s="225">
        <v>0</v>
      </c>
      <c r="J218" s="36">
        <f t="shared" si="59"/>
        <v>240</v>
      </c>
      <c r="K218" s="225">
        <f>R218/1.4</f>
        <v>0.95</v>
      </c>
      <c r="L218" s="154">
        <f>K218*J516</f>
        <v>0</v>
      </c>
      <c r="M218" s="124" t="s">
        <v>566</v>
      </c>
      <c r="N218" s="110">
        <v>240</v>
      </c>
      <c r="O218" s="353"/>
      <c r="P218" s="225">
        <f>K218*O218</f>
        <v>0</v>
      </c>
      <c r="Q218" s="48" t="str">
        <f>E218</f>
        <v>к21х12х7</v>
      </c>
      <c r="R218" s="223">
        <f t="shared" si="65"/>
        <v>1.33</v>
      </c>
      <c r="S218" s="399">
        <f>32.6*0.034</f>
        <v>1.1100000000000001</v>
      </c>
      <c r="T218" s="268">
        <f t="shared" si="60"/>
        <v>266.39999999999998</v>
      </c>
      <c r="U218" s="18"/>
      <c r="V218" s="18">
        <f>N218</f>
        <v>240</v>
      </c>
      <c r="W218" s="49">
        <f>X218-U218+V218</f>
        <v>240</v>
      </c>
      <c r="X218" s="18"/>
    </row>
    <row r="219" spans="2:24" ht="26.25" customHeight="1" x14ac:dyDescent="0.25">
      <c r="B219" s="11">
        <v>82</v>
      </c>
      <c r="C219" s="6" t="s">
        <v>19</v>
      </c>
      <c r="D219" s="398" t="s">
        <v>753</v>
      </c>
      <c r="E219" s="329" t="s">
        <v>750</v>
      </c>
      <c r="F219" s="304" t="s">
        <v>757</v>
      </c>
      <c r="G219" s="45" t="s">
        <v>0</v>
      </c>
      <c r="H219" s="36"/>
      <c r="I219" s="225">
        <v>0</v>
      </c>
      <c r="J219" s="36">
        <f t="shared" si="59"/>
        <v>240</v>
      </c>
      <c r="K219" s="225">
        <f t="shared" si="63"/>
        <v>1.02</v>
      </c>
      <c r="L219" s="154">
        <f t="shared" ref="L219:L230" si="67">K219*J516</f>
        <v>0</v>
      </c>
      <c r="M219" s="124" t="s">
        <v>566</v>
      </c>
      <c r="N219" s="110">
        <v>240</v>
      </c>
      <c r="O219" s="353"/>
      <c r="P219" s="225">
        <f t="shared" si="64"/>
        <v>0</v>
      </c>
      <c r="Q219" s="48" t="str">
        <f t="shared" si="66"/>
        <v>к21х12х7</v>
      </c>
      <c r="R219" s="223">
        <f t="shared" si="65"/>
        <v>1.43</v>
      </c>
      <c r="S219" s="399">
        <f>34.9*0.034</f>
        <v>1.19</v>
      </c>
      <c r="T219" s="268">
        <f t="shared" si="60"/>
        <v>285.60000000000002</v>
      </c>
      <c r="U219" s="18"/>
      <c r="V219" s="18">
        <f t="shared" si="61"/>
        <v>240</v>
      </c>
      <c r="W219" s="49">
        <f t="shared" si="62"/>
        <v>240</v>
      </c>
      <c r="X219" s="18"/>
    </row>
    <row r="220" spans="2:24" ht="26.25" customHeight="1" x14ac:dyDescent="0.25">
      <c r="B220" s="11">
        <v>83</v>
      </c>
      <c r="C220" s="6" t="s">
        <v>19</v>
      </c>
      <c r="D220" s="398" t="s">
        <v>201</v>
      </c>
      <c r="E220" s="329" t="s">
        <v>751</v>
      </c>
      <c r="F220" s="304" t="s">
        <v>758</v>
      </c>
      <c r="G220" s="45" t="s">
        <v>0</v>
      </c>
      <c r="H220" s="36"/>
      <c r="I220" s="225">
        <v>0</v>
      </c>
      <c r="J220" s="36">
        <f t="shared" si="59"/>
        <v>240</v>
      </c>
      <c r="K220" s="225">
        <f t="shared" si="63"/>
        <v>1.19</v>
      </c>
      <c r="L220" s="154">
        <f t="shared" si="67"/>
        <v>0</v>
      </c>
      <c r="M220" s="124" t="s">
        <v>566</v>
      </c>
      <c r="N220" s="110">
        <v>240</v>
      </c>
      <c r="O220" s="353"/>
      <c r="P220" s="225">
        <f t="shared" si="64"/>
        <v>0</v>
      </c>
      <c r="Q220" s="48" t="str">
        <f t="shared" si="66"/>
        <v>к38х22х7</v>
      </c>
      <c r="R220" s="223">
        <f t="shared" si="65"/>
        <v>1.66</v>
      </c>
      <c r="S220" s="399">
        <f>40.65*0.034</f>
        <v>1.38</v>
      </c>
      <c r="T220" s="268">
        <f t="shared" si="60"/>
        <v>331.2</v>
      </c>
      <c r="U220" s="18"/>
      <c r="V220" s="18">
        <f t="shared" si="61"/>
        <v>240</v>
      </c>
      <c r="W220" s="49">
        <f t="shared" si="62"/>
        <v>240</v>
      </c>
      <c r="X220" s="18"/>
    </row>
    <row r="221" spans="2:24" ht="26.25" customHeight="1" x14ac:dyDescent="0.25">
      <c r="B221" s="11">
        <v>84</v>
      </c>
      <c r="C221" s="6" t="s">
        <v>19</v>
      </c>
      <c r="D221" s="398" t="s">
        <v>752</v>
      </c>
      <c r="E221" s="329" t="s">
        <v>751</v>
      </c>
      <c r="F221" s="304" t="s">
        <v>759</v>
      </c>
      <c r="G221" s="45" t="s">
        <v>0</v>
      </c>
      <c r="H221" s="36"/>
      <c r="I221" s="225">
        <v>0</v>
      </c>
      <c r="J221" s="36">
        <f t="shared" si="59"/>
        <v>240</v>
      </c>
      <c r="K221" s="225">
        <f t="shared" si="63"/>
        <v>1.27</v>
      </c>
      <c r="L221" s="154">
        <f t="shared" si="67"/>
        <v>0</v>
      </c>
      <c r="M221" s="124" t="s">
        <v>566</v>
      </c>
      <c r="N221" s="110">
        <v>240</v>
      </c>
      <c r="O221" s="353"/>
      <c r="P221" s="225">
        <f t="shared" si="64"/>
        <v>0</v>
      </c>
      <c r="Q221" s="48" t="str">
        <f t="shared" si="66"/>
        <v>к38х22х7</v>
      </c>
      <c r="R221" s="223">
        <f t="shared" si="65"/>
        <v>1.78</v>
      </c>
      <c r="S221" s="399">
        <f>43.5*0.034</f>
        <v>1.48</v>
      </c>
      <c r="T221" s="268">
        <f t="shared" si="60"/>
        <v>355.2</v>
      </c>
      <c r="U221" s="18"/>
      <c r="V221" s="18">
        <f t="shared" si="61"/>
        <v>240</v>
      </c>
      <c r="W221" s="49">
        <f t="shared" si="62"/>
        <v>240</v>
      </c>
      <c r="X221" s="18"/>
    </row>
    <row r="222" spans="2:24" ht="26.25" customHeight="1" x14ac:dyDescent="0.25">
      <c r="B222" s="11">
        <v>85</v>
      </c>
      <c r="C222" s="6" t="s">
        <v>19</v>
      </c>
      <c r="D222" s="398" t="s">
        <v>753</v>
      </c>
      <c r="E222" s="329" t="s">
        <v>751</v>
      </c>
      <c r="F222" s="304" t="s">
        <v>760</v>
      </c>
      <c r="G222" s="45" t="s">
        <v>0</v>
      </c>
      <c r="H222" s="36"/>
      <c r="I222" s="225">
        <v>0</v>
      </c>
      <c r="J222" s="36">
        <f t="shared" si="59"/>
        <v>240</v>
      </c>
      <c r="K222" s="225">
        <f t="shared" si="63"/>
        <v>1.32</v>
      </c>
      <c r="L222" s="154">
        <f t="shared" si="67"/>
        <v>0</v>
      </c>
      <c r="M222" s="124" t="s">
        <v>566</v>
      </c>
      <c r="N222" s="110">
        <v>240</v>
      </c>
      <c r="O222" s="353"/>
      <c r="P222" s="225">
        <f t="shared" si="64"/>
        <v>0</v>
      </c>
      <c r="Q222" s="48" t="str">
        <f t="shared" si="66"/>
        <v>к38х22х7</v>
      </c>
      <c r="R222" s="223">
        <f t="shared" si="65"/>
        <v>1.85</v>
      </c>
      <c r="S222" s="399">
        <f>45.4*0.034</f>
        <v>1.54</v>
      </c>
      <c r="T222" s="268">
        <f t="shared" si="60"/>
        <v>369.6</v>
      </c>
      <c r="U222" s="18"/>
      <c r="V222" s="18">
        <f t="shared" si="61"/>
        <v>240</v>
      </c>
      <c r="W222" s="49">
        <f t="shared" si="62"/>
        <v>240</v>
      </c>
      <c r="X222" s="18"/>
    </row>
    <row r="223" spans="2:24" ht="26.25" hidden="1" customHeight="1" x14ac:dyDescent="0.25">
      <c r="B223" s="17"/>
      <c r="C223" s="6" t="s">
        <v>19</v>
      </c>
      <c r="D223" s="21" t="s">
        <v>140</v>
      </c>
      <c r="E223" s="96" t="s">
        <v>87</v>
      </c>
      <c r="F223" s="296" t="s">
        <v>261</v>
      </c>
      <c r="G223" s="12" t="s">
        <v>0</v>
      </c>
      <c r="H223" s="36"/>
      <c r="I223" s="225">
        <v>0</v>
      </c>
      <c r="J223" s="36">
        <f t="shared" si="59"/>
        <v>0</v>
      </c>
      <c r="K223" s="225">
        <f t="shared" si="63"/>
        <v>7.0000000000000007E-2</v>
      </c>
      <c r="L223" s="154">
        <f t="shared" si="67"/>
        <v>0</v>
      </c>
      <c r="M223" s="141" t="s">
        <v>441</v>
      </c>
      <c r="N223" s="109"/>
      <c r="O223" s="36"/>
      <c r="P223" s="225">
        <f t="shared" si="64"/>
        <v>0</v>
      </c>
      <c r="Q223" s="159" t="str">
        <f t="shared" si="56"/>
        <v xml:space="preserve"> СК210-23 К14х9х 5</v>
      </c>
      <c r="R223" s="288">
        <f t="shared" si="65"/>
        <v>0.1</v>
      </c>
      <c r="S223" s="257">
        <v>8.3000000000000004E-2</v>
      </c>
      <c r="T223" s="268">
        <f t="shared" si="60"/>
        <v>0</v>
      </c>
      <c r="U223" s="116">
        <v>139300</v>
      </c>
      <c r="V223" s="18">
        <f t="shared" si="61"/>
        <v>0</v>
      </c>
      <c r="W223" s="49">
        <f t="shared" si="62"/>
        <v>0</v>
      </c>
      <c r="X223" s="18">
        <v>139300</v>
      </c>
    </row>
    <row r="224" spans="2:24" ht="26.25" hidden="1" customHeight="1" x14ac:dyDescent="0.25">
      <c r="B224" s="11"/>
      <c r="C224" s="6" t="s">
        <v>18</v>
      </c>
      <c r="D224" s="21" t="s">
        <v>40</v>
      </c>
      <c r="E224" s="96" t="s">
        <v>208</v>
      </c>
      <c r="F224" s="286">
        <v>642</v>
      </c>
      <c r="G224" s="45" t="s">
        <v>0</v>
      </c>
      <c r="H224" s="36"/>
      <c r="I224" s="274">
        <v>0</v>
      </c>
      <c r="J224" s="36">
        <f t="shared" si="59"/>
        <v>0</v>
      </c>
      <c r="K224" s="225">
        <f t="shared" si="63"/>
        <v>0.51</v>
      </c>
      <c r="L224" s="154">
        <f t="shared" si="67"/>
        <v>0</v>
      </c>
      <c r="M224" s="146" t="s">
        <v>694</v>
      </c>
      <c r="N224" s="109"/>
      <c r="O224" s="36"/>
      <c r="P224" s="274">
        <f t="shared" si="64"/>
        <v>0</v>
      </c>
      <c r="Q224" s="159" t="str">
        <f t="shared" si="56"/>
        <v>Д3х2</v>
      </c>
      <c r="R224" s="223">
        <f t="shared" si="65"/>
        <v>0.72</v>
      </c>
      <c r="S224" s="235">
        <v>0.6</v>
      </c>
      <c r="T224" s="268">
        <f t="shared" si="60"/>
        <v>0</v>
      </c>
      <c r="U224" s="115">
        <v>9780</v>
      </c>
      <c r="V224" s="18">
        <f t="shared" si="61"/>
        <v>0</v>
      </c>
      <c r="W224" s="49">
        <f t="shared" si="62"/>
        <v>0</v>
      </c>
      <c r="X224" s="16">
        <v>9780</v>
      </c>
    </row>
    <row r="225" spans="1:40" ht="26.25" customHeight="1" x14ac:dyDescent="0.25">
      <c r="B225" s="11">
        <v>86</v>
      </c>
      <c r="C225" s="6" t="s">
        <v>18</v>
      </c>
      <c r="D225" s="21" t="s">
        <v>40</v>
      </c>
      <c r="E225" s="96" t="s">
        <v>223</v>
      </c>
      <c r="F225" s="135">
        <v>966</v>
      </c>
      <c r="G225" s="45"/>
      <c r="H225" s="36">
        <v>800</v>
      </c>
      <c r="I225" s="225">
        <v>136</v>
      </c>
      <c r="J225" s="36">
        <f t="shared" si="59"/>
        <v>1500</v>
      </c>
      <c r="K225" s="225">
        <f t="shared" si="63"/>
        <v>0.17</v>
      </c>
      <c r="L225" s="154">
        <f t="shared" si="67"/>
        <v>0</v>
      </c>
      <c r="M225" s="143" t="s">
        <v>734</v>
      </c>
      <c r="N225" s="109">
        <v>2300</v>
      </c>
      <c r="O225" s="36"/>
      <c r="P225" s="225">
        <f t="shared" si="64"/>
        <v>0</v>
      </c>
      <c r="Q225" s="159" t="str">
        <f t="shared" si="56"/>
        <v>Д3х3</v>
      </c>
      <c r="R225" s="288">
        <f t="shared" si="65"/>
        <v>0.24</v>
      </c>
      <c r="S225" s="235">
        <v>0.2</v>
      </c>
      <c r="T225" s="268">
        <f t="shared" si="60"/>
        <v>300</v>
      </c>
      <c r="U225" s="115">
        <f>7873+800</f>
        <v>8673</v>
      </c>
      <c r="V225" s="18">
        <f t="shared" si="61"/>
        <v>2300</v>
      </c>
      <c r="W225" s="49">
        <f t="shared" si="62"/>
        <v>2300</v>
      </c>
      <c r="X225" s="16">
        <f>7873+800</f>
        <v>8673</v>
      </c>
    </row>
    <row r="226" spans="1:40" ht="26.25" hidden="1" customHeight="1" x14ac:dyDescent="0.25">
      <c r="B226" s="11"/>
      <c r="C226" s="6" t="s">
        <v>18</v>
      </c>
      <c r="D226" s="21" t="s">
        <v>40</v>
      </c>
      <c r="E226" s="96" t="s">
        <v>224</v>
      </c>
      <c r="F226" s="305">
        <v>496</v>
      </c>
      <c r="G226" s="45"/>
      <c r="H226" s="36"/>
      <c r="I226" s="225">
        <v>0</v>
      </c>
      <c r="J226" s="36">
        <f t="shared" si="59"/>
        <v>0</v>
      </c>
      <c r="K226" s="225">
        <f t="shared" si="63"/>
        <v>0.43</v>
      </c>
      <c r="L226" s="154">
        <f t="shared" si="67"/>
        <v>0</v>
      </c>
      <c r="M226" s="142" t="s">
        <v>229</v>
      </c>
      <c r="N226" s="109"/>
      <c r="O226" s="36"/>
      <c r="P226" s="225">
        <f t="shared" si="64"/>
        <v>0</v>
      </c>
      <c r="Q226" s="159" t="str">
        <f t="shared" si="56"/>
        <v>Д3х4</v>
      </c>
      <c r="R226" s="288">
        <f t="shared" si="65"/>
        <v>0.6</v>
      </c>
      <c r="S226" s="235">
        <v>0.5</v>
      </c>
      <c r="T226" s="268">
        <f t="shared" si="60"/>
        <v>0</v>
      </c>
      <c r="U226" s="115">
        <f>1676+891</f>
        <v>2567</v>
      </c>
      <c r="V226" s="18">
        <f t="shared" si="61"/>
        <v>0</v>
      </c>
      <c r="W226" s="49">
        <f t="shared" si="62"/>
        <v>0</v>
      </c>
      <c r="X226" s="16">
        <f>1676+891</f>
        <v>2567</v>
      </c>
    </row>
    <row r="227" spans="1:40" ht="26.25" hidden="1" customHeight="1" x14ac:dyDescent="0.25">
      <c r="B227" s="11"/>
      <c r="C227" s="6" t="s">
        <v>18</v>
      </c>
      <c r="D227" s="21" t="s">
        <v>40</v>
      </c>
      <c r="E227" s="96" t="s">
        <v>242</v>
      </c>
      <c r="F227" s="137"/>
      <c r="G227" s="45"/>
      <c r="H227" s="36"/>
      <c r="I227" s="225">
        <v>0</v>
      </c>
      <c r="J227" s="36">
        <f t="shared" si="59"/>
        <v>0</v>
      </c>
      <c r="K227" s="225">
        <f t="shared" si="63"/>
        <v>1.8</v>
      </c>
      <c r="L227" s="154">
        <f t="shared" si="67"/>
        <v>0</v>
      </c>
      <c r="M227" s="91" t="s">
        <v>238</v>
      </c>
      <c r="N227" s="109"/>
      <c r="O227" s="36"/>
      <c r="P227" s="225">
        <f t="shared" si="64"/>
        <v>0</v>
      </c>
      <c r="Q227" s="159" t="str">
        <f t="shared" si="56"/>
        <v>Д3,5х2 с цн.пок.</v>
      </c>
      <c r="R227" s="288">
        <f t="shared" si="65"/>
        <v>2.52</v>
      </c>
      <c r="S227" s="255">
        <v>2.1</v>
      </c>
      <c r="T227" s="268">
        <f t="shared" si="60"/>
        <v>0</v>
      </c>
      <c r="U227" s="116">
        <v>1847</v>
      </c>
      <c r="V227" s="18">
        <f t="shared" si="61"/>
        <v>0</v>
      </c>
      <c r="W227" s="49">
        <f t="shared" si="62"/>
        <v>0</v>
      </c>
      <c r="X227" s="18">
        <v>1847</v>
      </c>
    </row>
    <row r="228" spans="1:40" ht="26.25" customHeight="1" x14ac:dyDescent="0.25">
      <c r="B228" s="11">
        <v>87</v>
      </c>
      <c r="C228" s="6" t="s">
        <v>18</v>
      </c>
      <c r="D228" s="21" t="s">
        <v>40</v>
      </c>
      <c r="E228" s="96" t="s">
        <v>243</v>
      </c>
      <c r="F228" s="191">
        <v>663</v>
      </c>
      <c r="G228" s="13" t="s">
        <v>0</v>
      </c>
      <c r="H228" s="36"/>
      <c r="I228" s="274">
        <v>0</v>
      </c>
      <c r="J228" s="36">
        <f t="shared" si="59"/>
        <v>100</v>
      </c>
      <c r="K228" s="225">
        <f t="shared" si="63"/>
        <v>1.29</v>
      </c>
      <c r="L228" s="154">
        <f t="shared" si="67"/>
        <v>0</v>
      </c>
      <c r="M228" s="143" t="s">
        <v>735</v>
      </c>
      <c r="N228" s="109">
        <v>100</v>
      </c>
      <c r="O228" s="36"/>
      <c r="P228" s="274">
        <f t="shared" si="64"/>
        <v>0</v>
      </c>
      <c r="Q228" s="184" t="str">
        <f t="shared" si="56"/>
        <v xml:space="preserve">Д3,5х2 </v>
      </c>
      <c r="R228" s="288">
        <f t="shared" si="65"/>
        <v>1.8</v>
      </c>
      <c r="S228" s="235">
        <v>1.5</v>
      </c>
      <c r="T228" s="268">
        <f t="shared" si="60"/>
        <v>150</v>
      </c>
      <c r="U228" s="116">
        <f>760+3904</f>
        <v>4664</v>
      </c>
      <c r="V228" s="18">
        <f t="shared" si="61"/>
        <v>100</v>
      </c>
      <c r="W228" s="49">
        <f t="shared" si="62"/>
        <v>100</v>
      </c>
      <c r="X228" s="18">
        <f>760+3904</f>
        <v>4664</v>
      </c>
    </row>
    <row r="229" spans="1:40" ht="26.25" hidden="1" customHeight="1" x14ac:dyDescent="0.25">
      <c r="B229" s="11"/>
      <c r="C229" s="6" t="s">
        <v>18</v>
      </c>
      <c r="D229" s="21" t="s">
        <v>40</v>
      </c>
      <c r="E229" s="96" t="s">
        <v>225</v>
      </c>
      <c r="F229" s="137">
        <v>515</v>
      </c>
      <c r="G229" s="45"/>
      <c r="H229" s="36"/>
      <c r="I229" s="274">
        <v>0</v>
      </c>
      <c r="J229" s="36">
        <f t="shared" si="59"/>
        <v>0</v>
      </c>
      <c r="K229" s="225">
        <v>0.63</v>
      </c>
      <c r="L229" s="154">
        <f t="shared" si="67"/>
        <v>0</v>
      </c>
      <c r="M229" s="146" t="s">
        <v>695</v>
      </c>
      <c r="N229" s="109"/>
      <c r="O229" s="353"/>
      <c r="P229" s="225">
        <f t="shared" si="64"/>
        <v>0</v>
      </c>
      <c r="Q229" s="184" t="str">
        <f t="shared" si="56"/>
        <v>Д3,5х3</v>
      </c>
      <c r="R229" s="288">
        <f t="shared" si="65"/>
        <v>1.1399999999999999</v>
      </c>
      <c r="S229" s="242">
        <v>0.95</v>
      </c>
      <c r="T229" s="268">
        <f t="shared" si="60"/>
        <v>0</v>
      </c>
      <c r="U229" s="115">
        <v>3062</v>
      </c>
      <c r="V229" s="18">
        <f t="shared" si="61"/>
        <v>0</v>
      </c>
      <c r="W229" s="49">
        <f t="shared" si="62"/>
        <v>0</v>
      </c>
      <c r="X229" s="16">
        <v>3062</v>
      </c>
    </row>
    <row r="230" spans="1:40" ht="26.25" hidden="1" customHeight="1" x14ac:dyDescent="0.25">
      <c r="B230" s="11"/>
      <c r="C230" s="6" t="s">
        <v>18</v>
      </c>
      <c r="D230" s="21" t="s">
        <v>40</v>
      </c>
      <c r="E230" s="98" t="s">
        <v>185</v>
      </c>
      <c r="F230" s="137">
        <v>586</v>
      </c>
      <c r="G230" s="13" t="s">
        <v>0</v>
      </c>
      <c r="H230" s="36"/>
      <c r="I230" s="225">
        <v>0</v>
      </c>
      <c r="J230" s="36">
        <f t="shared" si="59"/>
        <v>0</v>
      </c>
      <c r="K230" s="225">
        <f>R230/1.4</f>
        <v>1.71</v>
      </c>
      <c r="L230" s="154">
        <f t="shared" si="67"/>
        <v>0</v>
      </c>
      <c r="M230" s="142" t="s">
        <v>615</v>
      </c>
      <c r="N230" s="109"/>
      <c r="O230" s="36"/>
      <c r="P230" s="344">
        <f t="shared" si="64"/>
        <v>0</v>
      </c>
      <c r="Q230" s="48" t="str">
        <f t="shared" si="56"/>
        <v>Д3х6</v>
      </c>
      <c r="R230" s="288">
        <f t="shared" si="65"/>
        <v>2.4</v>
      </c>
      <c r="S230" s="235">
        <v>2</v>
      </c>
      <c r="T230" s="268">
        <f t="shared" si="60"/>
        <v>0</v>
      </c>
      <c r="U230" s="115">
        <v>476</v>
      </c>
      <c r="V230" s="18">
        <f t="shared" si="61"/>
        <v>0</v>
      </c>
      <c r="W230" s="49">
        <f t="shared" si="62"/>
        <v>0</v>
      </c>
      <c r="X230" s="16">
        <v>476</v>
      </c>
    </row>
    <row r="231" spans="1:40" ht="26.25" customHeight="1" x14ac:dyDescent="0.25">
      <c r="B231" s="11">
        <v>88</v>
      </c>
      <c r="C231" s="6" t="s">
        <v>18</v>
      </c>
      <c r="D231" s="21" t="s">
        <v>40</v>
      </c>
      <c r="E231" s="98" t="s">
        <v>277</v>
      </c>
      <c r="F231" s="294">
        <v>1224</v>
      </c>
      <c r="G231" s="12" t="s">
        <v>0</v>
      </c>
      <c r="H231" s="36">
        <v>1440</v>
      </c>
      <c r="I231" s="274">
        <v>244.8</v>
      </c>
      <c r="J231" s="36">
        <f t="shared" si="59"/>
        <v>0</v>
      </c>
      <c r="K231" s="225">
        <f>R231/1.4</f>
        <v>0.17</v>
      </c>
      <c r="L231" s="154"/>
      <c r="M231" s="171" t="s">
        <v>471</v>
      </c>
      <c r="N231" s="109"/>
      <c r="O231" s="36">
        <v>1440</v>
      </c>
      <c r="P231" s="350">
        <f t="shared" si="64"/>
        <v>244.8</v>
      </c>
      <c r="Q231" s="184" t="str">
        <f t="shared" si="56"/>
        <v>Д4х2</v>
      </c>
      <c r="R231" s="223">
        <f t="shared" si="65"/>
        <v>0.24</v>
      </c>
      <c r="S231" s="258">
        <v>0.2</v>
      </c>
      <c r="T231" s="268">
        <f t="shared" si="60"/>
        <v>0</v>
      </c>
      <c r="U231" s="116">
        <v>50</v>
      </c>
      <c r="V231" s="18">
        <f t="shared" si="61"/>
        <v>0</v>
      </c>
      <c r="W231" s="49">
        <f t="shared" si="62"/>
        <v>0</v>
      </c>
      <c r="X231" s="18">
        <v>50</v>
      </c>
    </row>
    <row r="232" spans="1:40" ht="26.25" customHeight="1" x14ac:dyDescent="0.25">
      <c r="B232" s="11">
        <v>89</v>
      </c>
      <c r="C232" s="6" t="s">
        <v>18</v>
      </c>
      <c r="D232" s="21" t="s">
        <v>40</v>
      </c>
      <c r="E232" s="96" t="s">
        <v>226</v>
      </c>
      <c r="F232" s="295">
        <v>452</v>
      </c>
      <c r="G232" s="45"/>
      <c r="H232" s="36"/>
      <c r="I232" s="274">
        <v>0</v>
      </c>
      <c r="J232" s="36">
        <f t="shared" si="59"/>
        <v>40</v>
      </c>
      <c r="K232" s="225">
        <f>R232/1.4</f>
        <v>0.51</v>
      </c>
      <c r="L232" s="154">
        <f>K232*J529</f>
        <v>0</v>
      </c>
      <c r="M232" s="283" t="s">
        <v>696</v>
      </c>
      <c r="N232" s="109"/>
      <c r="O232" s="36">
        <v>40</v>
      </c>
      <c r="P232" s="225">
        <f t="shared" si="64"/>
        <v>20.399999999999999</v>
      </c>
      <c r="Q232" s="48" t="str">
        <f t="shared" si="56"/>
        <v>Д4,5х3</v>
      </c>
      <c r="R232" s="288">
        <f t="shared" si="65"/>
        <v>0.72</v>
      </c>
      <c r="S232" s="255">
        <v>0.6</v>
      </c>
      <c r="T232" s="268">
        <f t="shared" si="60"/>
        <v>24</v>
      </c>
      <c r="U232" s="115">
        <f>4286+1699+1100</f>
        <v>7085</v>
      </c>
      <c r="V232" s="18">
        <f t="shared" si="61"/>
        <v>0</v>
      </c>
      <c r="W232" s="49">
        <f t="shared" si="62"/>
        <v>0</v>
      </c>
      <c r="X232" s="16">
        <f>4286+1699+1100</f>
        <v>7085</v>
      </c>
    </row>
    <row r="233" spans="1:40" s="4" customFormat="1" ht="26.25" hidden="1" customHeight="1" x14ac:dyDescent="0.25">
      <c r="A233" s="10"/>
      <c r="B233" s="11"/>
      <c r="C233" s="6" t="s">
        <v>18</v>
      </c>
      <c r="D233" s="21" t="s">
        <v>40</v>
      </c>
      <c r="E233" s="96" t="s">
        <v>721</v>
      </c>
      <c r="F233" s="286">
        <v>1304</v>
      </c>
      <c r="G233" s="45"/>
      <c r="H233" s="36"/>
      <c r="I233" s="274">
        <v>0</v>
      </c>
      <c r="J233" s="36">
        <f t="shared" si="59"/>
        <v>0</v>
      </c>
      <c r="K233" s="225">
        <f>R233/1.4</f>
        <v>5.14</v>
      </c>
      <c r="L233" s="154"/>
      <c r="M233" s="171" t="s">
        <v>472</v>
      </c>
      <c r="N233" s="109"/>
      <c r="O233" s="36"/>
      <c r="P233" s="334">
        <f t="shared" si="64"/>
        <v>0</v>
      </c>
      <c r="Q233" s="185" t="str">
        <f t="shared" si="56"/>
        <v>Д5х3 N42H</v>
      </c>
      <c r="R233" s="223">
        <f t="shared" si="65"/>
        <v>7.2</v>
      </c>
      <c r="S233" s="255">
        <v>6</v>
      </c>
      <c r="T233" s="268">
        <f t="shared" si="60"/>
        <v>0</v>
      </c>
      <c r="U233" s="116">
        <v>20</v>
      </c>
      <c r="V233" s="18">
        <f t="shared" si="61"/>
        <v>0</v>
      </c>
      <c r="W233" s="49">
        <f t="shared" si="62"/>
        <v>0</v>
      </c>
      <c r="X233" s="18">
        <v>20</v>
      </c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</row>
    <row r="234" spans="1:40" ht="26.25" customHeight="1" x14ac:dyDescent="0.25">
      <c r="B234" s="11">
        <v>90</v>
      </c>
      <c r="C234" s="6" t="s">
        <v>18</v>
      </c>
      <c r="D234" s="21" t="s">
        <v>40</v>
      </c>
      <c r="E234" s="96" t="s">
        <v>157</v>
      </c>
      <c r="F234" s="135">
        <v>808</v>
      </c>
      <c r="G234" s="12" t="s">
        <v>0</v>
      </c>
      <c r="H234" s="36">
        <v>1280</v>
      </c>
      <c r="I234" s="274">
        <v>332.8</v>
      </c>
      <c r="J234" s="36">
        <f t="shared" si="59"/>
        <v>0</v>
      </c>
      <c r="K234" s="225">
        <v>0.26</v>
      </c>
      <c r="L234" s="154">
        <f>K234*J531</f>
        <v>0</v>
      </c>
      <c r="M234" s="142" t="s">
        <v>672</v>
      </c>
      <c r="N234" s="109"/>
      <c r="O234" s="36">
        <v>1280</v>
      </c>
      <c r="P234" s="225">
        <f t="shared" si="64"/>
        <v>332.8</v>
      </c>
      <c r="Q234" s="159" t="str">
        <f t="shared" si="56"/>
        <v>Д5х2</v>
      </c>
      <c r="R234" s="288">
        <f t="shared" si="65"/>
        <v>0.36</v>
      </c>
      <c r="S234" s="235">
        <v>0.3</v>
      </c>
      <c r="T234" s="268">
        <f t="shared" si="60"/>
        <v>0</v>
      </c>
      <c r="U234" s="66">
        <f>9365+1500-800</f>
        <v>10065</v>
      </c>
      <c r="V234" s="18">
        <f t="shared" si="61"/>
        <v>0</v>
      </c>
      <c r="W234" s="49">
        <f t="shared" si="62"/>
        <v>0</v>
      </c>
      <c r="X234" s="18">
        <f>9365+1500-800</f>
        <v>10065</v>
      </c>
    </row>
    <row r="235" spans="1:40" ht="26.25" hidden="1" customHeight="1" x14ac:dyDescent="0.25">
      <c r="B235" s="11"/>
      <c r="C235" s="6" t="s">
        <v>18</v>
      </c>
      <c r="D235" s="21" t="s">
        <v>40</v>
      </c>
      <c r="E235" s="96" t="s">
        <v>559</v>
      </c>
      <c r="F235" s="135">
        <v>1401</v>
      </c>
      <c r="G235" s="45"/>
      <c r="H235" s="36"/>
      <c r="I235" s="225">
        <v>0</v>
      </c>
      <c r="J235" s="36">
        <f t="shared" si="59"/>
        <v>0</v>
      </c>
      <c r="K235" s="225">
        <f>R235/1.4</f>
        <v>2.14</v>
      </c>
      <c r="L235" s="154">
        <f>K235*J532</f>
        <v>0</v>
      </c>
      <c r="M235" s="124" t="s">
        <v>547</v>
      </c>
      <c r="N235" s="109"/>
      <c r="O235" s="36"/>
      <c r="P235" s="344">
        <f t="shared" si="64"/>
        <v>0</v>
      </c>
      <c r="Q235" s="183" t="str">
        <f t="shared" si="56"/>
        <v>Д5х2 с ник.покр.</v>
      </c>
      <c r="R235" s="288">
        <f t="shared" si="65"/>
        <v>3</v>
      </c>
      <c r="S235" s="246">
        <v>2.5</v>
      </c>
      <c r="T235" s="268">
        <f t="shared" si="60"/>
        <v>0</v>
      </c>
      <c r="U235" s="66">
        <f>10285+5715</f>
        <v>16000</v>
      </c>
      <c r="V235" s="18">
        <f t="shared" si="61"/>
        <v>0</v>
      </c>
      <c r="W235" s="49">
        <f t="shared" si="62"/>
        <v>0</v>
      </c>
      <c r="X235" s="18">
        <f>10285+5715</f>
        <v>16000</v>
      </c>
    </row>
    <row r="236" spans="1:40" ht="26.25" hidden="1" customHeight="1" x14ac:dyDescent="0.25">
      <c r="B236" s="17"/>
      <c r="C236" s="6" t="s">
        <v>18</v>
      </c>
      <c r="D236" s="21" t="s">
        <v>40</v>
      </c>
      <c r="E236" s="96" t="s">
        <v>330</v>
      </c>
      <c r="F236" s="135"/>
      <c r="G236" s="45"/>
      <c r="H236" s="36"/>
      <c r="I236" s="225">
        <v>0</v>
      </c>
      <c r="J236" s="36">
        <f t="shared" si="59"/>
        <v>0</v>
      </c>
      <c r="K236" s="225"/>
      <c r="L236" s="154"/>
      <c r="M236" s="86"/>
      <c r="N236" s="109"/>
      <c r="O236" s="36"/>
      <c r="P236" s="350">
        <f t="shared" si="64"/>
        <v>0</v>
      </c>
      <c r="Q236" s="184" t="str">
        <f t="shared" si="56"/>
        <v>Д5х3 С  ЦН.ПОК.</v>
      </c>
      <c r="R236" s="288">
        <f t="shared" si="65"/>
        <v>0</v>
      </c>
      <c r="S236" s="235">
        <v>0</v>
      </c>
      <c r="T236" s="268">
        <f t="shared" si="60"/>
        <v>0</v>
      </c>
      <c r="U236" s="116">
        <v>422</v>
      </c>
      <c r="V236" s="18">
        <f t="shared" si="61"/>
        <v>0</v>
      </c>
      <c r="W236" s="49">
        <f t="shared" si="62"/>
        <v>0</v>
      </c>
      <c r="X236" s="18">
        <v>422</v>
      </c>
    </row>
    <row r="237" spans="1:40" ht="26.25" hidden="1" customHeight="1" x14ac:dyDescent="0.25">
      <c r="B237" s="11"/>
      <c r="C237" s="6" t="s">
        <v>18</v>
      </c>
      <c r="D237" s="21" t="s">
        <v>40</v>
      </c>
      <c r="E237" s="96" t="s">
        <v>123</v>
      </c>
      <c r="F237" s="294" t="s">
        <v>182</v>
      </c>
      <c r="G237" s="12" t="s">
        <v>0</v>
      </c>
      <c r="H237" s="36"/>
      <c r="I237" s="274">
        <v>0</v>
      </c>
      <c r="J237" s="36">
        <f t="shared" si="59"/>
        <v>0</v>
      </c>
      <c r="K237" s="225">
        <f>R237/1.4</f>
        <v>0.46</v>
      </c>
      <c r="L237" s="154">
        <f>K237*J534</f>
        <v>0</v>
      </c>
      <c r="M237" s="215" t="s">
        <v>452</v>
      </c>
      <c r="N237" s="109"/>
      <c r="O237" s="36"/>
      <c r="P237" s="225">
        <f t="shared" si="64"/>
        <v>0</v>
      </c>
      <c r="Q237" s="48" t="str">
        <f t="shared" si="56"/>
        <v>Д5х3</v>
      </c>
      <c r="R237" s="288">
        <f t="shared" si="65"/>
        <v>0.65</v>
      </c>
      <c r="S237" s="246">
        <v>0.54</v>
      </c>
      <c r="T237" s="268">
        <f t="shared" ref="T237:T268" si="68">S237*J237</f>
        <v>0</v>
      </c>
      <c r="U237" s="116">
        <v>1649</v>
      </c>
      <c r="V237" s="18">
        <f t="shared" ref="V237:V270" si="69">N237</f>
        <v>0</v>
      </c>
      <c r="W237" s="49">
        <f t="shared" ref="W237:W242" si="70">X237-U237+V237</f>
        <v>0</v>
      </c>
      <c r="X237" s="18">
        <v>1649</v>
      </c>
    </row>
    <row r="238" spans="1:40" ht="26.25" customHeight="1" x14ac:dyDescent="0.25">
      <c r="B238" s="11">
        <v>91</v>
      </c>
      <c r="C238" s="6" t="s">
        <v>18</v>
      </c>
      <c r="D238" s="21" t="s">
        <v>40</v>
      </c>
      <c r="E238" s="83" t="s">
        <v>278</v>
      </c>
      <c r="F238" s="135">
        <v>1072</v>
      </c>
      <c r="G238" s="12" t="s">
        <v>0</v>
      </c>
      <c r="H238" s="36">
        <v>4880</v>
      </c>
      <c r="I238" s="274">
        <v>7124.8</v>
      </c>
      <c r="J238" s="36">
        <f t="shared" si="59"/>
        <v>0</v>
      </c>
      <c r="K238" s="225">
        <f>R238/1.4</f>
        <v>1.46</v>
      </c>
      <c r="L238" s="154">
        <f>K238*J535</f>
        <v>0</v>
      </c>
      <c r="M238" s="310"/>
      <c r="N238" s="112"/>
      <c r="O238" s="36">
        <f>5000-120</f>
        <v>4880</v>
      </c>
      <c r="P238" s="344">
        <f t="shared" si="64"/>
        <v>7124.8</v>
      </c>
      <c r="Q238" s="183" t="str">
        <f t="shared" si="56"/>
        <v xml:space="preserve">Д5х5 </v>
      </c>
      <c r="R238" s="288">
        <f t="shared" si="65"/>
        <v>2.04</v>
      </c>
      <c r="S238" s="255">
        <v>1.7</v>
      </c>
      <c r="T238" s="268">
        <f t="shared" si="68"/>
        <v>0</v>
      </c>
      <c r="U238" s="320">
        <f>4110*3+1150-120</f>
        <v>13360</v>
      </c>
      <c r="V238" s="18">
        <f t="shared" si="69"/>
        <v>0</v>
      </c>
      <c r="W238" s="49">
        <f t="shared" si="70"/>
        <v>0</v>
      </c>
      <c r="X238" s="16">
        <f>4110*3+1150-120</f>
        <v>13360</v>
      </c>
    </row>
    <row r="239" spans="1:40" ht="32.25" customHeight="1" x14ac:dyDescent="0.25">
      <c r="B239" s="11">
        <v>92</v>
      </c>
      <c r="C239" s="6" t="s">
        <v>18</v>
      </c>
      <c r="D239" s="21" t="s">
        <v>40</v>
      </c>
      <c r="E239" s="83" t="s">
        <v>263</v>
      </c>
      <c r="F239" s="135">
        <v>481</v>
      </c>
      <c r="G239" s="393" t="s">
        <v>0</v>
      </c>
      <c r="H239" s="359">
        <v>4682</v>
      </c>
      <c r="I239" s="374">
        <v>6039.78</v>
      </c>
      <c r="J239" s="36">
        <f t="shared" si="59"/>
        <v>0</v>
      </c>
      <c r="K239" s="225">
        <f>R239/1.4</f>
        <v>1.29</v>
      </c>
      <c r="L239" s="154">
        <f>K239*J536</f>
        <v>0</v>
      </c>
      <c r="M239" s="171" t="s">
        <v>473</v>
      </c>
      <c r="N239" s="109"/>
      <c r="O239" s="36">
        <f>4712-30</f>
        <v>4682</v>
      </c>
      <c r="P239" s="225">
        <f t="shared" si="64"/>
        <v>6039.78</v>
      </c>
      <c r="Q239" s="159" t="str">
        <f t="shared" si="56"/>
        <v>Д5х6 ЭПГ111.035</v>
      </c>
      <c r="R239" s="288">
        <f t="shared" si="65"/>
        <v>1.8</v>
      </c>
      <c r="S239" s="235">
        <v>1.5</v>
      </c>
      <c r="T239" s="268">
        <f t="shared" si="68"/>
        <v>0</v>
      </c>
      <c r="U239" s="16">
        <f>3168*6+3366*7+1571+565-200</f>
        <v>44506</v>
      </c>
      <c r="V239" s="18">
        <f t="shared" si="69"/>
        <v>0</v>
      </c>
      <c r="W239" s="49">
        <f t="shared" si="70"/>
        <v>0</v>
      </c>
      <c r="X239" s="16">
        <f>3168*6+3366*7+1571+565-200</f>
        <v>44506</v>
      </c>
    </row>
    <row r="240" spans="1:40" ht="26.25" hidden="1" customHeight="1" x14ac:dyDescent="0.25">
      <c r="B240" s="11"/>
      <c r="C240" s="6" t="s">
        <v>18</v>
      </c>
      <c r="D240" s="21" t="s">
        <v>40</v>
      </c>
      <c r="E240" s="83" t="s">
        <v>357</v>
      </c>
      <c r="F240" s="135">
        <v>1170</v>
      </c>
      <c r="G240" s="45" t="s">
        <v>0</v>
      </c>
      <c r="H240" s="36"/>
      <c r="I240" s="225">
        <v>0</v>
      </c>
      <c r="J240" s="36">
        <f t="shared" si="59"/>
        <v>0</v>
      </c>
      <c r="K240" s="225">
        <f>R240/1.4</f>
        <v>0.53</v>
      </c>
      <c r="L240" s="154"/>
      <c r="M240" s="123" t="s">
        <v>363</v>
      </c>
      <c r="N240" s="112"/>
      <c r="O240" s="36"/>
      <c r="P240" s="344">
        <f t="shared" si="64"/>
        <v>0</v>
      </c>
      <c r="Q240" s="185" t="str">
        <f t="shared" si="56"/>
        <v>Д5х6 нжб1400</v>
      </c>
      <c r="R240" s="288">
        <f t="shared" si="65"/>
        <v>0.74</v>
      </c>
      <c r="S240" s="235">
        <v>0.61799999999999999</v>
      </c>
      <c r="T240" s="268">
        <f t="shared" si="68"/>
        <v>0</v>
      </c>
      <c r="U240" s="66">
        <f>2706+1000</f>
        <v>3706</v>
      </c>
      <c r="V240" s="18">
        <f t="shared" si="69"/>
        <v>0</v>
      </c>
      <c r="W240" s="49">
        <f t="shared" si="70"/>
        <v>0</v>
      </c>
      <c r="X240" s="18">
        <f>2706+1000</f>
        <v>3706</v>
      </c>
    </row>
    <row r="241" spans="2:24" ht="26.25" customHeight="1" x14ac:dyDescent="0.25">
      <c r="B241" s="11">
        <v>93</v>
      </c>
      <c r="C241" s="6" t="s">
        <v>18</v>
      </c>
      <c r="D241" s="21" t="s">
        <v>40</v>
      </c>
      <c r="E241" s="96" t="s">
        <v>71</v>
      </c>
      <c r="F241" s="135" t="s">
        <v>76</v>
      </c>
      <c r="G241" s="12" t="s">
        <v>0</v>
      </c>
      <c r="H241" s="36">
        <v>8912</v>
      </c>
      <c r="I241" s="274">
        <v>2825.74</v>
      </c>
      <c r="J241" s="36">
        <f t="shared" si="59"/>
        <v>88</v>
      </c>
      <c r="K241" s="225">
        <f>R241/1.4</f>
        <v>0.25</v>
      </c>
      <c r="L241" s="154">
        <f>K241*J538</f>
        <v>0</v>
      </c>
      <c r="M241" s="310"/>
      <c r="N241" s="109">
        <v>4000</v>
      </c>
      <c r="O241" s="36">
        <v>5000</v>
      </c>
      <c r="P241" s="225">
        <f>O241*K241</f>
        <v>1250</v>
      </c>
      <c r="Q241" s="159" t="str">
        <f t="shared" si="56"/>
        <v>Д5х10</v>
      </c>
      <c r="R241" s="288">
        <f t="shared" si="65"/>
        <v>0.35</v>
      </c>
      <c r="S241" s="235">
        <v>0.28999999999999998</v>
      </c>
      <c r="T241" s="268">
        <f t="shared" si="68"/>
        <v>25.52</v>
      </c>
      <c r="U241" s="66">
        <f>44775-1716</f>
        <v>43059</v>
      </c>
      <c r="V241" s="18">
        <f t="shared" si="69"/>
        <v>4000</v>
      </c>
      <c r="W241" s="49">
        <f t="shared" si="70"/>
        <v>4000</v>
      </c>
      <c r="X241" s="18">
        <f>44775-1716</f>
        <v>43059</v>
      </c>
    </row>
    <row r="242" spans="2:24" ht="26.25" hidden="1" customHeight="1" x14ac:dyDescent="0.25">
      <c r="B242" s="11"/>
      <c r="C242" s="6" t="s">
        <v>18</v>
      </c>
      <c r="D242" s="21" t="s">
        <v>40</v>
      </c>
      <c r="E242" s="83" t="s">
        <v>541</v>
      </c>
      <c r="F242" s="304" t="s">
        <v>544</v>
      </c>
      <c r="G242" s="45" t="s">
        <v>0</v>
      </c>
      <c r="H242" s="36"/>
      <c r="I242" s="225">
        <v>0</v>
      </c>
      <c r="J242" s="36">
        <f t="shared" si="59"/>
        <v>0</v>
      </c>
      <c r="K242" s="225">
        <f t="shared" ref="K242:K249" si="71">R242/1.4</f>
        <v>1.46</v>
      </c>
      <c r="L242" s="154">
        <f>K242*J539</f>
        <v>0</v>
      </c>
      <c r="M242" s="124" t="s">
        <v>566</v>
      </c>
      <c r="N242" s="110"/>
      <c r="O242" s="353"/>
      <c r="P242" s="225">
        <f t="shared" ref="P242:P252" si="72">K242*O242</f>
        <v>0</v>
      </c>
      <c r="Q242" s="185" t="str">
        <f t="shared" si="56"/>
        <v>Д5х20</v>
      </c>
      <c r="R242" s="288">
        <f t="shared" si="65"/>
        <v>2.04</v>
      </c>
      <c r="S242" s="238">
        <v>1.7</v>
      </c>
      <c r="T242" s="268">
        <f t="shared" si="68"/>
        <v>0</v>
      </c>
      <c r="U242" s="18"/>
      <c r="V242" s="18">
        <f t="shared" si="69"/>
        <v>0</v>
      </c>
      <c r="W242" s="49">
        <f t="shared" si="70"/>
        <v>0</v>
      </c>
      <c r="X242" s="18"/>
    </row>
    <row r="243" spans="2:24" ht="26.25" hidden="1" customHeight="1" x14ac:dyDescent="0.25">
      <c r="B243" s="11"/>
      <c r="C243" s="6" t="s">
        <v>18</v>
      </c>
      <c r="D243" s="21" t="s">
        <v>40</v>
      </c>
      <c r="E243" s="98" t="s">
        <v>612</v>
      </c>
      <c r="F243" s="136" t="s">
        <v>609</v>
      </c>
      <c r="G243" s="45" t="s">
        <v>0</v>
      </c>
      <c r="H243" s="36"/>
      <c r="I243" s="274">
        <v>0</v>
      </c>
      <c r="J243" s="36">
        <f t="shared" si="59"/>
        <v>0</v>
      </c>
      <c r="K243" s="225">
        <f t="shared" si="71"/>
        <v>2.66</v>
      </c>
      <c r="L243" s="154"/>
      <c r="M243" s="142" t="s">
        <v>616</v>
      </c>
      <c r="N243" s="110"/>
      <c r="O243" s="353"/>
      <c r="P243" s="225">
        <f t="shared" si="72"/>
        <v>0</v>
      </c>
      <c r="Q243" s="48" t="str">
        <f t="shared" si="56"/>
        <v>Д6х1 НЖБ1400</v>
      </c>
      <c r="R243" s="288">
        <f t="shared" si="65"/>
        <v>3.72</v>
      </c>
      <c r="S243" s="238">
        <v>3.1</v>
      </c>
      <c r="T243" s="268">
        <f t="shared" si="68"/>
        <v>0</v>
      </c>
      <c r="U243" s="66">
        <v>900</v>
      </c>
      <c r="V243" s="18">
        <f t="shared" si="69"/>
        <v>0</v>
      </c>
      <c r="W243" s="49"/>
      <c r="X243" s="18">
        <v>900</v>
      </c>
    </row>
    <row r="244" spans="2:24" ht="26.25" hidden="1" customHeight="1" x14ac:dyDescent="0.25">
      <c r="B244" s="15"/>
      <c r="C244" s="6" t="s">
        <v>18</v>
      </c>
      <c r="D244" s="21" t="s">
        <v>40</v>
      </c>
      <c r="E244" s="98" t="s">
        <v>611</v>
      </c>
      <c r="F244" s="136" t="s">
        <v>610</v>
      </c>
      <c r="G244" s="45"/>
      <c r="H244" s="36"/>
      <c r="I244" s="274">
        <v>0</v>
      </c>
      <c r="J244" s="36">
        <f t="shared" si="59"/>
        <v>0</v>
      </c>
      <c r="K244" s="225">
        <f t="shared" si="71"/>
        <v>4.63</v>
      </c>
      <c r="L244" s="154"/>
      <c r="M244" s="142" t="s">
        <v>617</v>
      </c>
      <c r="N244" s="110"/>
      <c r="O244" s="353"/>
      <c r="P244" s="225">
        <f t="shared" si="72"/>
        <v>0</v>
      </c>
      <c r="Q244" s="48" t="str">
        <f t="shared" si="56"/>
        <v>Д6х2 НЖБ1400</v>
      </c>
      <c r="R244" s="288">
        <f t="shared" si="65"/>
        <v>6.48</v>
      </c>
      <c r="S244" s="238">
        <v>5.4</v>
      </c>
      <c r="T244" s="268">
        <f t="shared" si="68"/>
        <v>0</v>
      </c>
      <c r="U244" s="66">
        <v>900</v>
      </c>
      <c r="V244" s="18">
        <f t="shared" si="69"/>
        <v>0</v>
      </c>
      <c r="W244" s="49"/>
      <c r="X244" s="18">
        <v>900</v>
      </c>
    </row>
    <row r="245" spans="2:24" ht="26.25" hidden="1" customHeight="1" x14ac:dyDescent="0.25">
      <c r="B245" s="15"/>
      <c r="C245" s="6" t="s">
        <v>18</v>
      </c>
      <c r="D245" s="21" t="s">
        <v>40</v>
      </c>
      <c r="E245" s="98" t="s">
        <v>213</v>
      </c>
      <c r="F245" s="135">
        <v>1191</v>
      </c>
      <c r="G245" s="45" t="s">
        <v>0</v>
      </c>
      <c r="H245" s="36"/>
      <c r="I245" s="274">
        <v>0</v>
      </c>
      <c r="J245" s="36">
        <f t="shared" si="59"/>
        <v>0</v>
      </c>
      <c r="K245" s="225">
        <f t="shared" si="71"/>
        <v>0.6</v>
      </c>
      <c r="L245" s="154">
        <f>K245*J542</f>
        <v>0</v>
      </c>
      <c r="M245" s="283" t="s">
        <v>618</v>
      </c>
      <c r="N245" s="109"/>
      <c r="O245" s="36"/>
      <c r="P245" s="225">
        <f t="shared" si="72"/>
        <v>0</v>
      </c>
      <c r="Q245" s="48" t="str">
        <f t="shared" si="56"/>
        <v>Д6х2</v>
      </c>
      <c r="R245" s="288">
        <f t="shared" si="65"/>
        <v>0.84</v>
      </c>
      <c r="S245" s="255">
        <v>0.7</v>
      </c>
      <c r="T245" s="268">
        <f t="shared" si="68"/>
        <v>0</v>
      </c>
      <c r="U245" s="115">
        <v>800</v>
      </c>
      <c r="V245" s="18">
        <f t="shared" si="69"/>
        <v>0</v>
      </c>
      <c r="W245" s="49">
        <f t="shared" ref="W245:W252" si="73">X245-U245+V245</f>
        <v>0</v>
      </c>
      <c r="X245" s="16">
        <v>800</v>
      </c>
    </row>
    <row r="246" spans="2:24" ht="26.25" hidden="1" customHeight="1" x14ac:dyDescent="0.25">
      <c r="B246" s="15"/>
      <c r="C246" s="6" t="s">
        <v>18</v>
      </c>
      <c r="D246" s="21" t="s">
        <v>40</v>
      </c>
      <c r="E246" s="98" t="s">
        <v>555</v>
      </c>
      <c r="F246" s="138" t="s">
        <v>197</v>
      </c>
      <c r="G246" s="45" t="s">
        <v>0</v>
      </c>
      <c r="H246" s="36"/>
      <c r="I246" s="225">
        <v>0</v>
      </c>
      <c r="J246" s="36">
        <f t="shared" si="59"/>
        <v>0</v>
      </c>
      <c r="K246" s="225">
        <f t="shared" si="71"/>
        <v>0.75</v>
      </c>
      <c r="L246" s="154">
        <f>K246*J543</f>
        <v>0</v>
      </c>
      <c r="M246" s="141" t="s">
        <v>237</v>
      </c>
      <c r="N246" s="109"/>
      <c r="O246" s="36"/>
      <c r="P246" s="225">
        <f t="shared" si="72"/>
        <v>0</v>
      </c>
      <c r="Q246" s="185" t="str">
        <f t="shared" si="56"/>
        <v>Д6х2-Днамаг N48H</v>
      </c>
      <c r="R246" s="288">
        <f t="shared" ref="R246:R274" si="74">S246*1.2</f>
        <v>1.05</v>
      </c>
      <c r="S246" s="235">
        <v>0.875</v>
      </c>
      <c r="T246" s="268">
        <f t="shared" si="68"/>
        <v>0</v>
      </c>
      <c r="U246" s="116">
        <v>20</v>
      </c>
      <c r="V246" s="18">
        <f t="shared" si="69"/>
        <v>0</v>
      </c>
      <c r="W246" s="49">
        <f t="shared" si="73"/>
        <v>0</v>
      </c>
      <c r="X246" s="18">
        <v>20</v>
      </c>
    </row>
    <row r="247" spans="2:24" ht="26.25" customHeight="1" x14ac:dyDescent="0.25">
      <c r="B247" s="11">
        <v>94</v>
      </c>
      <c r="C247" s="6" t="s">
        <v>18</v>
      </c>
      <c r="D247" s="21" t="s">
        <v>40</v>
      </c>
      <c r="E247" s="98" t="s">
        <v>399</v>
      </c>
      <c r="F247" s="135" t="s">
        <v>384</v>
      </c>
      <c r="G247" s="12" t="s">
        <v>0</v>
      </c>
      <c r="H247" s="36">
        <v>7000</v>
      </c>
      <c r="I247" s="274">
        <v>3710</v>
      </c>
      <c r="J247" s="36">
        <f t="shared" si="59"/>
        <v>1000</v>
      </c>
      <c r="K247" s="225">
        <f t="shared" si="71"/>
        <v>0.53</v>
      </c>
      <c r="L247" s="154">
        <f>K247*J544</f>
        <v>0</v>
      </c>
      <c r="M247" s="142" t="s">
        <v>619</v>
      </c>
      <c r="N247" s="109">
        <v>3500</v>
      </c>
      <c r="O247" s="36">
        <v>4500</v>
      </c>
      <c r="P247" s="225">
        <f t="shared" si="72"/>
        <v>2385</v>
      </c>
      <c r="Q247" s="159" t="str">
        <f t="shared" si="56"/>
        <v>С6х3 НЖБ1400-100 град</v>
      </c>
      <c r="R247" s="288">
        <f t="shared" si="74"/>
        <v>0.74</v>
      </c>
      <c r="S247" s="235">
        <v>0.62</v>
      </c>
      <c r="T247" s="268">
        <f t="shared" si="68"/>
        <v>620</v>
      </c>
      <c r="U247" s="66">
        <v>13934</v>
      </c>
      <c r="V247" s="18">
        <f t="shared" si="69"/>
        <v>3500</v>
      </c>
      <c r="W247" s="49">
        <f t="shared" si="73"/>
        <v>3500</v>
      </c>
      <c r="X247" s="18">
        <v>13934</v>
      </c>
    </row>
    <row r="248" spans="2:24" ht="34.5" hidden="1" customHeight="1" x14ac:dyDescent="0.25">
      <c r="B248" s="15"/>
      <c r="C248" s="6" t="s">
        <v>18</v>
      </c>
      <c r="D248" s="21" t="s">
        <v>40</v>
      </c>
      <c r="E248" s="98" t="s">
        <v>724</v>
      </c>
      <c r="F248" s="293">
        <v>510</v>
      </c>
      <c r="G248" s="45"/>
      <c r="H248" s="36"/>
      <c r="I248" s="274">
        <v>0</v>
      </c>
      <c r="J248" s="36">
        <f t="shared" si="59"/>
        <v>0</v>
      </c>
      <c r="K248" s="225">
        <f t="shared" si="71"/>
        <v>0.98</v>
      </c>
      <c r="L248" s="154"/>
      <c r="M248" s="146" t="s">
        <v>736</v>
      </c>
      <c r="N248" s="109"/>
      <c r="O248" s="36"/>
      <c r="P248" s="334">
        <f t="shared" si="72"/>
        <v>0</v>
      </c>
      <c r="Q248" s="183" t="str">
        <f t="shared" si="56"/>
        <v>С6х3</v>
      </c>
      <c r="R248" s="223">
        <f t="shared" si="74"/>
        <v>1.37</v>
      </c>
      <c r="S248" s="235">
        <v>1.1399999999999999</v>
      </c>
      <c r="T248" s="268">
        <f t="shared" si="68"/>
        <v>0</v>
      </c>
      <c r="U248" s="116">
        <v>20</v>
      </c>
      <c r="V248" s="18">
        <f t="shared" si="69"/>
        <v>0</v>
      </c>
      <c r="W248" s="49">
        <f t="shared" si="73"/>
        <v>0</v>
      </c>
      <c r="X248" s="18">
        <v>20</v>
      </c>
    </row>
    <row r="249" spans="2:24" ht="26.25" hidden="1" customHeight="1" x14ac:dyDescent="0.25">
      <c r="B249" s="11"/>
      <c r="C249" s="6" t="s">
        <v>18</v>
      </c>
      <c r="D249" s="21" t="s">
        <v>40</v>
      </c>
      <c r="E249" s="98" t="s">
        <v>381</v>
      </c>
      <c r="F249" s="297">
        <v>1196</v>
      </c>
      <c r="G249" s="45" t="s">
        <v>0</v>
      </c>
      <c r="H249" s="36"/>
      <c r="I249" s="225">
        <v>0</v>
      </c>
      <c r="J249" s="36">
        <f t="shared" si="59"/>
        <v>0</v>
      </c>
      <c r="K249" s="225">
        <f t="shared" si="71"/>
        <v>1.3</v>
      </c>
      <c r="L249" s="154">
        <f>K249*J546</f>
        <v>0</v>
      </c>
      <c r="M249" s="90" t="s">
        <v>169</v>
      </c>
      <c r="N249" s="109"/>
      <c r="O249" s="36"/>
      <c r="P249" s="225">
        <f t="shared" si="72"/>
        <v>0</v>
      </c>
      <c r="Q249" s="159" t="str">
        <f t="shared" si="56"/>
        <v>Д6х30</v>
      </c>
      <c r="R249" s="288">
        <f t="shared" si="74"/>
        <v>1.82</v>
      </c>
      <c r="S249" s="235">
        <v>1.5149999999999999</v>
      </c>
      <c r="T249" s="268">
        <f t="shared" si="68"/>
        <v>0</v>
      </c>
      <c r="U249" s="116">
        <f>350+286</f>
        <v>636</v>
      </c>
      <c r="V249" s="18">
        <f t="shared" si="69"/>
        <v>0</v>
      </c>
      <c r="W249" s="49">
        <f t="shared" si="73"/>
        <v>0</v>
      </c>
      <c r="X249" s="325">
        <f>350+286</f>
        <v>636</v>
      </c>
    </row>
    <row r="250" spans="2:24" ht="26.25" hidden="1" customHeight="1" x14ac:dyDescent="0.25">
      <c r="B250" s="11"/>
      <c r="C250" s="6" t="s">
        <v>18</v>
      </c>
      <c r="D250" s="21" t="s">
        <v>40</v>
      </c>
      <c r="E250" s="98" t="s">
        <v>300</v>
      </c>
      <c r="F250" s="297"/>
      <c r="G250" s="45"/>
      <c r="H250" s="36"/>
      <c r="I250" s="225">
        <v>0</v>
      </c>
      <c r="J250" s="36">
        <f t="shared" si="59"/>
        <v>0</v>
      </c>
      <c r="K250" s="225"/>
      <c r="L250" s="154"/>
      <c r="M250" s="90"/>
      <c r="N250" s="109"/>
      <c r="O250" s="36"/>
      <c r="P250" s="225">
        <f t="shared" si="72"/>
        <v>0</v>
      </c>
      <c r="Q250" s="159" t="str">
        <f t="shared" si="56"/>
        <v>Д7х10 без покр.</v>
      </c>
      <c r="R250" s="288">
        <f t="shared" si="74"/>
        <v>0</v>
      </c>
      <c r="S250" s="235">
        <v>0</v>
      </c>
      <c r="T250" s="268">
        <f t="shared" si="68"/>
        <v>0</v>
      </c>
      <c r="U250" s="116">
        <v>2965</v>
      </c>
      <c r="V250" s="18">
        <f t="shared" si="69"/>
        <v>0</v>
      </c>
      <c r="W250" s="49">
        <f t="shared" si="73"/>
        <v>0</v>
      </c>
      <c r="X250" s="18">
        <v>2965</v>
      </c>
    </row>
    <row r="251" spans="2:24" ht="26.25" hidden="1" customHeight="1" x14ac:dyDescent="0.25">
      <c r="B251" s="11"/>
      <c r="C251" s="6" t="s">
        <v>18</v>
      </c>
      <c r="D251" s="21" t="s">
        <v>40</v>
      </c>
      <c r="E251" s="98" t="s">
        <v>402</v>
      </c>
      <c r="F251" s="299">
        <v>773</v>
      </c>
      <c r="G251" s="13" t="s">
        <v>0</v>
      </c>
      <c r="H251" s="36"/>
      <c r="I251" s="225">
        <v>0</v>
      </c>
      <c r="J251" s="36">
        <f t="shared" si="59"/>
        <v>0</v>
      </c>
      <c r="K251" s="225">
        <f>R251/1.4</f>
        <v>0.09</v>
      </c>
      <c r="L251" s="154">
        <f>K251*J548</f>
        <v>0</v>
      </c>
      <c r="M251" s="91" t="s">
        <v>239</v>
      </c>
      <c r="N251" s="109"/>
      <c r="O251" s="36"/>
      <c r="P251" s="225">
        <f t="shared" si="72"/>
        <v>0</v>
      </c>
      <c r="Q251" s="184" t="str">
        <f t="shared" si="56"/>
        <v>Д 8х15</v>
      </c>
      <c r="R251" s="288">
        <f t="shared" si="74"/>
        <v>0.12</v>
      </c>
      <c r="S251" s="239">
        <v>0.1</v>
      </c>
      <c r="T251" s="268">
        <f t="shared" si="68"/>
        <v>0</v>
      </c>
      <c r="U251" s="66">
        <v>11</v>
      </c>
      <c r="V251" s="18">
        <f t="shared" si="69"/>
        <v>0</v>
      </c>
      <c r="W251" s="49">
        <f t="shared" si="73"/>
        <v>0</v>
      </c>
      <c r="X251" s="18">
        <v>11</v>
      </c>
    </row>
    <row r="252" spans="2:24" ht="26.25" customHeight="1" x14ac:dyDescent="0.25">
      <c r="B252" s="11">
        <v>95</v>
      </c>
      <c r="C252" s="6" t="s">
        <v>18</v>
      </c>
      <c r="D252" s="21" t="s">
        <v>40</v>
      </c>
      <c r="E252" s="96" t="s">
        <v>466</v>
      </c>
      <c r="F252" s="135">
        <v>86</v>
      </c>
      <c r="G252" s="12" t="s">
        <v>0</v>
      </c>
      <c r="H252" s="36">
        <v>818</v>
      </c>
      <c r="I252" s="274">
        <v>1112.48</v>
      </c>
      <c r="J252" s="36">
        <f t="shared" si="59"/>
        <v>0</v>
      </c>
      <c r="K252" s="225">
        <v>1.36</v>
      </c>
      <c r="L252" s="154">
        <f>K252*J549</f>
        <v>0</v>
      </c>
      <c r="M252" s="171" t="s">
        <v>474</v>
      </c>
      <c r="N252" s="109"/>
      <c r="O252" s="36">
        <f>1018-200</f>
        <v>818</v>
      </c>
      <c r="P252" s="225">
        <f t="shared" si="72"/>
        <v>1112.48</v>
      </c>
      <c r="Q252" s="48" t="str">
        <f t="shared" ref="Q252:Q315" si="75">E252</f>
        <v>Д8х4 ЭПГ111.011</v>
      </c>
      <c r="R252" s="223">
        <f t="shared" si="74"/>
        <v>2.3199999999999998</v>
      </c>
      <c r="S252" s="235">
        <v>1.93</v>
      </c>
      <c r="T252" s="268">
        <f t="shared" si="68"/>
        <v>0</v>
      </c>
      <c r="U252" s="66">
        <v>76244</v>
      </c>
      <c r="V252" s="18">
        <f t="shared" si="69"/>
        <v>0</v>
      </c>
      <c r="W252" s="49">
        <f t="shared" si="73"/>
        <v>0</v>
      </c>
      <c r="X252" s="18">
        <v>76244</v>
      </c>
    </row>
    <row r="253" spans="2:24" ht="26.25" hidden="1" customHeight="1" x14ac:dyDescent="0.25">
      <c r="B253" s="11"/>
      <c r="C253" s="6" t="s">
        <v>18</v>
      </c>
      <c r="D253" s="21" t="s">
        <v>40</v>
      </c>
      <c r="E253" s="96" t="s">
        <v>561</v>
      </c>
      <c r="F253" s="135">
        <v>1275</v>
      </c>
      <c r="G253" s="45" t="s">
        <v>0</v>
      </c>
      <c r="H253" s="36"/>
      <c r="I253" s="274"/>
      <c r="J253" s="36">
        <f t="shared" si="59"/>
        <v>0</v>
      </c>
      <c r="K253" s="225">
        <f>R253/1.4</f>
        <v>3.44</v>
      </c>
      <c r="L253" s="154"/>
      <c r="M253" s="124" t="s">
        <v>647</v>
      </c>
      <c r="N253" s="38"/>
      <c r="O253" s="353"/>
      <c r="P253" s="225"/>
      <c r="Q253" s="48" t="str">
        <f t="shared" si="75"/>
        <v>Д8х4 ЭПГ111.011МЗКТ</v>
      </c>
      <c r="R253" s="223">
        <f t="shared" si="74"/>
        <v>4.8099999999999996</v>
      </c>
      <c r="S253" s="235">
        <v>4.01</v>
      </c>
      <c r="T253" s="268">
        <f t="shared" si="68"/>
        <v>0</v>
      </c>
      <c r="U253" s="18"/>
      <c r="V253" s="18">
        <f t="shared" si="69"/>
        <v>0</v>
      </c>
      <c r="W253" s="49"/>
      <c r="X253" s="18"/>
    </row>
    <row r="254" spans="2:24" ht="26.25" hidden="1" customHeight="1" x14ac:dyDescent="0.25">
      <c r="B254" s="11"/>
      <c r="C254" s="6" t="s">
        <v>18</v>
      </c>
      <c r="D254" s="21" t="s">
        <v>40</v>
      </c>
      <c r="E254" s="1" t="s">
        <v>431</v>
      </c>
      <c r="F254" s="135">
        <v>1435</v>
      </c>
      <c r="G254" s="12" t="s">
        <v>0</v>
      </c>
      <c r="H254" s="36"/>
      <c r="I254" s="274">
        <v>0</v>
      </c>
      <c r="J254" s="36">
        <f t="shared" si="59"/>
        <v>0</v>
      </c>
      <c r="K254" s="225">
        <f>R254/1.4</f>
        <v>1.8</v>
      </c>
      <c r="L254" s="154"/>
      <c r="M254" s="146" t="s">
        <v>737</v>
      </c>
      <c r="N254" s="109"/>
      <c r="O254" s="36"/>
      <c r="P254" s="225">
        <f>K254*O254</f>
        <v>0</v>
      </c>
      <c r="Q254" s="48" t="str">
        <f t="shared" si="75"/>
        <v>Д8х10</v>
      </c>
      <c r="R254" s="288">
        <f t="shared" si="74"/>
        <v>2.52</v>
      </c>
      <c r="S254" s="235">
        <v>2.1</v>
      </c>
      <c r="T254" s="268">
        <f t="shared" si="68"/>
        <v>0</v>
      </c>
      <c r="U254" s="18"/>
      <c r="V254" s="18">
        <f t="shared" si="69"/>
        <v>0</v>
      </c>
      <c r="W254" s="49">
        <f t="shared" ref="W254:W270" si="76">X254-U254+V254</f>
        <v>0</v>
      </c>
      <c r="X254" s="18"/>
    </row>
    <row r="255" spans="2:24" ht="26.25" hidden="1" customHeight="1" x14ac:dyDescent="0.25">
      <c r="B255" s="11"/>
      <c r="C255" s="6" t="s">
        <v>18</v>
      </c>
      <c r="D255" s="21" t="s">
        <v>40</v>
      </c>
      <c r="E255" s="96" t="s">
        <v>301</v>
      </c>
      <c r="F255" s="135"/>
      <c r="G255" s="45"/>
      <c r="H255" s="36"/>
      <c r="I255" s="225">
        <v>0</v>
      </c>
      <c r="J255" s="36">
        <f t="shared" si="59"/>
        <v>0</v>
      </c>
      <c r="K255" s="225"/>
      <c r="L255" s="154"/>
      <c r="M255" s="58"/>
      <c r="N255" s="109"/>
      <c r="O255" s="36"/>
      <c r="P255" s="344">
        <f>K255*O255</f>
        <v>0</v>
      </c>
      <c r="Q255" s="183" t="str">
        <f t="shared" si="75"/>
        <v>Д7,9х10 с цн.пок.</v>
      </c>
      <c r="R255" s="288">
        <f t="shared" si="74"/>
        <v>0</v>
      </c>
      <c r="S255" s="235">
        <v>0</v>
      </c>
      <c r="T255" s="268">
        <f t="shared" si="68"/>
        <v>0</v>
      </c>
      <c r="U255" s="66">
        <f>770+180</f>
        <v>950</v>
      </c>
      <c r="V255" s="18">
        <f t="shared" si="69"/>
        <v>0</v>
      </c>
      <c r="W255" s="49">
        <f t="shared" si="76"/>
        <v>0</v>
      </c>
      <c r="X255" s="18">
        <f>770+180</f>
        <v>950</v>
      </c>
    </row>
    <row r="256" spans="2:24" s="19" customFormat="1" ht="26.25" customHeight="1" x14ac:dyDescent="0.25">
      <c r="B256" s="11">
        <v>96</v>
      </c>
      <c r="C256" s="6" t="s">
        <v>18</v>
      </c>
      <c r="D256" s="21" t="s">
        <v>40</v>
      </c>
      <c r="E256" s="96" t="s">
        <v>415</v>
      </c>
      <c r="F256" s="135" t="s">
        <v>70</v>
      </c>
      <c r="G256" s="12" t="s">
        <v>0</v>
      </c>
      <c r="H256" s="37"/>
      <c r="I256" s="225">
        <v>0</v>
      </c>
      <c r="J256" s="36">
        <f t="shared" si="59"/>
        <v>1200</v>
      </c>
      <c r="K256" s="225">
        <f>R256/1.4</f>
        <v>0.51</v>
      </c>
      <c r="L256" s="154">
        <f>K256*J553</f>
        <v>0</v>
      </c>
      <c r="M256" s="198" t="s">
        <v>738</v>
      </c>
      <c r="N256" s="109">
        <v>1200</v>
      </c>
      <c r="O256" s="37"/>
      <c r="P256" s="225">
        <f>K256*O256</f>
        <v>0</v>
      </c>
      <c r="Q256" s="159" t="str">
        <f t="shared" si="75"/>
        <v>Д7,9х10</v>
      </c>
      <c r="R256" s="288">
        <f t="shared" si="74"/>
        <v>0.71</v>
      </c>
      <c r="S256" s="235">
        <v>0.59</v>
      </c>
      <c r="T256" s="268">
        <f t="shared" si="68"/>
        <v>708</v>
      </c>
      <c r="U256" s="66"/>
      <c r="V256" s="18">
        <f t="shared" si="69"/>
        <v>1200</v>
      </c>
      <c r="W256" s="49">
        <f t="shared" si="76"/>
        <v>1200</v>
      </c>
      <c r="X256" s="18"/>
    </row>
    <row r="257" spans="2:24" ht="26.25" hidden="1" customHeight="1" x14ac:dyDescent="0.25">
      <c r="B257" s="15"/>
      <c r="C257" s="6" t="s">
        <v>18</v>
      </c>
      <c r="D257" s="21" t="s">
        <v>40</v>
      </c>
      <c r="E257" s="98" t="s">
        <v>309</v>
      </c>
      <c r="F257" s="298" t="s">
        <v>375</v>
      </c>
      <c r="G257" s="45" t="s">
        <v>0</v>
      </c>
      <c r="H257" s="36"/>
      <c r="I257" s="225">
        <v>0</v>
      </c>
      <c r="J257" s="36">
        <f t="shared" si="59"/>
        <v>0</v>
      </c>
      <c r="K257" s="225">
        <f>R257/1.4</f>
        <v>3.09</v>
      </c>
      <c r="L257" s="154">
        <f>K257*J554</f>
        <v>0</v>
      </c>
      <c r="M257" s="140" t="s">
        <v>378</v>
      </c>
      <c r="N257" s="109"/>
      <c r="O257" s="36"/>
      <c r="P257" s="225">
        <f>K257*O257</f>
        <v>0</v>
      </c>
      <c r="Q257" s="159" t="str">
        <f t="shared" si="75"/>
        <v>С8,2х24 ЭПГ110.001</v>
      </c>
      <c r="R257" s="288">
        <f t="shared" si="74"/>
        <v>4.32</v>
      </c>
      <c r="S257" s="242">
        <v>3.6</v>
      </c>
      <c r="T257" s="268">
        <f t="shared" si="68"/>
        <v>0</v>
      </c>
      <c r="U257" s="320">
        <f>4615+4800</f>
        <v>9415</v>
      </c>
      <c r="V257" s="18">
        <f t="shared" si="69"/>
        <v>0</v>
      </c>
      <c r="W257" s="49">
        <f t="shared" si="76"/>
        <v>0</v>
      </c>
      <c r="X257" s="16">
        <f>4615+4800</f>
        <v>9415</v>
      </c>
    </row>
    <row r="258" spans="2:24" ht="26.25" hidden="1" customHeight="1" x14ac:dyDescent="0.25">
      <c r="B258" s="15"/>
      <c r="C258" s="6" t="s">
        <v>18</v>
      </c>
      <c r="D258" s="21" t="s">
        <v>40</v>
      </c>
      <c r="E258" s="98" t="s">
        <v>376</v>
      </c>
      <c r="F258" s="296" t="s">
        <v>58</v>
      </c>
      <c r="G258" s="13" t="s">
        <v>0</v>
      </c>
      <c r="H258" s="36"/>
      <c r="I258" s="225">
        <v>0</v>
      </c>
      <c r="J258" s="36">
        <f t="shared" si="59"/>
        <v>0</v>
      </c>
      <c r="K258" s="225">
        <f>R258/1.4</f>
        <v>3.09</v>
      </c>
      <c r="L258" s="154">
        <f>K258*J555</f>
        <v>0</v>
      </c>
      <c r="M258" s="114" t="s">
        <v>320</v>
      </c>
      <c r="N258" s="109"/>
      <c r="O258" s="36"/>
      <c r="P258" s="225">
        <f>K258*O258</f>
        <v>0</v>
      </c>
      <c r="Q258" s="184" t="str">
        <f t="shared" si="75"/>
        <v>Д8х24</v>
      </c>
      <c r="R258" s="288">
        <f t="shared" si="74"/>
        <v>4.32</v>
      </c>
      <c r="S258" s="235">
        <v>3.6</v>
      </c>
      <c r="T258" s="268">
        <f t="shared" si="68"/>
        <v>0</v>
      </c>
      <c r="U258" s="320">
        <v>735</v>
      </c>
      <c r="V258" s="18">
        <f t="shared" si="69"/>
        <v>0</v>
      </c>
      <c r="W258" s="49">
        <f t="shared" si="76"/>
        <v>0</v>
      </c>
      <c r="X258" s="16">
        <v>735</v>
      </c>
    </row>
    <row r="259" spans="2:24" ht="26.25" customHeight="1" x14ac:dyDescent="0.25">
      <c r="B259" s="11">
        <v>97</v>
      </c>
      <c r="C259" s="6" t="s">
        <v>18</v>
      </c>
      <c r="D259" s="21" t="s">
        <v>40</v>
      </c>
      <c r="E259" s="98" t="s">
        <v>280</v>
      </c>
      <c r="F259" s="294" t="s">
        <v>372</v>
      </c>
      <c r="G259" s="12" t="s">
        <v>0</v>
      </c>
      <c r="H259" s="36">
        <v>1440</v>
      </c>
      <c r="I259" s="274">
        <v>246.82</v>
      </c>
      <c r="J259" s="36">
        <f t="shared" si="59"/>
        <v>0</v>
      </c>
      <c r="K259" s="225">
        <v>0.17</v>
      </c>
      <c r="L259" s="154"/>
      <c r="M259" s="284" t="s">
        <v>453</v>
      </c>
      <c r="N259" s="110"/>
      <c r="O259" s="36">
        <v>1440</v>
      </c>
      <c r="P259" s="225">
        <f>I259</f>
        <v>246.82</v>
      </c>
      <c r="Q259" s="48" t="str">
        <f t="shared" si="75"/>
        <v>Д8х2</v>
      </c>
      <c r="R259" s="288">
        <f t="shared" si="74"/>
        <v>0.24</v>
      </c>
      <c r="S259" s="235">
        <v>0.2</v>
      </c>
      <c r="T259" s="268">
        <f t="shared" si="68"/>
        <v>0</v>
      </c>
      <c r="U259" s="66">
        <v>6</v>
      </c>
      <c r="V259" s="18">
        <f t="shared" si="69"/>
        <v>0</v>
      </c>
      <c r="W259" s="49">
        <f t="shared" si="76"/>
        <v>0</v>
      </c>
      <c r="X259" s="18">
        <v>6</v>
      </c>
    </row>
    <row r="260" spans="2:24" ht="26.25" hidden="1" customHeight="1" x14ac:dyDescent="0.25">
      <c r="B260" s="17"/>
      <c r="C260" s="6" t="s">
        <v>18</v>
      </c>
      <c r="D260" s="21" t="s">
        <v>40</v>
      </c>
      <c r="E260" s="98" t="s">
        <v>352</v>
      </c>
      <c r="F260" s="296"/>
      <c r="G260" s="45"/>
      <c r="H260" s="36"/>
      <c r="I260" s="225">
        <v>0</v>
      </c>
      <c r="J260" s="36">
        <f t="shared" si="59"/>
        <v>0</v>
      </c>
      <c r="K260" s="225">
        <f t="shared" ref="K260:K274" si="77">R260/1.4</f>
        <v>0</v>
      </c>
      <c r="L260" s="154"/>
      <c r="M260" s="68"/>
      <c r="N260" s="110"/>
      <c r="O260" s="36"/>
      <c r="P260" s="344">
        <f>K260*O260</f>
        <v>0</v>
      </c>
      <c r="Q260" s="183" t="str">
        <f t="shared" si="75"/>
        <v>Д8х2,5</v>
      </c>
      <c r="R260" s="288">
        <f t="shared" si="74"/>
        <v>0</v>
      </c>
      <c r="S260" s="235">
        <v>0</v>
      </c>
      <c r="T260" s="268">
        <f t="shared" si="68"/>
        <v>0</v>
      </c>
      <c r="U260" s="66">
        <v>5</v>
      </c>
      <c r="V260" s="18">
        <f t="shared" si="69"/>
        <v>0</v>
      </c>
      <c r="W260" s="49">
        <f t="shared" si="76"/>
        <v>0</v>
      </c>
      <c r="X260" s="325">
        <v>5</v>
      </c>
    </row>
    <row r="261" spans="2:24" ht="26.25" hidden="1" customHeight="1" x14ac:dyDescent="0.25">
      <c r="B261" s="17"/>
      <c r="C261" s="6" t="s">
        <v>18</v>
      </c>
      <c r="D261" s="21" t="s">
        <v>40</v>
      </c>
      <c r="E261" s="98" t="s">
        <v>281</v>
      </c>
      <c r="F261" s="296" t="s">
        <v>344</v>
      </c>
      <c r="G261" s="45"/>
      <c r="H261" s="36"/>
      <c r="I261" s="225">
        <v>0</v>
      </c>
      <c r="J261" s="36">
        <f t="shared" si="59"/>
        <v>0</v>
      </c>
      <c r="K261" s="225">
        <f t="shared" si="77"/>
        <v>1.29</v>
      </c>
      <c r="L261" s="154"/>
      <c r="M261" s="327" t="s">
        <v>435</v>
      </c>
      <c r="N261" s="110"/>
      <c r="O261" s="36"/>
      <c r="P261" s="225">
        <f>K261*O261</f>
        <v>0</v>
      </c>
      <c r="Q261" s="159" t="str">
        <f t="shared" si="75"/>
        <v>Д8х3</v>
      </c>
      <c r="R261" s="288">
        <f t="shared" si="74"/>
        <v>1.8</v>
      </c>
      <c r="S261" s="235">
        <v>1.5</v>
      </c>
      <c r="T261" s="268">
        <f t="shared" si="68"/>
        <v>0</v>
      </c>
      <c r="U261" s="66">
        <v>1655</v>
      </c>
      <c r="V261" s="18">
        <f t="shared" si="69"/>
        <v>0</v>
      </c>
      <c r="W261" s="49">
        <f t="shared" si="76"/>
        <v>0</v>
      </c>
      <c r="X261" s="325">
        <v>1655</v>
      </c>
    </row>
    <row r="262" spans="2:24" ht="26.25" hidden="1" customHeight="1" x14ac:dyDescent="0.25">
      <c r="B262" s="17"/>
      <c r="C262" s="6" t="s">
        <v>18</v>
      </c>
      <c r="D262" s="21" t="s">
        <v>40</v>
      </c>
      <c r="E262" s="98" t="s">
        <v>299</v>
      </c>
      <c r="F262" s="296"/>
      <c r="G262" s="45"/>
      <c r="H262" s="36"/>
      <c r="I262" s="225">
        <v>0</v>
      </c>
      <c r="J262" s="36">
        <f t="shared" si="59"/>
        <v>0</v>
      </c>
      <c r="K262" s="225">
        <f t="shared" si="77"/>
        <v>0</v>
      </c>
      <c r="L262" s="154"/>
      <c r="M262" s="68"/>
      <c r="N262" s="110"/>
      <c r="O262" s="36"/>
      <c r="P262" s="225">
        <f>K262*O262</f>
        <v>0</v>
      </c>
      <c r="Q262" s="159" t="str">
        <f t="shared" si="75"/>
        <v>Д8,2х3</v>
      </c>
      <c r="R262" s="288">
        <f t="shared" si="74"/>
        <v>0</v>
      </c>
      <c r="S262" s="255">
        <v>0</v>
      </c>
      <c r="T262" s="268">
        <f t="shared" si="68"/>
        <v>0</v>
      </c>
      <c r="U262" s="66">
        <v>1659</v>
      </c>
      <c r="V262" s="18">
        <f t="shared" si="69"/>
        <v>0</v>
      </c>
      <c r="W262" s="49">
        <f t="shared" si="76"/>
        <v>0</v>
      </c>
      <c r="X262" s="18">
        <v>1659</v>
      </c>
    </row>
    <row r="263" spans="2:24" ht="26.25" hidden="1" customHeight="1" x14ac:dyDescent="0.25">
      <c r="B263" s="17"/>
      <c r="C263" s="6" t="s">
        <v>18</v>
      </c>
      <c r="D263" s="21" t="s">
        <v>40</v>
      </c>
      <c r="E263" s="98" t="s">
        <v>685</v>
      </c>
      <c r="F263" s="296" t="s">
        <v>690</v>
      </c>
      <c r="G263" s="45"/>
      <c r="H263" s="36"/>
      <c r="I263" s="225">
        <v>0</v>
      </c>
      <c r="J263" s="36">
        <f t="shared" si="59"/>
        <v>0</v>
      </c>
      <c r="K263" s="225">
        <f t="shared" si="77"/>
        <v>14.14</v>
      </c>
      <c r="L263" s="154"/>
      <c r="M263" s="125" t="s">
        <v>697</v>
      </c>
      <c r="N263" s="110"/>
      <c r="O263" s="36"/>
      <c r="P263" s="225">
        <f>K263*O263</f>
        <v>0</v>
      </c>
      <c r="Q263" s="48" t="str">
        <f t="shared" si="75"/>
        <v>Д8,5х2,5 Магнитопласт</v>
      </c>
      <c r="R263" s="288">
        <f t="shared" si="74"/>
        <v>19.8</v>
      </c>
      <c r="S263" s="255">
        <v>16.5</v>
      </c>
      <c r="T263" s="268">
        <f t="shared" si="68"/>
        <v>0</v>
      </c>
      <c r="U263" s="18"/>
      <c r="V263" s="18">
        <f t="shared" si="69"/>
        <v>0</v>
      </c>
      <c r="W263" s="49">
        <f t="shared" si="76"/>
        <v>0</v>
      </c>
      <c r="X263" s="18"/>
    </row>
    <row r="264" spans="2:24" ht="26.25" customHeight="1" x14ac:dyDescent="0.25">
      <c r="B264" s="11">
        <v>98</v>
      </c>
      <c r="C264" s="6" t="s">
        <v>18</v>
      </c>
      <c r="D264" s="21" t="s">
        <v>40</v>
      </c>
      <c r="E264" s="99" t="s">
        <v>181</v>
      </c>
      <c r="F264" s="135" t="s">
        <v>180</v>
      </c>
      <c r="G264" s="12" t="s">
        <v>0</v>
      </c>
      <c r="H264" s="36">
        <v>348</v>
      </c>
      <c r="I264" s="274">
        <v>44.75</v>
      </c>
      <c r="J264" s="36">
        <f t="shared" si="59"/>
        <v>0</v>
      </c>
      <c r="K264" s="225">
        <f t="shared" si="77"/>
        <v>0.13</v>
      </c>
      <c r="L264" s="154">
        <f>K264*J561</f>
        <v>0</v>
      </c>
      <c r="M264" s="281"/>
      <c r="N264" s="109"/>
      <c r="O264" s="36">
        <v>348</v>
      </c>
      <c r="P264" s="225">
        <f>I264</f>
        <v>44.75</v>
      </c>
      <c r="Q264" s="48" t="str">
        <f t="shared" si="75"/>
        <v xml:space="preserve">Д9х3 </v>
      </c>
      <c r="R264" s="288">
        <f t="shared" si="74"/>
        <v>0.18</v>
      </c>
      <c r="S264" s="235">
        <v>0.15</v>
      </c>
      <c r="T264" s="268">
        <f t="shared" si="68"/>
        <v>0</v>
      </c>
      <c r="U264" s="66">
        <f>3398-52</f>
        <v>3346</v>
      </c>
      <c r="V264" s="18">
        <f t="shared" si="69"/>
        <v>0</v>
      </c>
      <c r="W264" s="49">
        <f t="shared" si="76"/>
        <v>0</v>
      </c>
      <c r="X264" s="18">
        <f>3398-52</f>
        <v>3346</v>
      </c>
    </row>
    <row r="265" spans="2:24" ht="26.25" customHeight="1" x14ac:dyDescent="0.25">
      <c r="B265" s="11">
        <v>99</v>
      </c>
      <c r="C265" s="6" t="s">
        <v>18</v>
      </c>
      <c r="D265" s="21" t="s">
        <v>40</v>
      </c>
      <c r="E265" s="99" t="s">
        <v>604</v>
      </c>
      <c r="F265" s="135">
        <v>1446</v>
      </c>
      <c r="G265" s="45"/>
      <c r="H265" s="36"/>
      <c r="I265" s="225">
        <v>0</v>
      </c>
      <c r="J265" s="36">
        <f t="shared" si="59"/>
        <v>100</v>
      </c>
      <c r="K265" s="225">
        <f t="shared" si="77"/>
        <v>1.71</v>
      </c>
      <c r="L265" s="154"/>
      <c r="M265" s="171" t="s">
        <v>620</v>
      </c>
      <c r="N265" s="109">
        <v>100</v>
      </c>
      <c r="O265" s="36"/>
      <c r="P265" s="225">
        <f t="shared" ref="P265:P273" si="78">K265*O265</f>
        <v>0</v>
      </c>
      <c r="Q265" s="183" t="str">
        <f t="shared" si="75"/>
        <v>Д9х7</v>
      </c>
      <c r="R265" s="288">
        <f t="shared" si="74"/>
        <v>2.4</v>
      </c>
      <c r="S265" s="238">
        <v>2</v>
      </c>
      <c r="T265" s="268">
        <f t="shared" si="68"/>
        <v>200</v>
      </c>
      <c r="U265" s="66">
        <v>30</v>
      </c>
      <c r="V265" s="18">
        <f t="shared" si="69"/>
        <v>100</v>
      </c>
      <c r="W265" s="49">
        <f t="shared" si="76"/>
        <v>100</v>
      </c>
      <c r="X265" s="18">
        <v>30</v>
      </c>
    </row>
    <row r="266" spans="2:24" ht="26.25" hidden="1" customHeight="1" x14ac:dyDescent="0.25">
      <c r="B266" s="17"/>
      <c r="C266" s="6" t="s">
        <v>18</v>
      </c>
      <c r="D266" s="21" t="s">
        <v>40</v>
      </c>
      <c r="E266" s="83" t="s">
        <v>227</v>
      </c>
      <c r="F266" s="304" t="s">
        <v>253</v>
      </c>
      <c r="G266" s="45" t="s">
        <v>0</v>
      </c>
      <c r="H266" s="36"/>
      <c r="I266" s="225">
        <v>0</v>
      </c>
      <c r="J266" s="36">
        <f t="shared" si="59"/>
        <v>0</v>
      </c>
      <c r="K266" s="225">
        <f t="shared" si="77"/>
        <v>2.44</v>
      </c>
      <c r="L266" s="154">
        <f>K266*J563</f>
        <v>0</v>
      </c>
      <c r="M266" s="68" t="s">
        <v>256</v>
      </c>
      <c r="N266" s="110"/>
      <c r="O266" s="361"/>
      <c r="P266" s="350">
        <f t="shared" si="78"/>
        <v>0</v>
      </c>
      <c r="Q266" s="184" t="str">
        <f t="shared" si="75"/>
        <v>Д10х0,5</v>
      </c>
      <c r="R266" s="288">
        <f t="shared" si="74"/>
        <v>3.42</v>
      </c>
      <c r="S266" s="238">
        <v>2.85</v>
      </c>
      <c r="T266" s="268">
        <f t="shared" si="68"/>
        <v>0</v>
      </c>
      <c r="U266" s="116">
        <v>1800</v>
      </c>
      <c r="V266" s="18">
        <f t="shared" si="69"/>
        <v>0</v>
      </c>
      <c r="W266" s="49">
        <f t="shared" si="76"/>
        <v>0</v>
      </c>
      <c r="X266" s="18">
        <v>1800</v>
      </c>
    </row>
    <row r="267" spans="2:24" ht="26.25" hidden="1" customHeight="1" x14ac:dyDescent="0.25">
      <c r="B267" s="17"/>
      <c r="C267" s="6" t="s">
        <v>18</v>
      </c>
      <c r="D267" s="21" t="s">
        <v>40</v>
      </c>
      <c r="E267" s="83" t="s">
        <v>228</v>
      </c>
      <c r="F267" s="296" t="s">
        <v>449</v>
      </c>
      <c r="G267" s="45" t="s">
        <v>0</v>
      </c>
      <c r="H267" s="36"/>
      <c r="I267" s="274">
        <v>0</v>
      </c>
      <c r="J267" s="36">
        <f t="shared" si="59"/>
        <v>0</v>
      </c>
      <c r="K267" s="225">
        <f t="shared" si="77"/>
        <v>0.16</v>
      </c>
      <c r="L267" s="154">
        <f>K267*J564</f>
        <v>0</v>
      </c>
      <c r="M267" s="214" t="s">
        <v>648</v>
      </c>
      <c r="N267" s="110"/>
      <c r="O267" s="36"/>
      <c r="P267" s="225">
        <f t="shared" si="78"/>
        <v>0</v>
      </c>
      <c r="Q267" s="48" t="str">
        <f t="shared" si="75"/>
        <v>Д10х1</v>
      </c>
      <c r="R267" s="288">
        <f t="shared" si="74"/>
        <v>0.22</v>
      </c>
      <c r="S267" s="235">
        <v>0.18</v>
      </c>
      <c r="T267" s="268">
        <f t="shared" si="68"/>
        <v>0</v>
      </c>
      <c r="U267" s="116">
        <f>2470-210</f>
        <v>2260</v>
      </c>
      <c r="V267" s="18">
        <f t="shared" si="69"/>
        <v>0</v>
      </c>
      <c r="W267" s="49">
        <f t="shared" si="76"/>
        <v>0</v>
      </c>
      <c r="X267" s="18">
        <f>2470-210</f>
        <v>2260</v>
      </c>
    </row>
    <row r="268" spans="2:24" ht="26.25" hidden="1" customHeight="1" x14ac:dyDescent="0.25">
      <c r="B268" s="17"/>
      <c r="C268" s="6" t="s">
        <v>18</v>
      </c>
      <c r="D268" s="21" t="s">
        <v>40</v>
      </c>
      <c r="E268" s="83" t="s">
        <v>279</v>
      </c>
      <c r="F268" s="294" t="s">
        <v>346</v>
      </c>
      <c r="G268" s="12" t="s">
        <v>0</v>
      </c>
      <c r="H268" s="36"/>
      <c r="I268" s="225">
        <v>0</v>
      </c>
      <c r="J268" s="36">
        <f t="shared" si="59"/>
        <v>0</v>
      </c>
      <c r="K268" s="225">
        <f t="shared" si="77"/>
        <v>0.21</v>
      </c>
      <c r="L268" s="154"/>
      <c r="M268" s="283" t="s">
        <v>739</v>
      </c>
      <c r="N268" s="110"/>
      <c r="O268" s="36"/>
      <c r="P268" s="225">
        <f t="shared" si="78"/>
        <v>0</v>
      </c>
      <c r="Q268" s="48" t="str">
        <f t="shared" si="75"/>
        <v>Д10х2</v>
      </c>
      <c r="R268" s="288">
        <f t="shared" si="74"/>
        <v>0.3</v>
      </c>
      <c r="S268" s="235">
        <v>0.25</v>
      </c>
      <c r="T268" s="268">
        <f t="shared" si="68"/>
        <v>0</v>
      </c>
      <c r="U268" s="116">
        <f>2090*4+1570</f>
        <v>9930</v>
      </c>
      <c r="V268" s="18">
        <f t="shared" si="69"/>
        <v>0</v>
      </c>
      <c r="W268" s="49">
        <f t="shared" si="76"/>
        <v>0</v>
      </c>
      <c r="X268" s="18">
        <f>2090*4+1570</f>
        <v>9930</v>
      </c>
    </row>
    <row r="269" spans="2:24" ht="26.25" hidden="1" customHeight="1" x14ac:dyDescent="0.25">
      <c r="B269" s="14"/>
      <c r="C269" s="6" t="s">
        <v>18</v>
      </c>
      <c r="D269" s="21" t="s">
        <v>40</v>
      </c>
      <c r="E269" s="98" t="s">
        <v>150</v>
      </c>
      <c r="F269" s="367">
        <v>606</v>
      </c>
      <c r="G269" s="45" t="s">
        <v>0</v>
      </c>
      <c r="H269" s="36"/>
      <c r="I269" s="274">
        <v>0</v>
      </c>
      <c r="J269" s="36">
        <f t="shared" si="59"/>
        <v>0</v>
      </c>
      <c r="K269" s="225">
        <f t="shared" si="77"/>
        <v>1.8</v>
      </c>
      <c r="L269" s="154">
        <f>K269*J566</f>
        <v>0</v>
      </c>
      <c r="M269" s="146" t="s">
        <v>740</v>
      </c>
      <c r="N269" s="109"/>
      <c r="O269" s="36"/>
      <c r="P269" s="225">
        <f t="shared" si="78"/>
        <v>0</v>
      </c>
      <c r="Q269" s="48" t="str">
        <f t="shared" si="75"/>
        <v>Д10х3</v>
      </c>
      <c r="R269" s="223">
        <f t="shared" si="74"/>
        <v>2.52</v>
      </c>
      <c r="S269" s="255">
        <v>2.1</v>
      </c>
      <c r="T269" s="268">
        <f t="shared" ref="T269:T300" si="79">S269*J269</f>
        <v>0</v>
      </c>
      <c r="U269" s="66">
        <f>5864-10-240-100-100</f>
        <v>5414</v>
      </c>
      <c r="V269" s="18">
        <f t="shared" si="69"/>
        <v>0</v>
      </c>
      <c r="W269" s="49">
        <f t="shared" si="76"/>
        <v>0</v>
      </c>
      <c r="X269" s="18">
        <f>5864-10-240-100-100</f>
        <v>5414</v>
      </c>
    </row>
    <row r="270" spans="2:24" ht="26.25" hidden="1" customHeight="1" x14ac:dyDescent="0.25">
      <c r="B270" s="14"/>
      <c r="C270" s="6" t="s">
        <v>18</v>
      </c>
      <c r="D270" s="21" t="s">
        <v>40</v>
      </c>
      <c r="E270" s="98" t="s">
        <v>457</v>
      </c>
      <c r="F270" s="297">
        <v>1181</v>
      </c>
      <c r="G270" s="45"/>
      <c r="H270" s="36"/>
      <c r="I270" s="225">
        <v>0</v>
      </c>
      <c r="J270" s="36">
        <f t="shared" si="59"/>
        <v>0</v>
      </c>
      <c r="K270" s="225">
        <f t="shared" si="77"/>
        <v>4.29</v>
      </c>
      <c r="L270" s="154"/>
      <c r="M270" s="171" t="s">
        <v>535</v>
      </c>
      <c r="N270" s="109"/>
      <c r="O270" s="343"/>
      <c r="P270" s="344">
        <f t="shared" si="78"/>
        <v>0</v>
      </c>
      <c r="Q270" s="322" t="str">
        <f t="shared" si="75"/>
        <v>Д10*12</v>
      </c>
      <c r="R270" s="288">
        <f t="shared" si="74"/>
        <v>6</v>
      </c>
      <c r="S270" s="255">
        <v>5</v>
      </c>
      <c r="T270" s="268">
        <f t="shared" si="79"/>
        <v>0</v>
      </c>
      <c r="U270" s="66">
        <v>22</v>
      </c>
      <c r="V270" s="18">
        <f t="shared" si="69"/>
        <v>0</v>
      </c>
      <c r="W270" s="49">
        <f t="shared" si="76"/>
        <v>0</v>
      </c>
      <c r="X270" s="18">
        <v>22</v>
      </c>
    </row>
    <row r="271" spans="2:24" ht="26.25" hidden="1" customHeight="1" x14ac:dyDescent="0.25">
      <c r="B271" s="14"/>
      <c r="C271" s="6" t="s">
        <v>18</v>
      </c>
      <c r="D271" s="21" t="s">
        <v>40</v>
      </c>
      <c r="E271" s="98" t="s">
        <v>713</v>
      </c>
      <c r="F271" s="297">
        <v>1333</v>
      </c>
      <c r="G271" s="12" t="s">
        <v>0</v>
      </c>
      <c r="H271" s="36"/>
      <c r="I271" s="225">
        <v>0</v>
      </c>
      <c r="J271" s="36"/>
      <c r="K271" s="225">
        <f t="shared" si="77"/>
        <v>5.14</v>
      </c>
      <c r="L271" s="154"/>
      <c r="M271" s="171"/>
      <c r="N271" s="109"/>
      <c r="O271" s="36"/>
      <c r="P271" s="225">
        <f t="shared" si="78"/>
        <v>0</v>
      </c>
      <c r="Q271" s="48" t="str">
        <f t="shared" si="75"/>
        <v>Д10х14,5</v>
      </c>
      <c r="R271" s="288">
        <f t="shared" si="74"/>
        <v>7.2</v>
      </c>
      <c r="S271" s="255">
        <v>6</v>
      </c>
      <c r="T271" s="268">
        <f t="shared" si="79"/>
        <v>0</v>
      </c>
      <c r="U271" s="66">
        <v>10</v>
      </c>
      <c r="V271" s="18"/>
      <c r="W271" s="49"/>
      <c r="X271" s="18">
        <v>10</v>
      </c>
    </row>
    <row r="272" spans="2:24" ht="26.25" hidden="1" customHeight="1" x14ac:dyDescent="0.25">
      <c r="B272" s="14"/>
      <c r="C272" s="6" t="s">
        <v>18</v>
      </c>
      <c r="D272" s="21" t="s">
        <v>40</v>
      </c>
      <c r="E272" s="1" t="s">
        <v>560</v>
      </c>
      <c r="F272" s="297">
        <v>893</v>
      </c>
      <c r="G272" s="45"/>
      <c r="H272" s="36"/>
      <c r="I272" s="225">
        <v>0</v>
      </c>
      <c r="J272" s="36">
        <f t="shared" ref="J272:J296" si="80">N272+O272-H272</f>
        <v>0</v>
      </c>
      <c r="K272" s="225">
        <f t="shared" si="77"/>
        <v>5.4</v>
      </c>
      <c r="L272" s="154">
        <f>K272*J568</f>
        <v>0</v>
      </c>
      <c r="M272" s="95" t="s">
        <v>364</v>
      </c>
      <c r="N272" s="109"/>
      <c r="O272" s="36"/>
      <c r="P272" s="334">
        <f t="shared" si="78"/>
        <v>0</v>
      </c>
      <c r="Q272" s="314" t="str">
        <f t="shared" si="75"/>
        <v>Д11х12</v>
      </c>
      <c r="R272" s="288">
        <f t="shared" si="74"/>
        <v>7.56</v>
      </c>
      <c r="S272" s="235">
        <v>6.3</v>
      </c>
      <c r="T272" s="268">
        <f t="shared" si="79"/>
        <v>0</v>
      </c>
      <c r="U272" s="66">
        <v>11</v>
      </c>
      <c r="V272" s="18">
        <f t="shared" ref="V272:V296" si="81">N272</f>
        <v>0</v>
      </c>
      <c r="W272" s="49">
        <f>X272-U272+V272</f>
        <v>0</v>
      </c>
      <c r="X272" s="18">
        <v>11</v>
      </c>
    </row>
    <row r="273" spans="1:24" ht="26.25" hidden="1" customHeight="1" x14ac:dyDescent="0.25">
      <c r="B273" s="14"/>
      <c r="C273" s="6" t="s">
        <v>18</v>
      </c>
      <c r="D273" s="21" t="s">
        <v>40</v>
      </c>
      <c r="E273" s="83" t="s">
        <v>447</v>
      </c>
      <c r="F273" s="297">
        <v>1126</v>
      </c>
      <c r="G273" s="45"/>
      <c r="H273" s="36"/>
      <c r="I273" s="225">
        <v>0</v>
      </c>
      <c r="J273" s="36">
        <f t="shared" si="80"/>
        <v>0</v>
      </c>
      <c r="K273" s="225">
        <f t="shared" si="77"/>
        <v>42</v>
      </c>
      <c r="L273" s="154">
        <f>K273*J569</f>
        <v>0</v>
      </c>
      <c r="M273" s="142"/>
      <c r="N273" s="109"/>
      <c r="O273" s="36"/>
      <c r="P273" s="225">
        <f t="shared" si="78"/>
        <v>0</v>
      </c>
      <c r="Q273" s="184" t="str">
        <f t="shared" si="75"/>
        <v>Д12х2</v>
      </c>
      <c r="R273" s="288">
        <f t="shared" si="74"/>
        <v>58.8</v>
      </c>
      <c r="S273" s="238">
        <v>49</v>
      </c>
      <c r="T273" s="268">
        <f t="shared" si="79"/>
        <v>0</v>
      </c>
      <c r="U273" s="66">
        <v>100</v>
      </c>
      <c r="V273" s="18">
        <f t="shared" si="81"/>
        <v>0</v>
      </c>
      <c r="W273" s="49">
        <f>X273-U273+V273</f>
        <v>0</v>
      </c>
      <c r="X273" s="325">
        <v>100</v>
      </c>
    </row>
    <row r="274" spans="1:24" ht="26.25" hidden="1" customHeight="1" x14ac:dyDescent="0.25">
      <c r="B274" s="11"/>
      <c r="C274" s="6" t="s">
        <v>18</v>
      </c>
      <c r="D274" s="21" t="s">
        <v>40</v>
      </c>
      <c r="E274" s="96" t="s">
        <v>211</v>
      </c>
      <c r="F274" s="137">
        <v>735</v>
      </c>
      <c r="G274" s="45" t="s">
        <v>0</v>
      </c>
      <c r="H274" s="36"/>
      <c r="I274" s="274"/>
      <c r="J274" s="36">
        <f t="shared" si="80"/>
        <v>0</v>
      </c>
      <c r="K274" s="225">
        <f t="shared" si="77"/>
        <v>2.14</v>
      </c>
      <c r="L274" s="154">
        <f>K274*J570</f>
        <v>0</v>
      </c>
      <c r="M274" s="142" t="s">
        <v>546</v>
      </c>
      <c r="N274" s="109"/>
      <c r="O274" s="36"/>
      <c r="P274" s="274"/>
      <c r="Q274" s="48" t="str">
        <f t="shared" si="75"/>
        <v>Д11х5</v>
      </c>
      <c r="R274" s="288">
        <f t="shared" si="74"/>
        <v>3</v>
      </c>
      <c r="S274" s="235">
        <v>2.5</v>
      </c>
      <c r="T274" s="268">
        <f t="shared" si="79"/>
        <v>0</v>
      </c>
      <c r="U274" s="66">
        <f>532*17+80+40+109+3588</f>
        <v>12861</v>
      </c>
      <c r="V274" s="18">
        <f t="shared" si="81"/>
        <v>0</v>
      </c>
      <c r="W274" s="49">
        <f>X274-U274+V274</f>
        <v>0</v>
      </c>
      <c r="X274" s="18">
        <f>532*17+80+40+109+3588</f>
        <v>12861</v>
      </c>
    </row>
    <row r="275" spans="1:24" ht="26.25" hidden="1" customHeight="1" x14ac:dyDescent="0.25">
      <c r="B275" s="11"/>
      <c r="C275" s="6" t="s">
        <v>18</v>
      </c>
      <c r="D275" s="21" t="s">
        <v>40</v>
      </c>
      <c r="E275" s="83" t="s">
        <v>576</v>
      </c>
      <c r="F275" s="137"/>
      <c r="G275" s="45"/>
      <c r="H275" s="36"/>
      <c r="I275" s="274"/>
      <c r="J275" s="36">
        <f t="shared" si="80"/>
        <v>0</v>
      </c>
      <c r="K275" s="225"/>
      <c r="L275" s="154"/>
      <c r="M275" s="142"/>
      <c r="N275" s="109"/>
      <c r="O275" s="36"/>
      <c r="P275" s="335"/>
      <c r="Q275" s="323" t="str">
        <f t="shared" si="75"/>
        <v>Д11,9х3,3</v>
      </c>
      <c r="R275" s="288"/>
      <c r="S275" s="242"/>
      <c r="T275" s="268">
        <f t="shared" si="79"/>
        <v>0</v>
      </c>
      <c r="U275" s="66">
        <v>6</v>
      </c>
      <c r="V275" s="18">
        <f t="shared" si="81"/>
        <v>0</v>
      </c>
      <c r="W275" s="49"/>
      <c r="X275" s="325">
        <v>6</v>
      </c>
    </row>
    <row r="276" spans="1:24" ht="26.25" hidden="1" customHeight="1" x14ac:dyDescent="0.25">
      <c r="B276" s="17"/>
      <c r="C276" s="6" t="s">
        <v>18</v>
      </c>
      <c r="D276" s="21" t="s">
        <v>40</v>
      </c>
      <c r="E276" s="83" t="s">
        <v>282</v>
      </c>
      <c r="F276" s="296" t="s">
        <v>337</v>
      </c>
      <c r="G276" s="45"/>
      <c r="H276" s="36"/>
      <c r="I276" s="274">
        <v>0</v>
      </c>
      <c r="J276" s="36">
        <f t="shared" si="80"/>
        <v>0</v>
      </c>
      <c r="K276" s="225">
        <f t="shared" ref="K276:K286" si="82">R276/1.4</f>
        <v>2.23</v>
      </c>
      <c r="L276" s="154">
        <f>K276*J572</f>
        <v>0</v>
      </c>
      <c r="M276" s="142" t="s">
        <v>649</v>
      </c>
      <c r="N276" s="110"/>
      <c r="O276" s="36"/>
      <c r="P276" s="225">
        <f>K276*O276</f>
        <v>0</v>
      </c>
      <c r="Q276" s="48" t="str">
        <f t="shared" si="75"/>
        <v>Д12х3</v>
      </c>
      <c r="R276" s="288">
        <f t="shared" ref="R276:R291" si="83">S276*1.2</f>
        <v>3.12</v>
      </c>
      <c r="S276" s="242">
        <v>2.6</v>
      </c>
      <c r="T276" s="268">
        <f t="shared" si="79"/>
        <v>0</v>
      </c>
      <c r="U276" s="66">
        <v>235</v>
      </c>
      <c r="V276" s="18">
        <f t="shared" si="81"/>
        <v>0</v>
      </c>
      <c r="W276" s="49">
        <f t="shared" ref="W276:W292" si="84">X276-U276+V276</f>
        <v>-15</v>
      </c>
      <c r="X276" s="325">
        <v>220</v>
      </c>
    </row>
    <row r="277" spans="1:24" ht="26.25" hidden="1" customHeight="1" x14ac:dyDescent="0.25">
      <c r="B277" s="17"/>
      <c r="C277" s="6" t="s">
        <v>18</v>
      </c>
      <c r="D277" s="21" t="s">
        <v>40</v>
      </c>
      <c r="E277" s="1" t="s">
        <v>446</v>
      </c>
      <c r="F277" s="296" t="s">
        <v>450</v>
      </c>
      <c r="G277" s="45" t="s">
        <v>0</v>
      </c>
      <c r="H277" s="36"/>
      <c r="I277" s="274">
        <v>0</v>
      </c>
      <c r="J277" s="36">
        <f t="shared" si="80"/>
        <v>0</v>
      </c>
      <c r="K277" s="225">
        <f t="shared" si="82"/>
        <v>7.59</v>
      </c>
      <c r="L277" s="154">
        <f>K277*J573</f>
        <v>0</v>
      </c>
      <c r="M277" s="284" t="s">
        <v>454</v>
      </c>
      <c r="N277" s="110"/>
      <c r="O277" s="36"/>
      <c r="P277" s="334">
        <f>K277*O277</f>
        <v>0</v>
      </c>
      <c r="Q277" s="183" t="str">
        <f t="shared" si="75"/>
        <v>д12х4 нжб1200-150</v>
      </c>
      <c r="R277" s="288">
        <f t="shared" si="83"/>
        <v>10.62</v>
      </c>
      <c r="S277" s="238">
        <v>8.85</v>
      </c>
      <c r="T277" s="268">
        <f t="shared" si="79"/>
        <v>0</v>
      </c>
      <c r="U277" s="66">
        <v>4</v>
      </c>
      <c r="V277" s="18">
        <f t="shared" si="81"/>
        <v>0</v>
      </c>
      <c r="W277" s="49">
        <f t="shared" si="84"/>
        <v>0</v>
      </c>
      <c r="X277" s="325">
        <v>4</v>
      </c>
    </row>
    <row r="278" spans="1:24" ht="26.25" hidden="1" customHeight="1" x14ac:dyDescent="0.25">
      <c r="B278" s="17"/>
      <c r="C278" s="6" t="s">
        <v>18</v>
      </c>
      <c r="D278" s="21" t="s">
        <v>40</v>
      </c>
      <c r="E278" s="1" t="s">
        <v>663</v>
      </c>
      <c r="F278" s="296"/>
      <c r="G278" s="45"/>
      <c r="H278" s="36"/>
      <c r="I278" s="274"/>
      <c r="J278" s="36">
        <f t="shared" si="80"/>
        <v>0</v>
      </c>
      <c r="K278" s="225">
        <f t="shared" si="82"/>
        <v>0</v>
      </c>
      <c r="L278" s="154"/>
      <c r="M278" s="284"/>
      <c r="N278" s="110"/>
      <c r="O278" s="36"/>
      <c r="P278" s="274"/>
      <c r="Q278" s="183" t="str">
        <f t="shared" si="75"/>
        <v>Д12х12</v>
      </c>
      <c r="R278" s="288">
        <f t="shared" si="83"/>
        <v>0</v>
      </c>
      <c r="S278" s="238"/>
      <c r="T278" s="268">
        <f t="shared" si="79"/>
        <v>0</v>
      </c>
      <c r="U278" s="66">
        <v>111</v>
      </c>
      <c r="V278" s="18">
        <f t="shared" si="81"/>
        <v>0</v>
      </c>
      <c r="W278" s="49">
        <f t="shared" si="84"/>
        <v>0</v>
      </c>
      <c r="X278" s="325">
        <v>111</v>
      </c>
    </row>
    <row r="279" spans="1:24" ht="26.25" hidden="1" customHeight="1" x14ac:dyDescent="0.25">
      <c r="B279" s="17"/>
      <c r="C279" s="6" t="s">
        <v>18</v>
      </c>
      <c r="D279" s="21" t="s">
        <v>40</v>
      </c>
      <c r="E279" s="1" t="s">
        <v>494</v>
      </c>
      <c r="F279" s="296"/>
      <c r="G279" s="45"/>
      <c r="H279" s="36"/>
      <c r="I279" s="274"/>
      <c r="J279" s="36">
        <f t="shared" si="80"/>
        <v>0</v>
      </c>
      <c r="K279" s="225">
        <f t="shared" si="82"/>
        <v>0</v>
      </c>
      <c r="L279" s="154"/>
      <c r="M279" s="284"/>
      <c r="N279" s="110"/>
      <c r="O279" s="36"/>
      <c r="P279" s="274"/>
      <c r="Q279" s="183" t="str">
        <f t="shared" si="75"/>
        <v>Д12х5</v>
      </c>
      <c r="R279" s="288">
        <f t="shared" si="83"/>
        <v>0</v>
      </c>
      <c r="S279" s="238"/>
      <c r="T279" s="268">
        <f t="shared" si="79"/>
        <v>0</v>
      </c>
      <c r="U279" s="66">
        <v>1</v>
      </c>
      <c r="V279" s="18">
        <f t="shared" si="81"/>
        <v>0</v>
      </c>
      <c r="W279" s="49">
        <f t="shared" si="84"/>
        <v>0</v>
      </c>
      <c r="X279" s="18">
        <v>1</v>
      </c>
    </row>
    <row r="280" spans="1:24" ht="26.25" hidden="1" customHeight="1" x14ac:dyDescent="0.25">
      <c r="B280" s="17"/>
      <c r="C280" s="6" t="s">
        <v>18</v>
      </c>
      <c r="D280" s="21" t="s">
        <v>40</v>
      </c>
      <c r="E280" s="1" t="s">
        <v>495</v>
      </c>
      <c r="F280" s="296"/>
      <c r="G280" s="45"/>
      <c r="H280" s="36"/>
      <c r="I280" s="274"/>
      <c r="J280" s="36">
        <f t="shared" si="80"/>
        <v>0</v>
      </c>
      <c r="K280" s="225">
        <f t="shared" si="82"/>
        <v>0</v>
      </c>
      <c r="L280" s="154"/>
      <c r="M280" s="284"/>
      <c r="N280" s="110"/>
      <c r="O280" s="36"/>
      <c r="P280" s="335"/>
      <c r="Q280" s="185" t="str">
        <f t="shared" si="75"/>
        <v>Д12х25</v>
      </c>
      <c r="R280" s="288">
        <f t="shared" si="83"/>
        <v>0</v>
      </c>
      <c r="S280" s="238"/>
      <c r="T280" s="268">
        <f t="shared" si="79"/>
        <v>0</v>
      </c>
      <c r="U280" s="66">
        <v>10</v>
      </c>
      <c r="V280" s="18">
        <f t="shared" si="81"/>
        <v>0</v>
      </c>
      <c r="W280" s="49">
        <f t="shared" si="84"/>
        <v>0</v>
      </c>
      <c r="X280" s="18">
        <v>10</v>
      </c>
    </row>
    <row r="281" spans="1:24" ht="26.25" hidden="1" customHeight="1" x14ac:dyDescent="0.25">
      <c r="B281" s="17"/>
      <c r="C281" s="6" t="s">
        <v>18</v>
      </c>
      <c r="D281" s="21" t="s">
        <v>40</v>
      </c>
      <c r="E281" s="1" t="s">
        <v>635</v>
      </c>
      <c r="F281" s="296" t="s">
        <v>639</v>
      </c>
      <c r="G281" s="45"/>
      <c r="H281" s="36"/>
      <c r="I281" s="274"/>
      <c r="J281" s="36">
        <f t="shared" si="80"/>
        <v>0</v>
      </c>
      <c r="K281" s="225">
        <f t="shared" si="82"/>
        <v>5.57</v>
      </c>
      <c r="L281" s="154"/>
      <c r="M281" s="142" t="s">
        <v>650</v>
      </c>
      <c r="N281" s="110"/>
      <c r="O281" s="36"/>
      <c r="P281" s="225"/>
      <c r="Q281" s="48" t="str">
        <f t="shared" si="75"/>
        <v>Д13,5х4 б/п</v>
      </c>
      <c r="R281" s="288">
        <f t="shared" si="83"/>
        <v>7.8</v>
      </c>
      <c r="S281" s="238">
        <v>6.5</v>
      </c>
      <c r="T281" s="268">
        <f t="shared" si="79"/>
        <v>0</v>
      </c>
      <c r="U281" s="66">
        <v>8</v>
      </c>
      <c r="V281" s="18">
        <f t="shared" si="81"/>
        <v>0</v>
      </c>
      <c r="W281" s="49">
        <f t="shared" si="84"/>
        <v>0</v>
      </c>
      <c r="X281" s="18">
        <v>8</v>
      </c>
    </row>
    <row r="282" spans="1:24" s="4" customFormat="1" ht="33" hidden="1" customHeight="1" x14ac:dyDescent="0.25">
      <c r="A282" s="10"/>
      <c r="B282" s="17"/>
      <c r="C282" s="6" t="s">
        <v>18</v>
      </c>
      <c r="D282" s="21" t="s">
        <v>40</v>
      </c>
      <c r="E282" s="83" t="s">
        <v>662</v>
      </c>
      <c r="F282" s="296"/>
      <c r="G282" s="45"/>
      <c r="H282" s="36"/>
      <c r="I282" s="225">
        <v>0</v>
      </c>
      <c r="J282" s="36">
        <f t="shared" si="80"/>
        <v>0</v>
      </c>
      <c r="K282" s="225">
        <f t="shared" si="82"/>
        <v>4.84</v>
      </c>
      <c r="L282" s="154"/>
      <c r="M282" s="171" t="s">
        <v>592</v>
      </c>
      <c r="N282" s="110"/>
      <c r="O282" s="353"/>
      <c r="P282" s="344">
        <f>K282*O282</f>
        <v>0</v>
      </c>
      <c r="Q282" s="183" t="str">
        <f t="shared" si="75"/>
        <v>Д14,5х4(Химволокно)</v>
      </c>
      <c r="R282" s="288">
        <f t="shared" si="83"/>
        <v>6.78</v>
      </c>
      <c r="S282" s="235">
        <v>5.65</v>
      </c>
      <c r="T282" s="268">
        <f t="shared" si="79"/>
        <v>0</v>
      </c>
      <c r="U282" s="66">
        <v>42</v>
      </c>
      <c r="V282" s="18">
        <f t="shared" si="81"/>
        <v>0</v>
      </c>
      <c r="W282" s="49">
        <f t="shared" si="84"/>
        <v>0</v>
      </c>
      <c r="X282" s="18">
        <v>42</v>
      </c>
    </row>
    <row r="283" spans="1:24" s="4" customFormat="1" ht="26.25" hidden="1" customHeight="1" x14ac:dyDescent="0.25">
      <c r="A283" s="10"/>
      <c r="B283" s="17"/>
      <c r="C283" s="6" t="s">
        <v>18</v>
      </c>
      <c r="D283" s="21" t="s">
        <v>40</v>
      </c>
      <c r="E283" s="331" t="s">
        <v>341</v>
      </c>
      <c r="F283" s="309">
        <v>945</v>
      </c>
      <c r="G283" s="45"/>
      <c r="H283" s="36"/>
      <c r="I283" s="274">
        <v>0</v>
      </c>
      <c r="J283" s="36">
        <f t="shared" si="80"/>
        <v>0</v>
      </c>
      <c r="K283" s="225">
        <f t="shared" si="82"/>
        <v>4.54</v>
      </c>
      <c r="L283" s="154"/>
      <c r="M283" s="121" t="s">
        <v>741</v>
      </c>
      <c r="N283" s="110"/>
      <c r="O283" s="375"/>
      <c r="P283" s="350">
        <f>K283*O283</f>
        <v>0</v>
      </c>
      <c r="Q283" s="184" t="str">
        <f t="shared" si="75"/>
        <v>Д20х6</v>
      </c>
      <c r="R283" s="223">
        <f t="shared" si="83"/>
        <v>6.36</v>
      </c>
      <c r="S283" s="235">
        <v>5.3</v>
      </c>
      <c r="T283" s="268">
        <f t="shared" si="79"/>
        <v>0</v>
      </c>
      <c r="U283" s="18"/>
      <c r="V283" s="18">
        <f t="shared" si="81"/>
        <v>0</v>
      </c>
      <c r="W283" s="49">
        <f t="shared" si="84"/>
        <v>0</v>
      </c>
      <c r="X283" s="18"/>
    </row>
    <row r="284" spans="1:24" ht="32.25" hidden="1" customHeight="1" x14ac:dyDescent="0.25">
      <c r="B284" s="17"/>
      <c r="C284" s="6" t="s">
        <v>18</v>
      </c>
      <c r="D284" s="21" t="s">
        <v>40</v>
      </c>
      <c r="E284" s="83" t="s">
        <v>746</v>
      </c>
      <c r="F284" s="309"/>
      <c r="G284" s="45"/>
      <c r="H284" s="36"/>
      <c r="I284" s="274"/>
      <c r="J284" s="36">
        <f t="shared" si="80"/>
        <v>0</v>
      </c>
      <c r="K284" s="225">
        <f t="shared" si="82"/>
        <v>8.14</v>
      </c>
      <c r="L284" s="154"/>
      <c r="M284" s="146" t="s">
        <v>593</v>
      </c>
      <c r="N284" s="110"/>
      <c r="O284" s="36"/>
      <c r="P284" s="225"/>
      <c r="Q284" s="48" t="str">
        <f t="shared" si="75"/>
        <v>Д2Ох5</v>
      </c>
      <c r="R284" s="223">
        <f t="shared" si="83"/>
        <v>11.4</v>
      </c>
      <c r="S284" s="242">
        <v>9.5</v>
      </c>
      <c r="T284" s="268">
        <f t="shared" si="79"/>
        <v>0</v>
      </c>
      <c r="U284" s="18"/>
      <c r="V284" s="18">
        <f t="shared" si="81"/>
        <v>0</v>
      </c>
      <c r="W284" s="49">
        <f t="shared" si="84"/>
        <v>256</v>
      </c>
      <c r="X284" s="18">
        <v>256</v>
      </c>
    </row>
    <row r="285" spans="1:24" ht="26.25" hidden="1" customHeight="1" x14ac:dyDescent="0.25">
      <c r="B285" s="15"/>
      <c r="C285" s="6" t="s">
        <v>18</v>
      </c>
      <c r="D285" s="21" t="s">
        <v>40</v>
      </c>
      <c r="E285" s="83" t="s">
        <v>722</v>
      </c>
      <c r="F285" s="297">
        <v>1253</v>
      </c>
      <c r="G285" s="12" t="s">
        <v>0</v>
      </c>
      <c r="H285" s="36">
        <v>0</v>
      </c>
      <c r="I285" s="225">
        <v>0</v>
      </c>
      <c r="J285" s="36">
        <f t="shared" si="80"/>
        <v>0</v>
      </c>
      <c r="K285" s="225">
        <f t="shared" si="82"/>
        <v>2.31</v>
      </c>
      <c r="L285" s="154">
        <f>K285*J581</f>
        <v>0</v>
      </c>
      <c r="M285" s="95" t="s">
        <v>170</v>
      </c>
      <c r="N285" s="109"/>
      <c r="O285" s="343">
        <v>0</v>
      </c>
      <c r="P285" s="344">
        <f t="shared" ref="P285:P291" si="85">K285*O285</f>
        <v>0</v>
      </c>
      <c r="Q285" s="185" t="str">
        <f t="shared" si="75"/>
        <v>Д20х10</v>
      </c>
      <c r="R285" s="288">
        <f t="shared" si="83"/>
        <v>3.23</v>
      </c>
      <c r="S285" s="242">
        <v>2.69</v>
      </c>
      <c r="T285" s="268">
        <f t="shared" si="79"/>
        <v>0</v>
      </c>
      <c r="U285" s="115">
        <v>37</v>
      </c>
      <c r="V285" s="18">
        <f t="shared" si="81"/>
        <v>0</v>
      </c>
      <c r="W285" s="49">
        <f t="shared" si="84"/>
        <v>0</v>
      </c>
      <c r="X285" s="16">
        <v>37</v>
      </c>
    </row>
    <row r="286" spans="1:24" ht="26.25" hidden="1" customHeight="1" x14ac:dyDescent="0.25">
      <c r="B286" s="11"/>
      <c r="C286" s="6" t="s">
        <v>18</v>
      </c>
      <c r="D286" s="21" t="s">
        <v>40</v>
      </c>
      <c r="E286" s="99" t="s">
        <v>514</v>
      </c>
      <c r="F286" s="137">
        <v>1359</v>
      </c>
      <c r="G286" s="14" t="s">
        <v>0</v>
      </c>
      <c r="H286" s="36"/>
      <c r="I286" s="274">
        <v>0</v>
      </c>
      <c r="J286" s="36">
        <f t="shared" si="80"/>
        <v>0</v>
      </c>
      <c r="K286" s="225">
        <f t="shared" si="82"/>
        <v>6.77</v>
      </c>
      <c r="L286" s="154">
        <f>K286*J582</f>
        <v>0</v>
      </c>
      <c r="M286" s="90" t="s">
        <v>529</v>
      </c>
      <c r="N286" s="109"/>
      <c r="O286" s="36"/>
      <c r="P286" s="274">
        <f t="shared" si="85"/>
        <v>0</v>
      </c>
      <c r="Q286" s="48" t="str">
        <f t="shared" si="75"/>
        <v>30М.14.2990.011(Д19,8х6)</v>
      </c>
      <c r="R286" s="288">
        <f t="shared" si="83"/>
        <v>9.48</v>
      </c>
      <c r="S286" s="240">
        <v>7.9</v>
      </c>
      <c r="T286" s="268">
        <f t="shared" si="79"/>
        <v>0</v>
      </c>
      <c r="U286" s="320">
        <v>49</v>
      </c>
      <c r="V286" s="18">
        <f t="shared" si="81"/>
        <v>0</v>
      </c>
      <c r="W286" s="49">
        <f t="shared" si="84"/>
        <v>0</v>
      </c>
      <c r="X286" s="16">
        <v>49</v>
      </c>
    </row>
    <row r="287" spans="1:24" ht="26.25" hidden="1" customHeight="1" x14ac:dyDescent="0.25">
      <c r="B287" s="11"/>
      <c r="C287" s="6" t="s">
        <v>18</v>
      </c>
      <c r="D287" s="21" t="s">
        <v>40</v>
      </c>
      <c r="E287" s="99" t="s">
        <v>306</v>
      </c>
      <c r="F287" s="137"/>
      <c r="G287" s="14"/>
      <c r="H287" s="36"/>
      <c r="I287" s="225">
        <v>0</v>
      </c>
      <c r="J287" s="36">
        <f t="shared" si="80"/>
        <v>0</v>
      </c>
      <c r="K287" s="225"/>
      <c r="L287" s="154"/>
      <c r="M287" s="90"/>
      <c r="N287" s="109"/>
      <c r="O287" s="361"/>
      <c r="P287" s="350">
        <f t="shared" si="85"/>
        <v>0</v>
      </c>
      <c r="Q287" s="185" t="str">
        <f t="shared" si="75"/>
        <v>Д20х3</v>
      </c>
      <c r="R287" s="288">
        <f t="shared" si="83"/>
        <v>0</v>
      </c>
      <c r="S287" s="240">
        <v>0</v>
      </c>
      <c r="T287" s="268">
        <f t="shared" si="79"/>
        <v>0</v>
      </c>
      <c r="U287" s="66">
        <v>10</v>
      </c>
      <c r="V287" s="18">
        <f t="shared" si="81"/>
        <v>0</v>
      </c>
      <c r="W287" s="49">
        <f t="shared" si="84"/>
        <v>0</v>
      </c>
      <c r="X287" s="18">
        <v>10</v>
      </c>
    </row>
    <row r="288" spans="1:24" ht="26.25" hidden="1" customHeight="1" x14ac:dyDescent="0.25">
      <c r="B288" s="11"/>
      <c r="C288" s="6" t="s">
        <v>18</v>
      </c>
      <c r="D288" s="21" t="s">
        <v>40</v>
      </c>
      <c r="E288" s="1" t="s">
        <v>667</v>
      </c>
      <c r="F288" s="137">
        <v>1126</v>
      </c>
      <c r="G288" s="12" t="s">
        <v>0</v>
      </c>
      <c r="H288" s="36"/>
      <c r="I288" s="274">
        <v>0</v>
      </c>
      <c r="J288" s="36">
        <f t="shared" si="80"/>
        <v>0</v>
      </c>
      <c r="K288" s="225">
        <v>4</v>
      </c>
      <c r="L288" s="154"/>
      <c r="M288" s="213"/>
      <c r="N288" s="109"/>
      <c r="O288" s="36"/>
      <c r="P288" s="225">
        <f t="shared" si="85"/>
        <v>0</v>
      </c>
      <c r="Q288" s="48" t="str">
        <f t="shared" si="75"/>
        <v>0861-8569.05 (Д20х25 с резьбой)</v>
      </c>
      <c r="R288" s="288">
        <f t="shared" si="83"/>
        <v>71.760000000000005</v>
      </c>
      <c r="S288" s="247">
        <v>59.8</v>
      </c>
      <c r="T288" s="268">
        <f t="shared" si="79"/>
        <v>0</v>
      </c>
      <c r="U288" s="116"/>
      <c r="V288" s="18">
        <f t="shared" si="81"/>
        <v>0</v>
      </c>
      <c r="W288" s="49">
        <f t="shared" si="84"/>
        <v>0</v>
      </c>
      <c r="X288" s="18"/>
    </row>
    <row r="289" spans="2:24" ht="31.5" hidden="1" customHeight="1" x14ac:dyDescent="0.25">
      <c r="B289" s="11"/>
      <c r="C289" s="6" t="s">
        <v>18</v>
      </c>
      <c r="D289" s="21" t="s">
        <v>40</v>
      </c>
      <c r="E289" s="99" t="s">
        <v>517</v>
      </c>
      <c r="F289" s="137"/>
      <c r="G289" s="13"/>
      <c r="H289" s="36"/>
      <c r="I289" s="225">
        <v>0</v>
      </c>
      <c r="J289" s="36">
        <f t="shared" si="80"/>
        <v>0</v>
      </c>
      <c r="K289" s="225">
        <f>R289/1.4</f>
        <v>4.16</v>
      </c>
      <c r="L289" s="154"/>
      <c r="M289" s="90"/>
      <c r="N289" s="109"/>
      <c r="O289" s="343"/>
      <c r="P289" s="344">
        <f t="shared" si="85"/>
        <v>0</v>
      </c>
      <c r="Q289" s="183" t="str">
        <f t="shared" si="75"/>
        <v>Д22х25((сост.из 3 штук)</v>
      </c>
      <c r="R289" s="288">
        <f t="shared" si="83"/>
        <v>5.82</v>
      </c>
      <c r="S289" s="239">
        <v>4.8499999999999996</v>
      </c>
      <c r="T289" s="268">
        <f t="shared" si="79"/>
        <v>0</v>
      </c>
      <c r="U289" s="66">
        <v>12</v>
      </c>
      <c r="V289" s="18">
        <f t="shared" si="81"/>
        <v>0</v>
      </c>
      <c r="W289" s="49">
        <f t="shared" si="84"/>
        <v>0</v>
      </c>
      <c r="X289" s="18">
        <v>12</v>
      </c>
    </row>
    <row r="290" spans="2:24" ht="34.5" hidden="1" customHeight="1" x14ac:dyDescent="0.25">
      <c r="B290" s="11"/>
      <c r="C290" s="6" t="s">
        <v>18</v>
      </c>
      <c r="D290" s="21" t="s">
        <v>40</v>
      </c>
      <c r="E290" s="99" t="s">
        <v>572</v>
      </c>
      <c r="F290" s="137"/>
      <c r="G290" s="13"/>
      <c r="H290" s="36"/>
      <c r="I290" s="225">
        <v>0</v>
      </c>
      <c r="J290" s="36">
        <f t="shared" si="80"/>
        <v>0</v>
      </c>
      <c r="K290" s="225">
        <f>R290/1.4</f>
        <v>3.17</v>
      </c>
      <c r="L290" s="154"/>
      <c r="M290" s="123" t="s">
        <v>414</v>
      </c>
      <c r="N290" s="109"/>
      <c r="O290" s="36"/>
      <c r="P290" s="274">
        <f t="shared" si="85"/>
        <v>0</v>
      </c>
      <c r="Q290" s="181" t="str">
        <f t="shared" si="75"/>
        <v>П50х23х52 (ИНТЕГРАЛ)</v>
      </c>
      <c r="R290" s="288">
        <f t="shared" si="83"/>
        <v>4.4400000000000004</v>
      </c>
      <c r="S290" s="239">
        <v>3.7</v>
      </c>
      <c r="T290" s="268">
        <f t="shared" si="79"/>
        <v>0</v>
      </c>
      <c r="U290" s="66">
        <v>6</v>
      </c>
      <c r="V290" s="18">
        <f t="shared" si="81"/>
        <v>0</v>
      </c>
      <c r="W290" s="49">
        <f t="shared" si="84"/>
        <v>0</v>
      </c>
      <c r="X290" s="18">
        <v>6</v>
      </c>
    </row>
    <row r="291" spans="2:24" ht="26.25" hidden="1" customHeight="1" x14ac:dyDescent="0.25">
      <c r="B291" s="11"/>
      <c r="C291" s="6" t="s">
        <v>18</v>
      </c>
      <c r="D291" s="21" t="s">
        <v>40</v>
      </c>
      <c r="E291" s="99" t="s">
        <v>379</v>
      </c>
      <c r="F291" s="137"/>
      <c r="G291" s="13"/>
      <c r="H291" s="36"/>
      <c r="I291" s="225">
        <v>0</v>
      </c>
      <c r="J291" s="36">
        <f t="shared" si="80"/>
        <v>0</v>
      </c>
      <c r="K291" s="225"/>
      <c r="L291" s="154"/>
      <c r="M291" s="90"/>
      <c r="N291" s="109"/>
      <c r="O291" s="36"/>
      <c r="P291" s="225">
        <f t="shared" si="85"/>
        <v>0</v>
      </c>
      <c r="Q291" s="159" t="str">
        <f t="shared" si="75"/>
        <v>Д25х15</v>
      </c>
      <c r="R291" s="288">
        <f t="shared" si="83"/>
        <v>0</v>
      </c>
      <c r="S291" s="247">
        <v>0</v>
      </c>
      <c r="T291" s="268">
        <f t="shared" si="79"/>
        <v>0</v>
      </c>
      <c r="U291" s="66">
        <v>3</v>
      </c>
      <c r="V291" s="18">
        <f t="shared" si="81"/>
        <v>0</v>
      </c>
      <c r="W291" s="49">
        <f t="shared" si="84"/>
        <v>0</v>
      </c>
      <c r="X291" s="18">
        <v>3</v>
      </c>
    </row>
    <row r="292" spans="2:24" ht="26.25" hidden="1" customHeight="1" x14ac:dyDescent="0.25">
      <c r="B292" s="11"/>
      <c r="C292" s="6" t="s">
        <v>18</v>
      </c>
      <c r="D292" s="21" t="s">
        <v>40</v>
      </c>
      <c r="E292" s="99" t="s">
        <v>554</v>
      </c>
      <c r="F292" s="137"/>
      <c r="G292" s="13"/>
      <c r="H292" s="36"/>
      <c r="I292" s="225"/>
      <c r="J292" s="36">
        <f t="shared" si="80"/>
        <v>0</v>
      </c>
      <c r="K292" s="225"/>
      <c r="L292" s="154"/>
      <c r="M292" s="90"/>
      <c r="N292" s="109"/>
      <c r="O292" s="36"/>
      <c r="P292" s="225"/>
      <c r="Q292" s="159" t="str">
        <f t="shared" si="75"/>
        <v>Д25х5</v>
      </c>
      <c r="R292" s="288"/>
      <c r="S292" s="247"/>
      <c r="T292" s="268">
        <f t="shared" si="79"/>
        <v>0</v>
      </c>
      <c r="U292" s="66">
        <v>20</v>
      </c>
      <c r="V292" s="18">
        <f t="shared" si="81"/>
        <v>0</v>
      </c>
      <c r="W292" s="49">
        <f t="shared" si="84"/>
        <v>0</v>
      </c>
      <c r="X292" s="325">
        <v>20</v>
      </c>
    </row>
    <row r="293" spans="2:24" ht="31.5" hidden="1" customHeight="1" x14ac:dyDescent="0.25">
      <c r="B293" s="11"/>
      <c r="C293" s="6" t="s">
        <v>18</v>
      </c>
      <c r="D293" s="21" t="s">
        <v>40</v>
      </c>
      <c r="E293" s="99" t="s">
        <v>563</v>
      </c>
      <c r="F293" s="137"/>
      <c r="G293" s="13"/>
      <c r="H293" s="36"/>
      <c r="I293" s="225"/>
      <c r="J293" s="36">
        <f t="shared" si="80"/>
        <v>0</v>
      </c>
      <c r="K293" s="225"/>
      <c r="L293" s="154"/>
      <c r="M293" s="90"/>
      <c r="N293" s="109"/>
      <c r="O293" s="36"/>
      <c r="P293" s="225"/>
      <c r="Q293" s="159" t="str">
        <f t="shared" si="75"/>
        <v>Д28х5</v>
      </c>
      <c r="R293" s="288"/>
      <c r="S293" s="247"/>
      <c r="T293" s="268">
        <f t="shared" si="79"/>
        <v>0</v>
      </c>
      <c r="U293" s="66"/>
      <c r="V293" s="18">
        <f t="shared" si="81"/>
        <v>0</v>
      </c>
      <c r="W293" s="49"/>
      <c r="X293" s="18"/>
    </row>
    <row r="294" spans="2:24" ht="26.25" hidden="1" customHeight="1" x14ac:dyDescent="0.25">
      <c r="B294" s="15"/>
      <c r="C294" s="6" t="s">
        <v>18</v>
      </c>
      <c r="D294" s="21" t="s">
        <v>40</v>
      </c>
      <c r="E294" s="96" t="s">
        <v>392</v>
      </c>
      <c r="F294" s="304" t="s">
        <v>187</v>
      </c>
      <c r="G294" s="17" t="s">
        <v>0</v>
      </c>
      <c r="H294" s="36"/>
      <c r="I294" s="225">
        <v>0</v>
      </c>
      <c r="J294" s="36">
        <f t="shared" si="80"/>
        <v>0</v>
      </c>
      <c r="K294" s="225">
        <f>R294/1.4</f>
        <v>12.86</v>
      </c>
      <c r="L294" s="154">
        <f>K294*J590</f>
        <v>0</v>
      </c>
      <c r="M294" s="104" t="s">
        <v>258</v>
      </c>
      <c r="N294" s="109"/>
      <c r="O294" s="36"/>
      <c r="P294" s="225">
        <f>K294*O294</f>
        <v>0</v>
      </c>
      <c r="Q294" s="159" t="str">
        <f t="shared" si="75"/>
        <v>Д30х10</v>
      </c>
      <c r="R294" s="288">
        <f>S294*1.2</f>
        <v>18</v>
      </c>
      <c r="S294" s="255">
        <v>15</v>
      </c>
      <c r="T294" s="268">
        <f t="shared" si="79"/>
        <v>0</v>
      </c>
      <c r="U294" s="115">
        <f>36*4+45</f>
        <v>189</v>
      </c>
      <c r="V294" s="18">
        <f t="shared" si="81"/>
        <v>0</v>
      </c>
      <c r="W294" s="49">
        <f>X294-U294+V294</f>
        <v>411</v>
      </c>
      <c r="X294" s="397">
        <v>600</v>
      </c>
    </row>
    <row r="295" spans="2:24" ht="26.25" hidden="1" customHeight="1" x14ac:dyDescent="0.25">
      <c r="B295" s="15"/>
      <c r="C295" s="6" t="s">
        <v>18</v>
      </c>
      <c r="D295" s="21" t="s">
        <v>40</v>
      </c>
      <c r="E295" s="96" t="s">
        <v>636</v>
      </c>
      <c r="F295" s="304"/>
      <c r="G295" s="17"/>
      <c r="H295" s="36"/>
      <c r="I295" s="225"/>
      <c r="J295" s="36">
        <f t="shared" si="80"/>
        <v>0</v>
      </c>
      <c r="K295" s="225"/>
      <c r="L295" s="154"/>
      <c r="M295" s="104"/>
      <c r="N295" s="109"/>
      <c r="O295" s="36"/>
      <c r="P295" s="225"/>
      <c r="Q295" s="184" t="str">
        <f t="shared" si="75"/>
        <v>Д20х20</v>
      </c>
      <c r="R295" s="288"/>
      <c r="S295" s="255"/>
      <c r="T295" s="268">
        <f t="shared" si="79"/>
        <v>0</v>
      </c>
      <c r="U295" s="66">
        <v>50</v>
      </c>
      <c r="V295" s="18">
        <f t="shared" si="81"/>
        <v>0</v>
      </c>
      <c r="W295" s="49">
        <f>X295-U295+V295</f>
        <v>0</v>
      </c>
      <c r="X295" s="18">
        <v>50</v>
      </c>
    </row>
    <row r="296" spans="2:24" ht="26.25" hidden="1" customHeight="1" x14ac:dyDescent="0.25">
      <c r="B296" s="15"/>
      <c r="C296" s="6" t="s">
        <v>18</v>
      </c>
      <c r="D296" s="21" t="s">
        <v>40</v>
      </c>
      <c r="E296" s="96" t="s">
        <v>458</v>
      </c>
      <c r="F296" s="304"/>
      <c r="G296" s="17"/>
      <c r="H296" s="36"/>
      <c r="I296" s="225">
        <v>0</v>
      </c>
      <c r="J296" s="36">
        <f t="shared" si="80"/>
        <v>0</v>
      </c>
      <c r="K296" s="225"/>
      <c r="L296" s="154"/>
      <c r="M296" s="104"/>
      <c r="N296" s="109"/>
      <c r="O296" s="36"/>
      <c r="P296" s="225">
        <f>K296*O296</f>
        <v>0</v>
      </c>
      <c r="Q296" s="184" t="str">
        <f t="shared" si="75"/>
        <v>Д40х5</v>
      </c>
      <c r="R296" s="288">
        <f>S296*1.2</f>
        <v>0</v>
      </c>
      <c r="S296" s="255">
        <v>0</v>
      </c>
      <c r="T296" s="268">
        <f t="shared" si="79"/>
        <v>0</v>
      </c>
      <c r="U296" s="66">
        <v>3</v>
      </c>
      <c r="V296" s="18">
        <f t="shared" si="81"/>
        <v>0</v>
      </c>
      <c r="W296" s="49">
        <f>X296-U296+V296</f>
        <v>0</v>
      </c>
      <c r="X296" s="18">
        <v>3</v>
      </c>
    </row>
    <row r="297" spans="2:24" ht="26.25" hidden="1" customHeight="1" x14ac:dyDescent="0.25">
      <c r="B297" s="15"/>
      <c r="C297" s="6" t="s">
        <v>18</v>
      </c>
      <c r="D297" s="21" t="s">
        <v>40</v>
      </c>
      <c r="E297" s="96" t="s">
        <v>290</v>
      </c>
      <c r="F297" s="304"/>
      <c r="G297" s="17"/>
      <c r="H297" s="36"/>
      <c r="I297" s="274"/>
      <c r="J297" s="36"/>
      <c r="K297" s="225"/>
      <c r="L297" s="154"/>
      <c r="M297" s="104"/>
      <c r="N297" s="109"/>
      <c r="O297" s="36"/>
      <c r="P297" s="274"/>
      <c r="Q297" s="207" t="str">
        <f t="shared" si="75"/>
        <v>Д40х10</v>
      </c>
      <c r="R297" s="288"/>
      <c r="S297" s="255"/>
      <c r="T297" s="268">
        <f t="shared" si="79"/>
        <v>0</v>
      </c>
      <c r="U297" s="66">
        <v>3</v>
      </c>
      <c r="V297" s="18"/>
      <c r="W297" s="49"/>
      <c r="X297" s="18">
        <v>3</v>
      </c>
    </row>
    <row r="298" spans="2:24" ht="26.25" customHeight="1" x14ac:dyDescent="0.25">
      <c r="B298" s="15">
        <v>100</v>
      </c>
      <c r="C298" s="6" t="s">
        <v>18</v>
      </c>
      <c r="D298" s="21" t="s">
        <v>40</v>
      </c>
      <c r="E298" s="96" t="s">
        <v>586</v>
      </c>
      <c r="F298" s="304" t="s">
        <v>726</v>
      </c>
      <c r="G298" s="394"/>
      <c r="H298" s="359">
        <v>200</v>
      </c>
      <c r="I298" s="374">
        <v>514</v>
      </c>
      <c r="J298" s="36">
        <f t="shared" ref="J298:J329" si="86">N298+O298-H298</f>
        <v>0</v>
      </c>
      <c r="K298" s="225">
        <f>R298/1.4</f>
        <v>2.57</v>
      </c>
      <c r="L298" s="154"/>
      <c r="M298" s="121" t="s">
        <v>742</v>
      </c>
      <c r="N298" s="109"/>
      <c r="O298" s="36">
        <v>200</v>
      </c>
      <c r="P298" s="225">
        <f t="shared" ref="P298:P309" si="87">K298*O298</f>
        <v>514</v>
      </c>
      <c r="Q298" s="207" t="str">
        <f t="shared" si="75"/>
        <v>П15х4,5х4</v>
      </c>
      <c r="R298" s="288">
        <f>1.2*S298</f>
        <v>3.6</v>
      </c>
      <c r="S298" s="255">
        <v>3</v>
      </c>
      <c r="T298" s="268">
        <f t="shared" si="79"/>
        <v>0</v>
      </c>
      <c r="U298" s="18">
        <f>85+300</f>
        <v>385</v>
      </c>
      <c r="V298" s="18"/>
      <c r="W298" s="49"/>
      <c r="X298" s="18">
        <f>85+300</f>
        <v>385</v>
      </c>
    </row>
    <row r="299" spans="2:24" ht="26.25" hidden="1" customHeight="1" x14ac:dyDescent="0.25">
      <c r="B299" s="15"/>
      <c r="C299" s="6" t="s">
        <v>18</v>
      </c>
      <c r="D299" s="21" t="s">
        <v>40</v>
      </c>
      <c r="E299" s="96" t="s">
        <v>518</v>
      </c>
      <c r="F299" s="135">
        <v>1384</v>
      </c>
      <c r="G299" s="45" t="s">
        <v>0</v>
      </c>
      <c r="H299" s="36"/>
      <c r="I299" s="274">
        <v>0</v>
      </c>
      <c r="J299" s="36">
        <f t="shared" si="86"/>
        <v>0</v>
      </c>
      <c r="K299" s="225">
        <f>R299/1.4</f>
        <v>18.86</v>
      </c>
      <c r="L299" s="154">
        <f>K299*J593</f>
        <v>0</v>
      </c>
      <c r="M299" s="90" t="s">
        <v>520</v>
      </c>
      <c r="N299" s="109"/>
      <c r="O299" s="36"/>
      <c r="P299" s="274">
        <f t="shared" si="87"/>
        <v>0</v>
      </c>
      <c r="Q299" s="180" t="str">
        <f t="shared" si="75"/>
        <v>Д27х5</v>
      </c>
      <c r="R299" s="288">
        <f t="shared" ref="R299:R309" si="88">S299*1.2</f>
        <v>26.4</v>
      </c>
      <c r="S299" s="235">
        <v>22</v>
      </c>
      <c r="T299" s="268">
        <f t="shared" si="79"/>
        <v>0</v>
      </c>
      <c r="U299" s="66">
        <v>13</v>
      </c>
      <c r="V299" s="18">
        <f t="shared" ref="V299:V330" si="89">N299</f>
        <v>0</v>
      </c>
      <c r="W299" s="49">
        <f t="shared" ref="W299:W330" si="90">X299-U299+V299</f>
        <v>0</v>
      </c>
      <c r="X299" s="18">
        <v>13</v>
      </c>
    </row>
    <row r="300" spans="2:24" ht="26.25" hidden="1" customHeight="1" x14ac:dyDescent="0.25">
      <c r="B300" s="15"/>
      <c r="C300" s="6" t="s">
        <v>18</v>
      </c>
      <c r="D300" s="21" t="s">
        <v>40</v>
      </c>
      <c r="E300" s="96" t="s">
        <v>496</v>
      </c>
      <c r="F300" s="135"/>
      <c r="G300" s="45"/>
      <c r="H300" s="36"/>
      <c r="I300" s="274">
        <v>0</v>
      </c>
      <c r="J300" s="36">
        <f t="shared" si="86"/>
        <v>0</v>
      </c>
      <c r="K300" s="225"/>
      <c r="L300" s="154"/>
      <c r="M300" s="90"/>
      <c r="N300" s="109"/>
      <c r="O300" s="36"/>
      <c r="P300" s="335">
        <f t="shared" si="87"/>
        <v>0</v>
      </c>
      <c r="Q300" s="187" t="str">
        <f t="shared" si="75"/>
        <v>Д8х3(5)х2</v>
      </c>
      <c r="R300" s="288">
        <f t="shared" si="88"/>
        <v>0.32</v>
      </c>
      <c r="S300" s="242">
        <v>0.27</v>
      </c>
      <c r="T300" s="268">
        <f t="shared" si="79"/>
        <v>0</v>
      </c>
      <c r="U300" s="66">
        <v>280</v>
      </c>
      <c r="V300" s="18">
        <f t="shared" si="89"/>
        <v>0</v>
      </c>
      <c r="W300" s="49">
        <f t="shared" si="90"/>
        <v>-108</v>
      </c>
      <c r="X300" s="325">
        <v>172</v>
      </c>
    </row>
    <row r="301" spans="2:24" ht="26.25" hidden="1" customHeight="1" x14ac:dyDescent="0.25">
      <c r="B301" s="11"/>
      <c r="C301" s="6" t="s">
        <v>18</v>
      </c>
      <c r="D301" s="21" t="s">
        <v>40</v>
      </c>
      <c r="E301" s="206" t="s">
        <v>551</v>
      </c>
      <c r="F301" s="135">
        <v>1415</v>
      </c>
      <c r="G301" s="45"/>
      <c r="H301" s="36"/>
      <c r="I301" s="274">
        <v>0</v>
      </c>
      <c r="J301" s="36">
        <f t="shared" si="86"/>
        <v>0</v>
      </c>
      <c r="K301" s="225">
        <f t="shared" ref="K301:K309" si="91">R301/1.4</f>
        <v>3.43</v>
      </c>
      <c r="L301" s="154"/>
      <c r="M301" s="142" t="s">
        <v>567</v>
      </c>
      <c r="N301" s="109"/>
      <c r="O301" s="353"/>
      <c r="P301" s="225">
        <f t="shared" si="87"/>
        <v>0</v>
      </c>
      <c r="Q301" s="159" t="str">
        <f t="shared" si="75"/>
        <v>П25х8х6</v>
      </c>
      <c r="R301" s="288">
        <f t="shared" si="88"/>
        <v>4.8</v>
      </c>
      <c r="S301" s="242">
        <v>4</v>
      </c>
      <c r="T301" s="268">
        <f t="shared" ref="T301:T332" si="92">S301*J301</f>
        <v>0</v>
      </c>
      <c r="U301" s="18"/>
      <c r="V301" s="18">
        <f t="shared" si="89"/>
        <v>0</v>
      </c>
      <c r="W301" s="49">
        <f t="shared" si="90"/>
        <v>0</v>
      </c>
      <c r="X301" s="18"/>
    </row>
    <row r="302" spans="2:24" ht="26.25" hidden="1" customHeight="1" x14ac:dyDescent="0.25">
      <c r="B302" s="11"/>
      <c r="C302" s="6" t="s">
        <v>18</v>
      </c>
      <c r="D302" s="21" t="s">
        <v>40</v>
      </c>
      <c r="E302" s="83" t="s">
        <v>538</v>
      </c>
      <c r="F302" s="135">
        <v>1397</v>
      </c>
      <c r="G302" s="45"/>
      <c r="H302" s="36"/>
      <c r="I302" s="274">
        <v>0</v>
      </c>
      <c r="J302" s="36">
        <f t="shared" si="86"/>
        <v>0</v>
      </c>
      <c r="K302" s="225">
        <f t="shared" si="91"/>
        <v>1.49</v>
      </c>
      <c r="L302" s="154"/>
      <c r="M302" s="142" t="s">
        <v>548</v>
      </c>
      <c r="N302" s="109"/>
      <c r="O302" s="36"/>
      <c r="P302" s="334">
        <f t="shared" si="87"/>
        <v>0</v>
      </c>
      <c r="Q302" s="48" t="str">
        <f t="shared" si="75"/>
        <v>П5х5х6</v>
      </c>
      <c r="R302" s="288">
        <f t="shared" si="88"/>
        <v>2.09</v>
      </c>
      <c r="S302" s="242">
        <v>1.74</v>
      </c>
      <c r="T302" s="268">
        <f t="shared" si="92"/>
        <v>0</v>
      </c>
      <c r="U302" s="18"/>
      <c r="V302" s="18">
        <f t="shared" si="89"/>
        <v>0</v>
      </c>
      <c r="W302" s="49">
        <f t="shared" si="90"/>
        <v>0</v>
      </c>
      <c r="X302" s="18"/>
    </row>
    <row r="303" spans="2:24" ht="26.25" hidden="1" customHeight="1" x14ac:dyDescent="0.25">
      <c r="B303" s="11"/>
      <c r="C303" s="6" t="s">
        <v>18</v>
      </c>
      <c r="D303" s="21" t="s">
        <v>40</v>
      </c>
      <c r="E303" s="83" t="s">
        <v>669</v>
      </c>
      <c r="F303" s="135">
        <v>1406</v>
      </c>
      <c r="G303" s="45"/>
      <c r="H303" s="36"/>
      <c r="I303" s="274">
        <v>0</v>
      </c>
      <c r="J303" s="36">
        <f t="shared" si="86"/>
        <v>0</v>
      </c>
      <c r="K303" s="225">
        <f t="shared" si="91"/>
        <v>1.71</v>
      </c>
      <c r="L303" s="154"/>
      <c r="M303" s="142" t="s">
        <v>549</v>
      </c>
      <c r="N303" s="109"/>
      <c r="O303" s="361"/>
      <c r="P303" s="335">
        <f t="shared" si="87"/>
        <v>0</v>
      </c>
      <c r="Q303" s="323" t="str">
        <f t="shared" si="75"/>
        <v>ПС30х16х3</v>
      </c>
      <c r="R303" s="288">
        <f t="shared" si="88"/>
        <v>2.4</v>
      </c>
      <c r="S303" s="242">
        <v>2</v>
      </c>
      <c r="T303" s="268">
        <f t="shared" si="92"/>
        <v>0</v>
      </c>
      <c r="U303" s="66">
        <v>160</v>
      </c>
      <c r="V303" s="18">
        <f t="shared" si="89"/>
        <v>0</v>
      </c>
      <c r="W303" s="49">
        <f t="shared" si="90"/>
        <v>0</v>
      </c>
      <c r="X303" s="18">
        <v>160</v>
      </c>
    </row>
    <row r="304" spans="2:24" ht="44.25" customHeight="1" x14ac:dyDescent="0.25">
      <c r="B304" s="11">
        <v>101</v>
      </c>
      <c r="C304" s="6" t="s">
        <v>18</v>
      </c>
      <c r="D304" s="21" t="s">
        <v>40</v>
      </c>
      <c r="E304" s="1" t="s">
        <v>433</v>
      </c>
      <c r="F304" s="294" t="s">
        <v>373</v>
      </c>
      <c r="G304" s="12" t="s">
        <v>0</v>
      </c>
      <c r="H304" s="36"/>
      <c r="I304" s="274">
        <v>0</v>
      </c>
      <c r="J304" s="36">
        <f t="shared" si="86"/>
        <v>700</v>
      </c>
      <c r="K304" s="225">
        <f t="shared" si="91"/>
        <v>1.63</v>
      </c>
      <c r="L304" s="154">
        <f>K304*J598</f>
        <v>0</v>
      </c>
      <c r="M304" s="145" t="s">
        <v>698</v>
      </c>
      <c r="N304" s="110">
        <v>700</v>
      </c>
      <c r="O304" s="36"/>
      <c r="P304" s="225">
        <f t="shared" si="87"/>
        <v>0</v>
      </c>
      <c r="Q304" s="48" t="str">
        <f t="shared" si="75"/>
        <v>К11,2х7х15</v>
      </c>
      <c r="R304" s="223">
        <f t="shared" si="88"/>
        <v>2.2799999999999998</v>
      </c>
      <c r="S304" s="242">
        <v>1.9</v>
      </c>
      <c r="T304" s="268">
        <f t="shared" si="92"/>
        <v>1330</v>
      </c>
      <c r="U304" s="116">
        <f>13*210+203</f>
        <v>2933</v>
      </c>
      <c r="V304" s="18">
        <f t="shared" si="89"/>
        <v>700</v>
      </c>
      <c r="W304" s="49">
        <f t="shared" si="90"/>
        <v>0</v>
      </c>
      <c r="X304" s="325">
        <f>10*210+133</f>
        <v>2233</v>
      </c>
    </row>
    <row r="305" spans="1:41" ht="26.25" hidden="1" customHeight="1" x14ac:dyDescent="0.25">
      <c r="B305" s="15"/>
      <c r="C305" s="6" t="s">
        <v>18</v>
      </c>
      <c r="D305" s="21" t="s">
        <v>40</v>
      </c>
      <c r="E305" s="96" t="s">
        <v>552</v>
      </c>
      <c r="F305" s="135">
        <v>380</v>
      </c>
      <c r="G305" s="45" t="s">
        <v>0</v>
      </c>
      <c r="H305" s="36">
        <v>0</v>
      </c>
      <c r="I305" s="225">
        <v>0</v>
      </c>
      <c r="J305" s="36">
        <f t="shared" si="86"/>
        <v>0</v>
      </c>
      <c r="K305" s="225">
        <f t="shared" si="91"/>
        <v>24.86</v>
      </c>
      <c r="L305" s="154">
        <f>K305*J599</f>
        <v>0</v>
      </c>
      <c r="M305" s="123" t="s">
        <v>568</v>
      </c>
      <c r="N305" s="109"/>
      <c r="O305" s="382">
        <v>0</v>
      </c>
      <c r="P305" s="344">
        <f t="shared" si="87"/>
        <v>0</v>
      </c>
      <c r="Q305" s="185" t="str">
        <f t="shared" si="75"/>
        <v>Д11х7х62</v>
      </c>
      <c r="R305" s="288">
        <f t="shared" si="88"/>
        <v>34.799999999999997</v>
      </c>
      <c r="S305" s="235">
        <v>29</v>
      </c>
      <c r="T305" s="268">
        <f t="shared" si="92"/>
        <v>0</v>
      </c>
      <c r="U305" s="18"/>
      <c r="V305" s="18">
        <f t="shared" si="89"/>
        <v>0</v>
      </c>
      <c r="W305" s="49">
        <f t="shared" si="90"/>
        <v>0</v>
      </c>
      <c r="X305" s="18"/>
    </row>
    <row r="306" spans="1:41" ht="26.25" hidden="1" customHeight="1" x14ac:dyDescent="0.25">
      <c r="B306" s="17"/>
      <c r="C306" s="6" t="s">
        <v>18</v>
      </c>
      <c r="D306" s="21" t="s">
        <v>40</v>
      </c>
      <c r="E306" s="98" t="s">
        <v>156</v>
      </c>
      <c r="F306" s="296" t="s">
        <v>215</v>
      </c>
      <c r="G306" s="45" t="s">
        <v>0</v>
      </c>
      <c r="H306" s="36"/>
      <c r="I306" s="225">
        <v>0</v>
      </c>
      <c r="J306" s="36">
        <f t="shared" si="86"/>
        <v>0</v>
      </c>
      <c r="K306" s="225">
        <f t="shared" si="91"/>
        <v>7.29</v>
      </c>
      <c r="L306" s="154">
        <f>K306*J600</f>
        <v>0</v>
      </c>
      <c r="M306" s="114" t="s">
        <v>530</v>
      </c>
      <c r="N306" s="110"/>
      <c r="O306" s="36"/>
      <c r="P306" s="357">
        <f t="shared" si="87"/>
        <v>0</v>
      </c>
      <c r="Q306" s="323" t="str">
        <f t="shared" si="75"/>
        <v>К12х3х4,5</v>
      </c>
      <c r="R306" s="288">
        <f t="shared" si="88"/>
        <v>10.199999999999999</v>
      </c>
      <c r="S306" s="242">
        <v>8.5</v>
      </c>
      <c r="T306" s="268">
        <f t="shared" si="92"/>
        <v>0</v>
      </c>
      <c r="U306" s="320">
        <f>551-14</f>
        <v>537</v>
      </c>
      <c r="V306" s="18">
        <f t="shared" si="89"/>
        <v>0</v>
      </c>
      <c r="W306" s="49">
        <f t="shared" si="90"/>
        <v>0</v>
      </c>
      <c r="X306" s="16">
        <f>551-14</f>
        <v>537</v>
      </c>
    </row>
    <row r="307" spans="1:41" ht="26.25" hidden="1" customHeight="1" x14ac:dyDescent="0.25">
      <c r="B307" s="17"/>
      <c r="C307" s="6" t="s">
        <v>18</v>
      </c>
      <c r="D307" s="21" t="s">
        <v>40</v>
      </c>
      <c r="E307" s="98" t="s">
        <v>291</v>
      </c>
      <c r="F307" s="295">
        <v>876</v>
      </c>
      <c r="G307" s="45"/>
      <c r="H307" s="36"/>
      <c r="I307" s="274">
        <v>0</v>
      </c>
      <c r="J307" s="36">
        <f t="shared" si="86"/>
        <v>0</v>
      </c>
      <c r="K307" s="225">
        <f t="shared" si="91"/>
        <v>27</v>
      </c>
      <c r="L307" s="154"/>
      <c r="M307" s="131" t="s">
        <v>651</v>
      </c>
      <c r="N307" s="110"/>
      <c r="O307" s="36"/>
      <c r="P307" s="225">
        <f t="shared" si="87"/>
        <v>0</v>
      </c>
      <c r="Q307" s="48" t="str">
        <f t="shared" si="75"/>
        <v>К12,5х5,2х7</v>
      </c>
      <c r="R307" s="288">
        <f t="shared" si="88"/>
        <v>37.799999999999997</v>
      </c>
      <c r="S307" s="235">
        <v>31.5</v>
      </c>
      <c r="T307" s="268">
        <f t="shared" si="92"/>
        <v>0</v>
      </c>
      <c r="U307" s="66">
        <v>24</v>
      </c>
      <c r="V307" s="18">
        <f t="shared" si="89"/>
        <v>0</v>
      </c>
      <c r="W307" s="49">
        <f t="shared" si="90"/>
        <v>0</v>
      </c>
      <c r="X307" s="18">
        <v>24</v>
      </c>
    </row>
    <row r="308" spans="1:41" s="4" customFormat="1" ht="26.25" hidden="1" customHeight="1" x14ac:dyDescent="0.25">
      <c r="A308" s="10"/>
      <c r="B308" s="15"/>
      <c r="C308" s="6" t="s">
        <v>18</v>
      </c>
      <c r="D308" s="21" t="s">
        <v>40</v>
      </c>
      <c r="E308" s="98" t="s">
        <v>283</v>
      </c>
      <c r="F308" s="306">
        <v>1307</v>
      </c>
      <c r="G308" s="45" t="s">
        <v>0</v>
      </c>
      <c r="H308" s="36">
        <v>0</v>
      </c>
      <c r="I308" s="274">
        <v>0</v>
      </c>
      <c r="J308" s="36">
        <f t="shared" si="86"/>
        <v>0</v>
      </c>
      <c r="K308" s="225">
        <f t="shared" si="91"/>
        <v>1.71</v>
      </c>
      <c r="L308" s="154">
        <f>K308*J602</f>
        <v>0</v>
      </c>
      <c r="M308" s="142" t="s">
        <v>462</v>
      </c>
      <c r="N308" s="109"/>
      <c r="O308" s="361">
        <v>0</v>
      </c>
      <c r="P308" s="336">
        <f t="shared" si="87"/>
        <v>0</v>
      </c>
      <c r="Q308" s="185" t="str">
        <f t="shared" si="75"/>
        <v>К15х5х5</v>
      </c>
      <c r="R308" s="288">
        <f t="shared" si="88"/>
        <v>2.4</v>
      </c>
      <c r="S308" s="246">
        <v>2</v>
      </c>
      <c r="T308" s="268">
        <f t="shared" si="92"/>
        <v>0</v>
      </c>
      <c r="U308" s="66">
        <v>452</v>
      </c>
      <c r="V308" s="18">
        <f t="shared" si="89"/>
        <v>0</v>
      </c>
      <c r="W308" s="49">
        <f t="shared" si="90"/>
        <v>0</v>
      </c>
      <c r="X308" s="325">
        <v>452</v>
      </c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</row>
    <row r="309" spans="1:41" ht="26.25" customHeight="1" x14ac:dyDescent="0.25">
      <c r="B309" s="11">
        <v>102</v>
      </c>
      <c r="C309" s="6" t="s">
        <v>18</v>
      </c>
      <c r="D309" s="21" t="s">
        <v>40</v>
      </c>
      <c r="E309" s="98" t="s">
        <v>659</v>
      </c>
      <c r="F309" s="294" t="s">
        <v>493</v>
      </c>
      <c r="G309" s="45"/>
      <c r="H309" s="36"/>
      <c r="I309" s="274">
        <v>0</v>
      </c>
      <c r="J309" s="36">
        <f t="shared" si="86"/>
        <v>170</v>
      </c>
      <c r="K309" s="225">
        <f t="shared" si="91"/>
        <v>1.86</v>
      </c>
      <c r="L309" s="154"/>
      <c r="M309" s="214" t="s">
        <v>699</v>
      </c>
      <c r="N309" s="110">
        <v>170</v>
      </c>
      <c r="O309" s="36"/>
      <c r="P309" s="225">
        <f t="shared" si="87"/>
        <v>0</v>
      </c>
      <c r="Q309" s="48" t="str">
        <f t="shared" si="75"/>
        <v>К15х5х5с зенк</v>
      </c>
      <c r="R309" s="288">
        <f t="shared" si="88"/>
        <v>2.6</v>
      </c>
      <c r="S309" s="235">
        <v>2.17</v>
      </c>
      <c r="T309" s="268">
        <f t="shared" si="92"/>
        <v>368.9</v>
      </c>
      <c r="U309" s="66"/>
      <c r="V309" s="18">
        <f t="shared" si="89"/>
        <v>170</v>
      </c>
      <c r="W309" s="49">
        <f t="shared" si="90"/>
        <v>313</v>
      </c>
      <c r="X309" s="325">
        <v>143</v>
      </c>
    </row>
    <row r="310" spans="1:41" ht="26.25" hidden="1" customHeight="1" x14ac:dyDescent="0.3">
      <c r="B310" s="17"/>
      <c r="C310" s="6"/>
      <c r="D310" s="21"/>
      <c r="E310" s="98"/>
      <c r="F310" s="296"/>
      <c r="G310" s="45"/>
      <c r="H310" s="36"/>
      <c r="I310" s="274"/>
      <c r="J310" s="36">
        <f t="shared" si="86"/>
        <v>0</v>
      </c>
      <c r="K310" s="225"/>
      <c r="L310" s="154"/>
      <c r="M310" s="195"/>
      <c r="N310" s="110"/>
      <c r="O310" s="343"/>
      <c r="P310" s="334"/>
      <c r="Q310" s="322">
        <f t="shared" si="75"/>
        <v>0</v>
      </c>
      <c r="R310" s="288"/>
      <c r="T310" s="268">
        <f t="shared" si="92"/>
        <v>0</v>
      </c>
      <c r="U310" s="18"/>
      <c r="V310" s="18">
        <f t="shared" si="89"/>
        <v>0</v>
      </c>
      <c r="W310" s="49">
        <f t="shared" si="90"/>
        <v>0</v>
      </c>
      <c r="X310" s="18"/>
    </row>
    <row r="311" spans="1:41" ht="26.25" hidden="1" customHeight="1" x14ac:dyDescent="0.25">
      <c r="B311" s="17"/>
      <c r="C311" s="6" t="s">
        <v>18</v>
      </c>
      <c r="D311" s="21" t="s">
        <v>40</v>
      </c>
      <c r="E311" s="98" t="s">
        <v>33</v>
      </c>
      <c r="F311" s="296" t="s">
        <v>345</v>
      </c>
      <c r="G311" s="45"/>
      <c r="H311" s="36"/>
      <c r="I311" s="225">
        <v>0</v>
      </c>
      <c r="J311" s="36">
        <f t="shared" si="86"/>
        <v>0</v>
      </c>
      <c r="K311" s="225">
        <f>R311/1.4</f>
        <v>3</v>
      </c>
      <c r="L311" s="154"/>
      <c r="M311" s="90" t="s">
        <v>521</v>
      </c>
      <c r="N311" s="110"/>
      <c r="O311" s="361"/>
      <c r="P311" s="350">
        <f t="shared" ref="P311:P327" si="93">K311*O311</f>
        <v>0</v>
      </c>
      <c r="Q311" s="185" t="str">
        <f t="shared" si="75"/>
        <v>К20х10х5</v>
      </c>
      <c r="R311" s="288">
        <f t="shared" ref="R311:R342" si="94">S311*1.2</f>
        <v>4.2</v>
      </c>
      <c r="S311" s="235">
        <v>3.5</v>
      </c>
      <c r="T311" s="268">
        <f t="shared" si="92"/>
        <v>0</v>
      </c>
      <c r="U311" s="18">
        <v>20</v>
      </c>
      <c r="V311" s="18">
        <f t="shared" si="89"/>
        <v>0</v>
      </c>
      <c r="W311" s="49">
        <f t="shared" si="90"/>
        <v>0</v>
      </c>
      <c r="X311" s="18">
        <v>20</v>
      </c>
    </row>
    <row r="312" spans="1:41" ht="26.25" hidden="1" customHeight="1" x14ac:dyDescent="0.25">
      <c r="B312" s="11"/>
      <c r="C312" s="6" t="s">
        <v>18</v>
      </c>
      <c r="D312" s="21" t="s">
        <v>40</v>
      </c>
      <c r="E312" s="1" t="s">
        <v>323</v>
      </c>
      <c r="F312" s="294" t="s">
        <v>374</v>
      </c>
      <c r="G312" s="12" t="s">
        <v>0</v>
      </c>
      <c r="H312" s="36"/>
      <c r="I312" s="274">
        <v>0</v>
      </c>
      <c r="J312" s="36">
        <f t="shared" si="86"/>
        <v>0</v>
      </c>
      <c r="K312" s="225">
        <v>25.71</v>
      </c>
      <c r="L312" s="154">
        <f>K312*J606</f>
        <v>0</v>
      </c>
      <c r="M312" s="146" t="s">
        <v>743</v>
      </c>
      <c r="N312" s="110"/>
      <c r="O312" s="36"/>
      <c r="P312" s="225">
        <f t="shared" si="93"/>
        <v>0</v>
      </c>
      <c r="Q312" s="48" t="str">
        <f t="shared" si="75"/>
        <v>К20х8х5</v>
      </c>
      <c r="R312" s="288">
        <f t="shared" si="94"/>
        <v>36</v>
      </c>
      <c r="S312" s="235">
        <v>30</v>
      </c>
      <c r="T312" s="268">
        <f t="shared" si="92"/>
        <v>0</v>
      </c>
      <c r="U312" s="18"/>
      <c r="V312" s="18">
        <f t="shared" si="89"/>
        <v>0</v>
      </c>
      <c r="W312" s="49">
        <f t="shared" si="90"/>
        <v>0</v>
      </c>
      <c r="X312" s="18"/>
    </row>
    <row r="313" spans="1:41" ht="26.25" customHeight="1" x14ac:dyDescent="0.25">
      <c r="B313" s="11">
        <v>103</v>
      </c>
      <c r="C313" s="6" t="s">
        <v>18</v>
      </c>
      <c r="D313" s="21" t="s">
        <v>40</v>
      </c>
      <c r="E313" s="312" t="s">
        <v>482</v>
      </c>
      <c r="F313" s="294">
        <v>1333</v>
      </c>
      <c r="G313" s="12" t="s">
        <v>0</v>
      </c>
      <c r="H313" s="36">
        <v>12</v>
      </c>
      <c r="I313" s="274">
        <v>843.48</v>
      </c>
      <c r="J313" s="36">
        <f t="shared" si="86"/>
        <v>0</v>
      </c>
      <c r="K313" s="225">
        <f t="shared" ref="K313:K327" si="95">R313/1.4</f>
        <v>70.290000000000006</v>
      </c>
      <c r="L313" s="154">
        <f>K313*J607</f>
        <v>0</v>
      </c>
      <c r="M313" s="60" t="s">
        <v>500</v>
      </c>
      <c r="N313" s="110"/>
      <c r="O313" s="36">
        <v>12</v>
      </c>
      <c r="P313" s="225">
        <f t="shared" si="93"/>
        <v>843.48</v>
      </c>
      <c r="Q313" s="48" t="str">
        <f t="shared" si="75"/>
        <v>К14,5х6х22, К29х6х22</v>
      </c>
      <c r="R313" s="288">
        <f t="shared" si="94"/>
        <v>98.4</v>
      </c>
      <c r="S313" s="255">
        <v>82</v>
      </c>
      <c r="T313" s="268">
        <f t="shared" si="92"/>
        <v>0</v>
      </c>
      <c r="U313" s="18"/>
      <c r="V313" s="18">
        <f t="shared" si="89"/>
        <v>0</v>
      </c>
      <c r="W313" s="49">
        <f t="shared" si="90"/>
        <v>0</v>
      </c>
      <c r="X313" s="18"/>
    </row>
    <row r="314" spans="1:41" s="4" customFormat="1" ht="33" hidden="1" customHeight="1" x14ac:dyDescent="0.25">
      <c r="A314" s="10"/>
      <c r="B314" s="17"/>
      <c r="C314" s="6" t="s">
        <v>18</v>
      </c>
      <c r="D314" s="21" t="s">
        <v>40</v>
      </c>
      <c r="E314" s="312" t="s">
        <v>556</v>
      </c>
      <c r="F314" s="295">
        <v>1086</v>
      </c>
      <c r="G314" s="45" t="s">
        <v>0</v>
      </c>
      <c r="H314" s="36"/>
      <c r="I314" s="274">
        <v>0</v>
      </c>
      <c r="J314" s="36">
        <f t="shared" si="86"/>
        <v>0</v>
      </c>
      <c r="K314" s="225">
        <f t="shared" si="95"/>
        <v>3.43</v>
      </c>
      <c r="L314" s="154">
        <f>K314*J608</f>
        <v>0</v>
      </c>
      <c r="M314" s="60" t="s">
        <v>481</v>
      </c>
      <c r="N314" s="110"/>
      <c r="O314" s="381"/>
      <c r="P314" s="336">
        <f t="shared" si="93"/>
        <v>0</v>
      </c>
      <c r="Q314" s="324" t="str">
        <f t="shared" si="75"/>
        <v>K20х5(8)х5</v>
      </c>
      <c r="R314" s="223">
        <f t="shared" si="94"/>
        <v>4.8</v>
      </c>
      <c r="S314" s="255">
        <v>4</v>
      </c>
      <c r="T314" s="268">
        <f t="shared" si="92"/>
        <v>0</v>
      </c>
      <c r="U314" s="66">
        <v>7</v>
      </c>
      <c r="V314" s="18">
        <f t="shared" si="89"/>
        <v>0</v>
      </c>
      <c r="W314" s="49">
        <f t="shared" si="90"/>
        <v>0</v>
      </c>
      <c r="X314" s="325">
        <v>7</v>
      </c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s="19" customFormat="1" ht="26.25" customHeight="1" x14ac:dyDescent="0.25">
      <c r="B315" s="11">
        <v>104</v>
      </c>
      <c r="C315" s="6" t="s">
        <v>135</v>
      </c>
      <c r="D315" s="21" t="s">
        <v>40</v>
      </c>
      <c r="E315" s="102" t="s">
        <v>332</v>
      </c>
      <c r="F315" s="135">
        <v>595</v>
      </c>
      <c r="G315" s="12" t="s">
        <v>0</v>
      </c>
      <c r="H315" s="36">
        <v>5</v>
      </c>
      <c r="I315" s="274">
        <v>26.15</v>
      </c>
      <c r="J315" s="36">
        <f t="shared" si="86"/>
        <v>0</v>
      </c>
      <c r="K315" s="225">
        <f t="shared" si="95"/>
        <v>5.23</v>
      </c>
      <c r="L315" s="154">
        <f>K315*J609</f>
        <v>0</v>
      </c>
      <c r="M315" s="90" t="s">
        <v>522</v>
      </c>
      <c r="N315" s="109"/>
      <c r="O315" s="36">
        <v>5</v>
      </c>
      <c r="P315" s="225">
        <f t="shared" si="93"/>
        <v>26.15</v>
      </c>
      <c r="Q315" s="48" t="str">
        <f t="shared" si="75"/>
        <v>К22х6,2х3,2(ПМ-36Б-200)</v>
      </c>
      <c r="R315" s="223">
        <f t="shared" si="94"/>
        <v>7.32</v>
      </c>
      <c r="S315" s="235">
        <v>6.1</v>
      </c>
      <c r="T315" s="268">
        <f t="shared" si="92"/>
        <v>0</v>
      </c>
      <c r="U315" s="66">
        <f>281-12-5</f>
        <v>264</v>
      </c>
      <c r="V315" s="18">
        <f t="shared" si="89"/>
        <v>0</v>
      </c>
      <c r="W315" s="49">
        <f t="shared" si="90"/>
        <v>0</v>
      </c>
      <c r="X315" s="18">
        <f>281-12-5</f>
        <v>264</v>
      </c>
    </row>
    <row r="316" spans="1:41" ht="26.25" hidden="1" customHeight="1" x14ac:dyDescent="0.25">
      <c r="B316" s="11"/>
      <c r="C316" s="6" t="s">
        <v>18</v>
      </c>
      <c r="D316" s="21" t="s">
        <v>40</v>
      </c>
      <c r="E316" s="99" t="s">
        <v>404</v>
      </c>
      <c r="F316" s="297">
        <v>830</v>
      </c>
      <c r="G316" s="14" t="s">
        <v>0</v>
      </c>
      <c r="H316" s="36"/>
      <c r="I316" s="225">
        <v>0</v>
      </c>
      <c r="J316" s="36">
        <f t="shared" si="86"/>
        <v>0</v>
      </c>
      <c r="K316" s="225">
        <f t="shared" si="95"/>
        <v>17.23</v>
      </c>
      <c r="L316" s="154">
        <f>K316*J610</f>
        <v>0</v>
      </c>
      <c r="M316" s="44" t="s">
        <v>700</v>
      </c>
      <c r="N316" s="109"/>
      <c r="O316" s="36"/>
      <c r="P316" s="225">
        <f t="shared" si="93"/>
        <v>0</v>
      </c>
      <c r="Q316" s="48" t="str">
        <f t="shared" ref="Q316:Q379" si="96">E316</f>
        <v>К22,8х8,2х8,9</v>
      </c>
      <c r="R316" s="288">
        <f t="shared" si="94"/>
        <v>24.12</v>
      </c>
      <c r="S316" s="242">
        <v>20.100000000000001</v>
      </c>
      <c r="T316" s="268">
        <f t="shared" si="92"/>
        <v>0</v>
      </c>
      <c r="U316" s="320">
        <f>60+38-6</f>
        <v>92</v>
      </c>
      <c r="V316" s="18">
        <f t="shared" si="89"/>
        <v>0</v>
      </c>
      <c r="W316" s="49">
        <f t="shared" si="90"/>
        <v>0</v>
      </c>
      <c r="X316" s="16">
        <f>60+38-6</f>
        <v>92</v>
      </c>
    </row>
    <row r="317" spans="1:41" ht="26.25" hidden="1" customHeight="1" x14ac:dyDescent="0.25">
      <c r="B317" s="11"/>
      <c r="C317" s="6" t="s">
        <v>18</v>
      </c>
      <c r="D317" s="21" t="s">
        <v>40</v>
      </c>
      <c r="E317" s="102" t="s">
        <v>310</v>
      </c>
      <c r="F317" s="297">
        <v>1069</v>
      </c>
      <c r="G317" s="13" t="s">
        <v>0</v>
      </c>
      <c r="H317" s="36"/>
      <c r="I317" s="225">
        <v>0</v>
      </c>
      <c r="J317" s="36">
        <f t="shared" si="86"/>
        <v>0</v>
      </c>
      <c r="K317" s="225">
        <f t="shared" si="95"/>
        <v>21.43</v>
      </c>
      <c r="L317" s="154"/>
      <c r="M317" s="86"/>
      <c r="N317" s="109"/>
      <c r="O317" s="343"/>
      <c r="P317" s="344">
        <f t="shared" si="93"/>
        <v>0</v>
      </c>
      <c r="Q317" s="183" t="str">
        <f t="shared" si="96"/>
        <v>К26,6х11х0,7</v>
      </c>
      <c r="R317" s="288">
        <f t="shared" si="94"/>
        <v>30</v>
      </c>
      <c r="S317" s="238">
        <v>25</v>
      </c>
      <c r="T317" s="268">
        <f t="shared" si="92"/>
        <v>0</v>
      </c>
      <c r="U317" s="320">
        <v>30</v>
      </c>
      <c r="V317" s="18">
        <f t="shared" si="89"/>
        <v>0</v>
      </c>
      <c r="W317" s="49">
        <f t="shared" si="90"/>
        <v>0</v>
      </c>
      <c r="X317" s="16">
        <v>30</v>
      </c>
    </row>
    <row r="318" spans="1:41" ht="26.25" hidden="1" customHeight="1" x14ac:dyDescent="0.25">
      <c r="B318" s="11"/>
      <c r="C318" s="6" t="s">
        <v>18</v>
      </c>
      <c r="D318" s="21" t="s">
        <v>40</v>
      </c>
      <c r="E318" s="102" t="s">
        <v>747</v>
      </c>
      <c r="F318" s="297"/>
      <c r="G318" s="13"/>
      <c r="H318" s="36"/>
      <c r="I318" s="225">
        <v>0</v>
      </c>
      <c r="J318" s="36">
        <f t="shared" si="86"/>
        <v>0</v>
      </c>
      <c r="K318" s="225">
        <f t="shared" si="95"/>
        <v>10.39</v>
      </c>
      <c r="L318" s="154"/>
      <c r="M318" s="86"/>
      <c r="N318" s="109"/>
      <c r="O318" s="36"/>
      <c r="P318" s="225">
        <f t="shared" si="93"/>
        <v>0</v>
      </c>
      <c r="Q318" s="159" t="str">
        <f t="shared" si="96"/>
        <v>К32х12х5 нам.D</v>
      </c>
      <c r="R318" s="288">
        <f t="shared" si="94"/>
        <v>14.54</v>
      </c>
      <c r="S318" s="235">
        <v>12.12</v>
      </c>
      <c r="T318" s="268">
        <f t="shared" si="92"/>
        <v>0</v>
      </c>
      <c r="U318" s="397">
        <v>5</v>
      </c>
      <c r="V318" s="18">
        <f t="shared" si="89"/>
        <v>0</v>
      </c>
      <c r="W318" s="49">
        <f t="shared" si="90"/>
        <v>0</v>
      </c>
      <c r="X318" s="397">
        <v>5</v>
      </c>
    </row>
    <row r="319" spans="1:41" ht="26.25" hidden="1" customHeight="1" x14ac:dyDescent="0.25">
      <c r="B319" s="11"/>
      <c r="C319" s="6" t="s">
        <v>18</v>
      </c>
      <c r="D319" s="21" t="s">
        <v>40</v>
      </c>
      <c r="E319" s="197" t="s">
        <v>557</v>
      </c>
      <c r="F319" s="297"/>
      <c r="G319" s="13"/>
      <c r="H319" s="36"/>
      <c r="I319" s="225">
        <v>0</v>
      </c>
      <c r="J319" s="36">
        <f t="shared" si="86"/>
        <v>0</v>
      </c>
      <c r="K319" s="225">
        <f t="shared" si="95"/>
        <v>0</v>
      </c>
      <c r="L319" s="154"/>
      <c r="M319" s="86"/>
      <c r="N319" s="109"/>
      <c r="O319" s="36"/>
      <c r="P319" s="225">
        <f t="shared" si="93"/>
        <v>0</v>
      </c>
      <c r="Q319" s="159" t="str">
        <f t="shared" si="96"/>
        <v>К25х5,5(10)х3</v>
      </c>
      <c r="R319" s="288">
        <f t="shared" si="94"/>
        <v>0</v>
      </c>
      <c r="S319" s="242">
        <v>0</v>
      </c>
      <c r="T319" s="268">
        <f t="shared" si="92"/>
        <v>0</v>
      </c>
      <c r="U319" s="320">
        <v>10</v>
      </c>
      <c r="V319" s="18">
        <f t="shared" si="89"/>
        <v>0</v>
      </c>
      <c r="W319" s="49">
        <f t="shared" si="90"/>
        <v>0</v>
      </c>
      <c r="X319" s="397">
        <v>10</v>
      </c>
    </row>
    <row r="320" spans="1:41" ht="26.25" hidden="1" customHeight="1" x14ac:dyDescent="0.25">
      <c r="B320" s="11"/>
      <c r="C320" s="6" t="s">
        <v>18</v>
      </c>
      <c r="D320" s="21" t="s">
        <v>40</v>
      </c>
      <c r="E320" s="197" t="s">
        <v>558</v>
      </c>
      <c r="F320" s="298"/>
      <c r="G320" s="12"/>
      <c r="H320" s="36"/>
      <c r="I320" s="225">
        <v>0</v>
      </c>
      <c r="J320" s="36">
        <f t="shared" si="86"/>
        <v>0</v>
      </c>
      <c r="K320" s="225">
        <f t="shared" si="95"/>
        <v>0</v>
      </c>
      <c r="L320" s="154">
        <f>K320*J614</f>
        <v>0</v>
      </c>
      <c r="M320" s="86" t="s">
        <v>149</v>
      </c>
      <c r="N320" s="109"/>
      <c r="O320" s="36"/>
      <c r="P320" s="225">
        <f t="shared" si="93"/>
        <v>0</v>
      </c>
      <c r="Q320" s="159" t="str">
        <f t="shared" si="96"/>
        <v>К31х12х22</v>
      </c>
      <c r="R320" s="288">
        <f t="shared" si="94"/>
        <v>0</v>
      </c>
      <c r="S320" s="235">
        <v>0</v>
      </c>
      <c r="T320" s="268">
        <f t="shared" si="92"/>
        <v>0</v>
      </c>
      <c r="U320" s="320">
        <v>9</v>
      </c>
      <c r="V320" s="18">
        <f t="shared" si="89"/>
        <v>0</v>
      </c>
      <c r="W320" s="49">
        <f t="shared" si="90"/>
        <v>0</v>
      </c>
      <c r="X320" s="16">
        <v>9</v>
      </c>
    </row>
    <row r="321" spans="2:24" ht="26.25" hidden="1" customHeight="1" x14ac:dyDescent="0.25">
      <c r="B321" s="11"/>
      <c r="C321" s="6" t="s">
        <v>18</v>
      </c>
      <c r="D321" s="21" t="s">
        <v>40</v>
      </c>
      <c r="E321" s="331" t="s">
        <v>632</v>
      </c>
      <c r="F321" s="297">
        <v>1492</v>
      </c>
      <c r="G321" s="14"/>
      <c r="H321" s="36"/>
      <c r="I321" s="225">
        <v>0</v>
      </c>
      <c r="J321" s="36">
        <f t="shared" si="86"/>
        <v>0</v>
      </c>
      <c r="K321" s="225">
        <f t="shared" si="95"/>
        <v>152.57</v>
      </c>
      <c r="L321" s="154"/>
      <c r="M321" s="326" t="s">
        <v>674</v>
      </c>
      <c r="N321" s="109"/>
      <c r="O321" s="36"/>
      <c r="P321" s="225">
        <f t="shared" si="93"/>
        <v>0</v>
      </c>
      <c r="Q321" s="159" t="str">
        <f t="shared" si="96"/>
        <v>К59х44х4</v>
      </c>
      <c r="R321" s="288">
        <f t="shared" si="94"/>
        <v>213.6</v>
      </c>
      <c r="S321" s="242">
        <v>178</v>
      </c>
      <c r="T321" s="268">
        <f t="shared" si="92"/>
        <v>0</v>
      </c>
      <c r="U321" s="18"/>
      <c r="V321" s="18">
        <f t="shared" si="89"/>
        <v>0</v>
      </c>
      <c r="W321" s="49">
        <f t="shared" si="90"/>
        <v>0</v>
      </c>
      <c r="X321" s="18"/>
    </row>
    <row r="322" spans="2:24" ht="26.25" hidden="1" customHeight="1" x14ac:dyDescent="0.25">
      <c r="B322" s="11"/>
      <c r="C322" s="6" t="s">
        <v>18</v>
      </c>
      <c r="D322" s="21" t="s">
        <v>40</v>
      </c>
      <c r="E322" s="102" t="s">
        <v>430</v>
      </c>
      <c r="F322" s="367">
        <v>1332</v>
      </c>
      <c r="G322" s="12" t="s">
        <v>0</v>
      </c>
      <c r="H322" s="36"/>
      <c r="I322" s="274">
        <v>0</v>
      </c>
      <c r="J322" s="36">
        <f t="shared" si="86"/>
        <v>0</v>
      </c>
      <c r="K322" s="225">
        <f t="shared" si="95"/>
        <v>8.14</v>
      </c>
      <c r="L322" s="154"/>
      <c r="M322" s="146" t="s">
        <v>621</v>
      </c>
      <c r="N322" s="109"/>
      <c r="O322" s="353"/>
      <c r="P322" s="225">
        <f t="shared" si="93"/>
        <v>0</v>
      </c>
      <c r="Q322" s="159" t="str">
        <f t="shared" si="96"/>
        <v>К25х5,5(10)х5</v>
      </c>
      <c r="R322" s="288">
        <f t="shared" si="94"/>
        <v>11.4</v>
      </c>
      <c r="S322" s="242">
        <v>9.5</v>
      </c>
      <c r="T322" s="268">
        <f t="shared" si="92"/>
        <v>0</v>
      </c>
      <c r="U322" s="16"/>
      <c r="V322" s="18">
        <f t="shared" si="89"/>
        <v>0</v>
      </c>
      <c r="W322" s="49">
        <f t="shared" si="90"/>
        <v>0</v>
      </c>
      <c r="X322" s="16"/>
    </row>
    <row r="323" spans="2:24" ht="26.25" hidden="1" customHeight="1" x14ac:dyDescent="0.25">
      <c r="B323" s="11"/>
      <c r="C323" s="6" t="s">
        <v>18</v>
      </c>
      <c r="D323" s="21" t="s">
        <v>40</v>
      </c>
      <c r="E323" s="98" t="s">
        <v>573</v>
      </c>
      <c r="F323" s="298" t="s">
        <v>190</v>
      </c>
      <c r="G323" s="12" t="s">
        <v>0</v>
      </c>
      <c r="H323" s="36"/>
      <c r="I323" s="225">
        <v>0</v>
      </c>
      <c r="J323" s="36">
        <f t="shared" si="86"/>
        <v>0</v>
      </c>
      <c r="K323" s="225">
        <f t="shared" si="95"/>
        <v>83.14</v>
      </c>
      <c r="L323" s="154">
        <f>K323*J617</f>
        <v>0</v>
      </c>
      <c r="M323" s="86" t="s">
        <v>149</v>
      </c>
      <c r="N323" s="109"/>
      <c r="O323" s="36"/>
      <c r="P323" s="344">
        <f t="shared" si="93"/>
        <v>0</v>
      </c>
      <c r="Q323" s="159" t="str">
        <f t="shared" si="96"/>
        <v>К47х8(12)х14,5</v>
      </c>
      <c r="R323" s="288">
        <f t="shared" si="94"/>
        <v>116.4</v>
      </c>
      <c r="S323" s="235">
        <v>97</v>
      </c>
      <c r="T323" s="268">
        <f t="shared" si="92"/>
        <v>0</v>
      </c>
      <c r="U323" s="115">
        <v>15</v>
      </c>
      <c r="V323" s="18">
        <f t="shared" si="89"/>
        <v>0</v>
      </c>
      <c r="W323" s="49">
        <f t="shared" si="90"/>
        <v>0</v>
      </c>
      <c r="X323" s="16">
        <v>15</v>
      </c>
    </row>
    <row r="324" spans="2:24" ht="26.25" hidden="1" customHeight="1" x14ac:dyDescent="0.25">
      <c r="B324" s="11"/>
      <c r="C324" s="6" t="s">
        <v>18</v>
      </c>
      <c r="D324" s="21" t="s">
        <v>40</v>
      </c>
      <c r="E324" s="99" t="s">
        <v>302</v>
      </c>
      <c r="F324" s="297"/>
      <c r="G324" s="12" t="s">
        <v>0</v>
      </c>
      <c r="H324" s="36"/>
      <c r="I324" s="225">
        <v>0</v>
      </c>
      <c r="J324" s="36">
        <f t="shared" si="86"/>
        <v>0</v>
      </c>
      <c r="K324" s="225">
        <f t="shared" si="95"/>
        <v>0</v>
      </c>
      <c r="L324" s="154"/>
      <c r="M324" s="86"/>
      <c r="N324" s="109"/>
      <c r="O324" s="36"/>
      <c r="P324" s="225">
        <f t="shared" si="93"/>
        <v>0</v>
      </c>
      <c r="Q324" s="159" t="str">
        <f t="shared" si="96"/>
        <v>К47х20х15</v>
      </c>
      <c r="R324" s="288">
        <f t="shared" si="94"/>
        <v>0</v>
      </c>
      <c r="S324" s="235">
        <v>0</v>
      </c>
      <c r="T324" s="268">
        <f t="shared" si="92"/>
        <v>0</v>
      </c>
      <c r="U324" s="66">
        <v>10</v>
      </c>
      <c r="V324" s="18">
        <f t="shared" si="89"/>
        <v>0</v>
      </c>
      <c r="W324" s="49">
        <f t="shared" si="90"/>
        <v>0</v>
      </c>
      <c r="X324" s="18">
        <v>10</v>
      </c>
    </row>
    <row r="325" spans="2:24" ht="26.25" hidden="1" customHeight="1" x14ac:dyDescent="0.25">
      <c r="B325" s="11"/>
      <c r="C325" s="6" t="s">
        <v>18</v>
      </c>
      <c r="D325" s="21" t="s">
        <v>40</v>
      </c>
      <c r="E325" s="99" t="s">
        <v>668</v>
      </c>
      <c r="F325" s="297">
        <v>384</v>
      </c>
      <c r="G325" s="12" t="s">
        <v>0</v>
      </c>
      <c r="H325" s="36"/>
      <c r="I325" s="225">
        <v>0</v>
      </c>
      <c r="J325" s="36">
        <f t="shared" si="86"/>
        <v>0</v>
      </c>
      <c r="K325" s="225">
        <f t="shared" si="95"/>
        <v>75.430000000000007</v>
      </c>
      <c r="L325" s="154"/>
      <c r="M325" s="60"/>
      <c r="N325" s="109"/>
      <c r="O325" s="36"/>
      <c r="P325" s="225">
        <f t="shared" si="93"/>
        <v>0</v>
      </c>
      <c r="Q325" s="159" t="str">
        <f t="shared" si="96"/>
        <v>К53х23х15</v>
      </c>
      <c r="R325" s="288">
        <f t="shared" si="94"/>
        <v>105.6</v>
      </c>
      <c r="S325" s="235">
        <v>88</v>
      </c>
      <c r="T325" s="268">
        <f t="shared" si="92"/>
        <v>0</v>
      </c>
      <c r="U325" s="66">
        <v>1</v>
      </c>
      <c r="V325" s="18">
        <f t="shared" si="89"/>
        <v>0</v>
      </c>
      <c r="W325" s="49">
        <f t="shared" si="90"/>
        <v>0</v>
      </c>
      <c r="X325" s="18">
        <v>1</v>
      </c>
    </row>
    <row r="326" spans="2:24" ht="26.25" hidden="1" customHeight="1" x14ac:dyDescent="0.25">
      <c r="B326" s="11"/>
      <c r="C326" s="6" t="s">
        <v>18</v>
      </c>
      <c r="D326" s="21" t="s">
        <v>40</v>
      </c>
      <c r="E326" s="99" t="s">
        <v>361</v>
      </c>
      <c r="F326" s="297"/>
      <c r="G326" s="12" t="s">
        <v>0</v>
      </c>
      <c r="H326" s="36"/>
      <c r="I326" s="225">
        <v>0</v>
      </c>
      <c r="J326" s="36">
        <f t="shared" si="86"/>
        <v>0</v>
      </c>
      <c r="K326" s="225">
        <f t="shared" si="95"/>
        <v>0</v>
      </c>
      <c r="L326" s="154"/>
      <c r="M326" s="60"/>
      <c r="N326" s="109"/>
      <c r="O326" s="36"/>
      <c r="P326" s="225">
        <f t="shared" si="93"/>
        <v>0</v>
      </c>
      <c r="Q326" s="159" t="str">
        <f t="shared" si="96"/>
        <v>К60х36х20</v>
      </c>
      <c r="R326" s="288">
        <f t="shared" si="94"/>
        <v>0</v>
      </c>
      <c r="S326" s="235">
        <v>0</v>
      </c>
      <c r="T326" s="268">
        <f t="shared" si="92"/>
        <v>0</v>
      </c>
      <c r="U326" s="116">
        <v>13</v>
      </c>
      <c r="V326" s="18">
        <f t="shared" si="89"/>
        <v>0</v>
      </c>
      <c r="W326" s="49">
        <f t="shared" si="90"/>
        <v>0</v>
      </c>
      <c r="X326" s="18">
        <v>13</v>
      </c>
    </row>
    <row r="327" spans="2:24" ht="26.25" hidden="1" customHeight="1" x14ac:dyDescent="0.25">
      <c r="B327" s="11"/>
      <c r="C327" s="6" t="s">
        <v>18</v>
      </c>
      <c r="D327" s="21" t="s">
        <v>40</v>
      </c>
      <c r="E327" s="99" t="s">
        <v>360</v>
      </c>
      <c r="F327" s="297"/>
      <c r="G327" s="12" t="s">
        <v>0</v>
      </c>
      <c r="H327" s="36"/>
      <c r="I327" s="225">
        <v>0</v>
      </c>
      <c r="J327" s="36">
        <f t="shared" si="86"/>
        <v>0</v>
      </c>
      <c r="K327" s="225">
        <f t="shared" si="95"/>
        <v>0</v>
      </c>
      <c r="L327" s="154"/>
      <c r="M327" s="60"/>
      <c r="N327" s="109"/>
      <c r="O327" s="361"/>
      <c r="P327" s="350">
        <f t="shared" si="93"/>
        <v>0</v>
      </c>
      <c r="Q327" s="184" t="str">
        <f t="shared" si="96"/>
        <v>К80х10х10</v>
      </c>
      <c r="R327" s="288">
        <f t="shared" si="94"/>
        <v>0</v>
      </c>
      <c r="S327" s="235">
        <v>0</v>
      </c>
      <c r="T327" s="268">
        <f t="shared" si="92"/>
        <v>0</v>
      </c>
      <c r="U327" s="66">
        <v>6</v>
      </c>
      <c r="V327" s="18">
        <f t="shared" si="89"/>
        <v>0</v>
      </c>
      <c r="W327" s="49">
        <f t="shared" si="90"/>
        <v>0</v>
      </c>
      <c r="X327" s="18">
        <v>6</v>
      </c>
    </row>
    <row r="328" spans="2:24" ht="26.25" customHeight="1" x14ac:dyDescent="0.25">
      <c r="B328" s="11">
        <v>105</v>
      </c>
      <c r="C328" s="6" t="s">
        <v>18</v>
      </c>
      <c r="D328" s="21" t="s">
        <v>40</v>
      </c>
      <c r="E328" s="99" t="s">
        <v>137</v>
      </c>
      <c r="F328" s="307" t="s">
        <v>59</v>
      </c>
      <c r="G328" s="12" t="s">
        <v>0</v>
      </c>
      <c r="H328" s="36">
        <v>1000</v>
      </c>
      <c r="I328" s="274">
        <v>219.4</v>
      </c>
      <c r="J328" s="36">
        <f t="shared" si="86"/>
        <v>0</v>
      </c>
      <c r="K328" s="225">
        <v>0.22</v>
      </c>
      <c r="L328" s="154">
        <f>K328*J622</f>
        <v>0</v>
      </c>
      <c r="M328" s="170"/>
      <c r="N328" s="110"/>
      <c r="O328" s="36">
        <v>1000</v>
      </c>
      <c r="P328" s="225">
        <v>219.4</v>
      </c>
      <c r="Q328" s="48" t="str">
        <f t="shared" si="96"/>
        <v>П2,5х2,5х2</v>
      </c>
      <c r="R328" s="288">
        <f t="shared" si="94"/>
        <v>0.31</v>
      </c>
      <c r="S328" s="235">
        <v>0.25600000000000001</v>
      </c>
      <c r="T328" s="268">
        <f t="shared" si="92"/>
        <v>0</v>
      </c>
      <c r="U328" s="66">
        <f>3000-2</f>
        <v>2998</v>
      </c>
      <c r="V328" s="18">
        <f t="shared" si="89"/>
        <v>0</v>
      </c>
      <c r="W328" s="49">
        <f t="shared" si="90"/>
        <v>0</v>
      </c>
      <c r="X328" s="18">
        <f>3000-2</f>
        <v>2998</v>
      </c>
    </row>
    <row r="329" spans="2:24" ht="26.25" customHeight="1" thickBot="1" x14ac:dyDescent="0.3">
      <c r="B329" s="11">
        <v>106</v>
      </c>
      <c r="C329" s="6" t="s">
        <v>18</v>
      </c>
      <c r="D329" s="21" t="s">
        <v>40</v>
      </c>
      <c r="E329" s="96" t="s">
        <v>127</v>
      </c>
      <c r="F329" s="135">
        <v>480</v>
      </c>
      <c r="G329" s="12" t="s">
        <v>0</v>
      </c>
      <c r="H329" s="36">
        <v>1100</v>
      </c>
      <c r="I329" s="274">
        <v>770</v>
      </c>
      <c r="J329" s="36">
        <f t="shared" si="86"/>
        <v>1700</v>
      </c>
      <c r="K329" s="225">
        <f t="shared" ref="K329:K341" si="97">R329/1.4</f>
        <v>0.7</v>
      </c>
      <c r="L329" s="154">
        <f>K329*J623</f>
        <v>0</v>
      </c>
      <c r="M329" s="122" t="s">
        <v>701</v>
      </c>
      <c r="N329" s="109">
        <v>800</v>
      </c>
      <c r="O329" s="36">
        <v>2000</v>
      </c>
      <c r="P329" s="225">
        <f t="shared" ref="P329:P341" si="98">K329*O329</f>
        <v>1400</v>
      </c>
      <c r="Q329" s="48" t="str">
        <f t="shared" si="96"/>
        <v>П3х3х4 (ЭПГ 111.022)</v>
      </c>
      <c r="R329" s="223">
        <f t="shared" si="94"/>
        <v>0.98</v>
      </c>
      <c r="S329" s="235">
        <v>0.82</v>
      </c>
      <c r="T329" s="268">
        <f t="shared" si="92"/>
        <v>1394</v>
      </c>
      <c r="U329" s="66">
        <f>15650-1000</f>
        <v>14650</v>
      </c>
      <c r="V329" s="18">
        <f t="shared" si="89"/>
        <v>800</v>
      </c>
      <c r="W329" s="49">
        <f t="shared" si="90"/>
        <v>800</v>
      </c>
      <c r="X329" s="18">
        <f>15650-1000</f>
        <v>14650</v>
      </c>
    </row>
    <row r="330" spans="2:24" ht="26.25" hidden="1" customHeight="1" thickBot="1" x14ac:dyDescent="0.3">
      <c r="B330" s="15"/>
      <c r="C330" s="6" t="s">
        <v>18</v>
      </c>
      <c r="D330" s="21" t="s">
        <v>40</v>
      </c>
      <c r="E330" s="206" t="s">
        <v>497</v>
      </c>
      <c r="F330" s="135">
        <v>1300</v>
      </c>
      <c r="G330" s="45" t="s">
        <v>0</v>
      </c>
      <c r="H330" s="36"/>
      <c r="I330" s="274">
        <v>0</v>
      </c>
      <c r="J330" s="36">
        <f t="shared" ref="J330:J361" si="99">N330+O330-H330</f>
        <v>0</v>
      </c>
      <c r="K330" s="225">
        <f t="shared" si="97"/>
        <v>4.29</v>
      </c>
      <c r="L330" s="154"/>
      <c r="M330" s="124" t="s">
        <v>455</v>
      </c>
      <c r="N330" s="109"/>
      <c r="O330" s="343"/>
      <c r="P330" s="334">
        <f t="shared" si="98"/>
        <v>0</v>
      </c>
      <c r="Q330" s="177" t="str">
        <f t="shared" si="96"/>
        <v>П4х4х3 б/п</v>
      </c>
      <c r="R330" s="288">
        <f t="shared" si="94"/>
        <v>6</v>
      </c>
      <c r="S330" s="242">
        <v>5</v>
      </c>
      <c r="T330" s="268">
        <f t="shared" si="92"/>
        <v>0</v>
      </c>
      <c r="U330" s="66">
        <v>4</v>
      </c>
      <c r="V330" s="18">
        <f t="shared" si="89"/>
        <v>0</v>
      </c>
      <c r="W330" s="49">
        <f t="shared" si="90"/>
        <v>0</v>
      </c>
      <c r="X330" s="18">
        <v>4</v>
      </c>
    </row>
    <row r="331" spans="2:24" ht="26.25" hidden="1" customHeight="1" x14ac:dyDescent="0.25">
      <c r="B331" s="15"/>
      <c r="C331" s="6" t="s">
        <v>18</v>
      </c>
      <c r="D331" s="21" t="s">
        <v>40</v>
      </c>
      <c r="E331" s="206" t="s">
        <v>459</v>
      </c>
      <c r="F331" s="135">
        <v>1301</v>
      </c>
      <c r="G331" s="45" t="s">
        <v>0</v>
      </c>
      <c r="H331" s="36"/>
      <c r="I331" s="225">
        <v>0</v>
      </c>
      <c r="J331" s="36">
        <f t="shared" si="99"/>
        <v>0</v>
      </c>
      <c r="K331" s="225">
        <f t="shared" si="97"/>
        <v>4.29</v>
      </c>
      <c r="L331" s="154"/>
      <c r="M331" s="124" t="s">
        <v>455</v>
      </c>
      <c r="N331" s="109"/>
      <c r="O331" s="36"/>
      <c r="P331" s="350">
        <f t="shared" si="98"/>
        <v>0</v>
      </c>
      <c r="Q331" s="179" t="str">
        <f t="shared" si="96"/>
        <v>П7х6х2,5</v>
      </c>
      <c r="R331" s="288">
        <f t="shared" si="94"/>
        <v>6</v>
      </c>
      <c r="S331" s="242">
        <v>5</v>
      </c>
      <c r="T331" s="268">
        <f t="shared" si="92"/>
        <v>0</v>
      </c>
      <c r="U331" s="66">
        <v>41</v>
      </c>
      <c r="V331" s="18">
        <f t="shared" ref="V331:V362" si="100">N331</f>
        <v>0</v>
      </c>
      <c r="W331" s="49">
        <f t="shared" ref="W331:W362" si="101">X331-U331+V331</f>
        <v>0</v>
      </c>
      <c r="X331" s="18">
        <v>41</v>
      </c>
    </row>
    <row r="332" spans="2:24" ht="26.25" hidden="1" customHeight="1" x14ac:dyDescent="0.25">
      <c r="B332" s="11"/>
      <c r="C332" s="6" t="s">
        <v>18</v>
      </c>
      <c r="D332" s="21" t="s">
        <v>40</v>
      </c>
      <c r="E332" s="96" t="s">
        <v>358</v>
      </c>
      <c r="F332" s="135">
        <v>951</v>
      </c>
      <c r="G332" s="12" t="s">
        <v>0</v>
      </c>
      <c r="H332" s="36"/>
      <c r="I332" s="225">
        <v>0</v>
      </c>
      <c r="J332" s="36">
        <f t="shared" si="99"/>
        <v>0</v>
      </c>
      <c r="K332" s="225">
        <f t="shared" si="97"/>
        <v>0.94</v>
      </c>
      <c r="L332" s="154">
        <f>K332*J626</f>
        <v>0</v>
      </c>
      <c r="M332" s="122" t="s">
        <v>622</v>
      </c>
      <c r="N332" s="109"/>
      <c r="O332" s="36"/>
      <c r="P332" s="225">
        <f t="shared" si="98"/>
        <v>0</v>
      </c>
      <c r="Q332" s="48" t="str">
        <f t="shared" si="96"/>
        <v xml:space="preserve">П3,5х2х4 </v>
      </c>
      <c r="R332" s="288">
        <f t="shared" si="94"/>
        <v>1.32</v>
      </c>
      <c r="S332" s="242">
        <v>1.1000000000000001</v>
      </c>
      <c r="T332" s="268">
        <f t="shared" si="92"/>
        <v>0</v>
      </c>
      <c r="U332" s="66">
        <v>715</v>
      </c>
      <c r="V332" s="18">
        <f t="shared" si="100"/>
        <v>0</v>
      </c>
      <c r="W332" s="49">
        <f t="shared" si="101"/>
        <v>0</v>
      </c>
      <c r="X332" s="18">
        <v>715</v>
      </c>
    </row>
    <row r="333" spans="2:24" ht="26.25" hidden="1" customHeight="1" x14ac:dyDescent="0.25">
      <c r="B333" s="11"/>
      <c r="C333" s="6" t="s">
        <v>18</v>
      </c>
      <c r="D333" s="21" t="s">
        <v>40</v>
      </c>
      <c r="E333" s="96" t="s">
        <v>96</v>
      </c>
      <c r="F333" s="135"/>
      <c r="G333" s="12" t="s">
        <v>0</v>
      </c>
      <c r="H333" s="36"/>
      <c r="I333" s="225">
        <v>0</v>
      </c>
      <c r="J333" s="36">
        <f t="shared" si="99"/>
        <v>0</v>
      </c>
      <c r="K333" s="225">
        <f t="shared" si="97"/>
        <v>0</v>
      </c>
      <c r="L333" s="154"/>
      <c r="M333" s="124"/>
      <c r="N333" s="109"/>
      <c r="O333" s="36"/>
      <c r="P333" s="357">
        <f t="shared" si="98"/>
        <v>0</v>
      </c>
      <c r="Q333" s="185" t="str">
        <f t="shared" si="96"/>
        <v>П3х6х7</v>
      </c>
      <c r="R333" s="288">
        <f t="shared" si="94"/>
        <v>0</v>
      </c>
      <c r="S333" s="246">
        <v>0</v>
      </c>
      <c r="T333" s="268">
        <f t="shared" ref="T333:T338" si="102">S333*J333</f>
        <v>0</v>
      </c>
      <c r="U333" s="66">
        <v>100</v>
      </c>
      <c r="V333" s="18">
        <f t="shared" si="100"/>
        <v>0</v>
      </c>
      <c r="W333" s="49">
        <f t="shared" si="101"/>
        <v>0</v>
      </c>
      <c r="X333" s="18">
        <v>100</v>
      </c>
    </row>
    <row r="334" spans="2:24" ht="26.25" hidden="1" customHeight="1" x14ac:dyDescent="0.25">
      <c r="B334" s="11"/>
      <c r="C334" s="6" t="s">
        <v>18</v>
      </c>
      <c r="D334" s="21" t="s">
        <v>40</v>
      </c>
      <c r="E334" s="98" t="s">
        <v>266</v>
      </c>
      <c r="F334" s="367">
        <v>758</v>
      </c>
      <c r="G334" s="12" t="s">
        <v>0</v>
      </c>
      <c r="H334" s="36"/>
      <c r="I334" s="274">
        <v>0</v>
      </c>
      <c r="J334" s="36">
        <f t="shared" si="99"/>
        <v>0</v>
      </c>
      <c r="K334" s="225">
        <f t="shared" si="97"/>
        <v>7.31</v>
      </c>
      <c r="L334" s="154">
        <f>K334*J628</f>
        <v>0</v>
      </c>
      <c r="M334" s="122" t="s">
        <v>652</v>
      </c>
      <c r="N334" s="109"/>
      <c r="O334" s="361"/>
      <c r="P334" s="350">
        <f t="shared" si="98"/>
        <v>0</v>
      </c>
      <c r="Q334" s="323" t="str">
        <f t="shared" si="96"/>
        <v>П7х7х2,5</v>
      </c>
      <c r="R334" s="223">
        <f t="shared" si="94"/>
        <v>10.24</v>
      </c>
      <c r="S334" s="246">
        <v>8.5299999999999994</v>
      </c>
      <c r="T334" s="268">
        <f t="shared" si="102"/>
        <v>0</v>
      </c>
      <c r="U334" s="66">
        <v>24</v>
      </c>
      <c r="V334" s="18">
        <f t="shared" si="100"/>
        <v>0</v>
      </c>
      <c r="W334" s="49">
        <f t="shared" si="101"/>
        <v>0</v>
      </c>
      <c r="X334" s="18">
        <v>24</v>
      </c>
    </row>
    <row r="335" spans="2:24" ht="26.25" hidden="1" customHeight="1" x14ac:dyDescent="0.25">
      <c r="B335" s="11"/>
      <c r="C335" s="6" t="s">
        <v>18</v>
      </c>
      <c r="D335" s="21" t="s">
        <v>40</v>
      </c>
      <c r="E335" s="98" t="s">
        <v>664</v>
      </c>
      <c r="F335" s="367">
        <v>1437</v>
      </c>
      <c r="G335" s="12" t="s">
        <v>0</v>
      </c>
      <c r="H335" s="36"/>
      <c r="I335" s="225">
        <v>0</v>
      </c>
      <c r="J335" s="36">
        <f t="shared" si="99"/>
        <v>0</v>
      </c>
      <c r="K335" s="225">
        <f t="shared" si="97"/>
        <v>2.57</v>
      </c>
      <c r="L335" s="316">
        <f>K335*J629</f>
        <v>0</v>
      </c>
      <c r="M335" s="158" t="s">
        <v>594</v>
      </c>
      <c r="N335" s="38"/>
      <c r="O335" s="36"/>
      <c r="P335" s="225">
        <f t="shared" si="98"/>
        <v>0</v>
      </c>
      <c r="Q335" s="48" t="str">
        <f t="shared" si="96"/>
        <v>П14х7х2</v>
      </c>
      <c r="R335" s="288">
        <f t="shared" si="94"/>
        <v>3.6</v>
      </c>
      <c r="S335" s="246">
        <v>3</v>
      </c>
      <c r="T335" s="268">
        <f t="shared" si="102"/>
        <v>0</v>
      </c>
      <c r="U335" s="66">
        <v>20</v>
      </c>
      <c r="V335" s="18">
        <f t="shared" si="100"/>
        <v>0</v>
      </c>
      <c r="W335" s="49">
        <f t="shared" si="101"/>
        <v>0</v>
      </c>
      <c r="X335" s="18">
        <v>20</v>
      </c>
    </row>
    <row r="336" spans="2:24" ht="26.25" hidden="1" customHeight="1" x14ac:dyDescent="0.25">
      <c r="B336" s="11"/>
      <c r="C336" s="6" t="s">
        <v>18</v>
      </c>
      <c r="D336" s="21" t="s">
        <v>40</v>
      </c>
      <c r="E336" s="98" t="s">
        <v>348</v>
      </c>
      <c r="F336" s="137">
        <v>1169</v>
      </c>
      <c r="G336" s="12" t="s">
        <v>0</v>
      </c>
      <c r="H336" s="36"/>
      <c r="I336" s="225">
        <v>0</v>
      </c>
      <c r="J336" s="36">
        <f t="shared" si="99"/>
        <v>0</v>
      </c>
      <c r="K336" s="225">
        <f t="shared" si="97"/>
        <v>0.04</v>
      </c>
      <c r="L336" s="154">
        <f>K336*J630</f>
        <v>0</v>
      </c>
      <c r="M336" s="93" t="s">
        <v>356</v>
      </c>
      <c r="N336" s="38"/>
      <c r="O336" s="343"/>
      <c r="P336" s="344">
        <f t="shared" si="98"/>
        <v>0</v>
      </c>
      <c r="Q336" s="183" t="str">
        <f t="shared" si="96"/>
        <v>П8х3х0,7</v>
      </c>
      <c r="R336" s="288">
        <f t="shared" si="94"/>
        <v>0.05</v>
      </c>
      <c r="S336" s="255">
        <v>0.04</v>
      </c>
      <c r="T336" s="268">
        <f t="shared" si="102"/>
        <v>0</v>
      </c>
      <c r="U336" s="320">
        <f>46500-1000</f>
        <v>45500</v>
      </c>
      <c r="V336" s="18">
        <f t="shared" si="100"/>
        <v>0</v>
      </c>
      <c r="W336" s="49">
        <f t="shared" si="101"/>
        <v>0</v>
      </c>
      <c r="X336" s="16">
        <f>46500-1000</f>
        <v>45500</v>
      </c>
    </row>
    <row r="337" spans="1:40" ht="26.25" hidden="1" customHeight="1" thickBot="1" x14ac:dyDescent="0.3">
      <c r="B337" s="17"/>
      <c r="C337" s="6" t="s">
        <v>18</v>
      </c>
      <c r="D337" s="21" t="s">
        <v>40</v>
      </c>
      <c r="E337" s="98" t="s">
        <v>194</v>
      </c>
      <c r="F337" s="298" t="s">
        <v>329</v>
      </c>
      <c r="G337" s="12" t="s">
        <v>0</v>
      </c>
      <c r="H337" s="36"/>
      <c r="I337" s="225">
        <v>0</v>
      </c>
      <c r="J337" s="36">
        <f t="shared" si="99"/>
        <v>0</v>
      </c>
      <c r="K337" s="225">
        <f t="shared" si="97"/>
        <v>4.24</v>
      </c>
      <c r="L337" s="154">
        <f>K337*J631</f>
        <v>0</v>
      </c>
      <c r="M337" s="95" t="s">
        <v>321</v>
      </c>
      <c r="N337" s="109"/>
      <c r="O337" s="36"/>
      <c r="P337" s="350">
        <f t="shared" si="98"/>
        <v>0</v>
      </c>
      <c r="Q337" s="184" t="str">
        <f t="shared" si="96"/>
        <v>П8,5х8,5х13</v>
      </c>
      <c r="R337" s="288">
        <f t="shared" si="94"/>
        <v>5.94</v>
      </c>
      <c r="S337" s="235">
        <v>4.95</v>
      </c>
      <c r="T337" s="268">
        <f t="shared" si="102"/>
        <v>0</v>
      </c>
      <c r="U337" s="66">
        <f>3*420+74-20-1</f>
        <v>1313</v>
      </c>
      <c r="V337" s="18">
        <f t="shared" si="100"/>
        <v>0</v>
      </c>
      <c r="W337" s="49">
        <f t="shared" si="101"/>
        <v>0</v>
      </c>
      <c r="X337" s="18">
        <f>3*420+74-20-1</f>
        <v>1313</v>
      </c>
    </row>
    <row r="338" spans="1:40" ht="26.25" customHeight="1" thickBot="1" x14ac:dyDescent="0.3">
      <c r="B338" s="17">
        <v>107</v>
      </c>
      <c r="C338" s="6" t="s">
        <v>18</v>
      </c>
      <c r="D338" s="21" t="s">
        <v>40</v>
      </c>
      <c r="E338" s="96" t="s">
        <v>77</v>
      </c>
      <c r="F338" s="135">
        <v>474</v>
      </c>
      <c r="G338" s="12" t="s">
        <v>0</v>
      </c>
      <c r="H338" s="36"/>
      <c r="I338" s="274">
        <v>0</v>
      </c>
      <c r="J338" s="36">
        <f t="shared" si="99"/>
        <v>150</v>
      </c>
      <c r="K338" s="225">
        <f t="shared" si="97"/>
        <v>4.24</v>
      </c>
      <c r="L338" s="154">
        <f>K338*J632</f>
        <v>0</v>
      </c>
      <c r="M338" s="122" t="s">
        <v>653</v>
      </c>
      <c r="N338" s="109">
        <v>150</v>
      </c>
      <c r="O338" s="353"/>
      <c r="P338" s="225">
        <f t="shared" si="98"/>
        <v>0</v>
      </c>
      <c r="Q338" s="186" t="str">
        <f t="shared" si="96"/>
        <v>П8,5х13х8,5</v>
      </c>
      <c r="R338" s="223">
        <f t="shared" si="94"/>
        <v>5.94</v>
      </c>
      <c r="S338" s="242">
        <v>4.95</v>
      </c>
      <c r="T338" s="268">
        <f t="shared" si="102"/>
        <v>742.5</v>
      </c>
      <c r="U338" s="116">
        <v>1014</v>
      </c>
      <c r="V338" s="18">
        <f t="shared" si="100"/>
        <v>150</v>
      </c>
      <c r="W338" s="49">
        <f t="shared" si="101"/>
        <v>150</v>
      </c>
      <c r="X338" s="18">
        <v>1014</v>
      </c>
    </row>
    <row r="339" spans="1:40" ht="26.25" hidden="1" customHeight="1" x14ac:dyDescent="0.25">
      <c r="B339" s="17"/>
      <c r="C339" s="6" t="s">
        <v>18</v>
      </c>
      <c r="D339" s="21" t="s">
        <v>40</v>
      </c>
      <c r="E339" s="96" t="s">
        <v>304</v>
      </c>
      <c r="F339" s="135">
        <v>1108</v>
      </c>
      <c r="G339" s="45"/>
      <c r="H339" s="36"/>
      <c r="I339" s="225">
        <v>0</v>
      </c>
      <c r="J339" s="36">
        <f t="shared" si="99"/>
        <v>0</v>
      </c>
      <c r="K339" s="225">
        <f t="shared" si="97"/>
        <v>0.09</v>
      </c>
      <c r="L339" s="154"/>
      <c r="M339" s="103"/>
      <c r="N339" s="109"/>
      <c r="O339" s="36"/>
      <c r="P339" s="344">
        <f t="shared" si="98"/>
        <v>0</v>
      </c>
      <c r="Q339" s="183" t="str">
        <f t="shared" si="96"/>
        <v>П10х4х1</v>
      </c>
      <c r="R339" s="288">
        <f t="shared" si="94"/>
        <v>0.12</v>
      </c>
      <c r="S339" s="235">
        <v>0.1</v>
      </c>
      <c r="T339" s="268">
        <f t="shared" ref="T339:T370" si="103">S339*J339</f>
        <v>0</v>
      </c>
      <c r="U339" s="66">
        <f>7500-60</f>
        <v>7440</v>
      </c>
      <c r="V339" s="18">
        <f t="shared" si="100"/>
        <v>0</v>
      </c>
      <c r="W339" s="49">
        <f t="shared" si="101"/>
        <v>0</v>
      </c>
      <c r="X339" s="18">
        <f>7500-60</f>
        <v>7440</v>
      </c>
    </row>
    <row r="340" spans="1:40" ht="26.25" hidden="1" customHeight="1" x14ac:dyDescent="0.25">
      <c r="B340" s="17"/>
      <c r="C340" s="6" t="s">
        <v>18</v>
      </c>
      <c r="D340" s="21" t="s">
        <v>40</v>
      </c>
      <c r="E340" s="96" t="s">
        <v>353</v>
      </c>
      <c r="F340" s="135"/>
      <c r="G340" s="45"/>
      <c r="H340" s="36"/>
      <c r="I340" s="225">
        <v>0</v>
      </c>
      <c r="J340" s="36">
        <f t="shared" si="99"/>
        <v>0</v>
      </c>
      <c r="K340" s="225">
        <f t="shared" si="97"/>
        <v>0</v>
      </c>
      <c r="L340" s="154"/>
      <c r="M340" s="103"/>
      <c r="N340" s="109"/>
      <c r="O340" s="36"/>
      <c r="P340" s="225">
        <f t="shared" si="98"/>
        <v>0</v>
      </c>
      <c r="Q340" s="159" t="str">
        <f t="shared" si="96"/>
        <v>П10х10х0,5</v>
      </c>
      <c r="R340" s="288">
        <f t="shared" si="94"/>
        <v>0</v>
      </c>
      <c r="S340" s="235">
        <v>0</v>
      </c>
      <c r="T340" s="268">
        <f t="shared" si="103"/>
        <v>0</v>
      </c>
      <c r="U340" s="18">
        <v>192</v>
      </c>
      <c r="V340" s="18">
        <f t="shared" si="100"/>
        <v>0</v>
      </c>
      <c r="W340" s="49">
        <f t="shared" si="101"/>
        <v>0</v>
      </c>
      <c r="X340" s="18">
        <v>192</v>
      </c>
    </row>
    <row r="341" spans="1:40" ht="26.25" hidden="1" customHeight="1" x14ac:dyDescent="0.25">
      <c r="B341" s="15"/>
      <c r="C341" s="6" t="s">
        <v>18</v>
      </c>
      <c r="D341" s="21" t="s">
        <v>40</v>
      </c>
      <c r="E341" s="99" t="s">
        <v>99</v>
      </c>
      <c r="F341" s="135">
        <v>588</v>
      </c>
      <c r="G341" s="45"/>
      <c r="H341" s="36"/>
      <c r="I341" s="274">
        <v>0</v>
      </c>
      <c r="J341" s="36">
        <f t="shared" si="99"/>
        <v>0</v>
      </c>
      <c r="K341" s="225">
        <f t="shared" si="97"/>
        <v>2.61</v>
      </c>
      <c r="L341" s="154">
        <f>K341*J635</f>
        <v>0</v>
      </c>
      <c r="M341" s="277" t="s">
        <v>406</v>
      </c>
      <c r="N341" s="109"/>
      <c r="O341" s="361"/>
      <c r="P341" s="335">
        <f t="shared" si="98"/>
        <v>0</v>
      </c>
      <c r="Q341" s="184" t="str">
        <f t="shared" si="96"/>
        <v>П10х10х7</v>
      </c>
      <c r="R341" s="288">
        <f t="shared" si="94"/>
        <v>3.66</v>
      </c>
      <c r="S341" s="255">
        <v>3.05</v>
      </c>
      <c r="T341" s="268">
        <f t="shared" si="103"/>
        <v>0</v>
      </c>
      <c r="U341" s="66">
        <v>10</v>
      </c>
      <c r="V341" s="18">
        <f t="shared" si="100"/>
        <v>0</v>
      </c>
      <c r="W341" s="49">
        <f t="shared" si="101"/>
        <v>0</v>
      </c>
      <c r="X341" s="18">
        <v>10</v>
      </c>
    </row>
    <row r="342" spans="1:40" ht="26.25" hidden="1" customHeight="1" x14ac:dyDescent="0.25">
      <c r="B342" s="17"/>
      <c r="C342" s="6" t="s">
        <v>18</v>
      </c>
      <c r="D342" s="21" t="s">
        <v>40</v>
      </c>
      <c r="E342" s="99" t="s">
        <v>333</v>
      </c>
      <c r="F342" s="135">
        <v>567</v>
      </c>
      <c r="G342" s="45"/>
      <c r="H342" s="36"/>
      <c r="I342" s="274"/>
      <c r="J342" s="36">
        <f t="shared" si="99"/>
        <v>0</v>
      </c>
      <c r="K342" s="225">
        <v>1.53</v>
      </c>
      <c r="L342" s="154"/>
      <c r="M342" s="121" t="s">
        <v>702</v>
      </c>
      <c r="N342" s="109"/>
      <c r="O342" s="36"/>
      <c r="P342" s="225"/>
      <c r="Q342" s="48" t="str">
        <f t="shared" si="96"/>
        <v>П14х7х2,5 для Рифтека</v>
      </c>
      <c r="R342" s="288">
        <f t="shared" si="94"/>
        <v>2.2799999999999998</v>
      </c>
      <c r="S342" s="235">
        <v>1.9</v>
      </c>
      <c r="T342" s="268">
        <f t="shared" si="103"/>
        <v>0</v>
      </c>
      <c r="U342" s="66">
        <f>852-200+1000</f>
        <v>1652</v>
      </c>
      <c r="V342" s="18">
        <f t="shared" si="100"/>
        <v>0</v>
      </c>
      <c r="W342" s="49">
        <f t="shared" si="101"/>
        <v>0</v>
      </c>
      <c r="X342" s="18">
        <f>852-200+1000</f>
        <v>1652</v>
      </c>
    </row>
    <row r="343" spans="1:40" ht="26.25" customHeight="1" x14ac:dyDescent="0.25">
      <c r="B343" s="11">
        <v>108</v>
      </c>
      <c r="C343" s="6" t="s">
        <v>18</v>
      </c>
      <c r="D343" s="21" t="s">
        <v>40</v>
      </c>
      <c r="E343" s="99" t="s">
        <v>421</v>
      </c>
      <c r="F343" s="135">
        <v>588</v>
      </c>
      <c r="G343" s="12" t="s">
        <v>0</v>
      </c>
      <c r="H343" s="36">
        <v>212</v>
      </c>
      <c r="I343" s="274">
        <v>610.74</v>
      </c>
      <c r="J343" s="36">
        <f t="shared" si="99"/>
        <v>788</v>
      </c>
      <c r="K343" s="225">
        <f t="shared" ref="K343:K367" si="104">R343/1.4</f>
        <v>1.63</v>
      </c>
      <c r="L343" s="154">
        <f>K343*J637</f>
        <v>0</v>
      </c>
      <c r="M343" s="280"/>
      <c r="N343" s="110"/>
      <c r="O343" s="36">
        <v>1000</v>
      </c>
      <c r="P343" s="344">
        <v>610.74</v>
      </c>
      <c r="Q343" s="183" t="str">
        <f t="shared" si="96"/>
        <v>П14х7х2,4</v>
      </c>
      <c r="R343" s="288">
        <f t="shared" ref="R343:R374" si="105">S343*1.2</f>
        <v>2.2799999999999998</v>
      </c>
      <c r="S343" s="242">
        <v>1.9</v>
      </c>
      <c r="T343" s="268">
        <f t="shared" si="103"/>
        <v>1497.2</v>
      </c>
      <c r="U343" s="320">
        <v>808</v>
      </c>
      <c r="V343" s="18">
        <f t="shared" si="100"/>
        <v>0</v>
      </c>
      <c r="W343" s="49">
        <f t="shared" si="101"/>
        <v>0</v>
      </c>
      <c r="X343" s="16">
        <v>808</v>
      </c>
    </row>
    <row r="344" spans="1:40" ht="26.25" hidden="1" customHeight="1" thickBot="1" x14ac:dyDescent="0.3">
      <c r="B344" s="17"/>
      <c r="C344" s="6" t="s">
        <v>18</v>
      </c>
      <c r="D344" s="21" t="s">
        <v>40</v>
      </c>
      <c r="E344" s="99" t="s">
        <v>661</v>
      </c>
      <c r="F344" s="135">
        <v>1437</v>
      </c>
      <c r="G344" s="45" t="s">
        <v>0</v>
      </c>
      <c r="H344" s="36"/>
      <c r="I344" s="274">
        <v>0</v>
      </c>
      <c r="J344" s="36">
        <f t="shared" si="99"/>
        <v>0</v>
      </c>
      <c r="K344" s="225">
        <f t="shared" si="104"/>
        <v>2.57</v>
      </c>
      <c r="L344" s="154"/>
      <c r="M344" s="122" t="s">
        <v>623</v>
      </c>
      <c r="N344" s="110"/>
      <c r="O344" s="36"/>
      <c r="P344" s="334">
        <f t="shared" ref="P344:P376" si="106">K344*O344</f>
        <v>0</v>
      </c>
      <c r="Q344" s="177" t="str">
        <f t="shared" si="96"/>
        <v>П20х8х3</v>
      </c>
      <c r="R344" s="288">
        <f t="shared" si="105"/>
        <v>3.6</v>
      </c>
      <c r="S344" s="242">
        <v>3</v>
      </c>
      <c r="T344" s="268">
        <f t="shared" si="103"/>
        <v>0</v>
      </c>
      <c r="U344" s="115">
        <v>100</v>
      </c>
      <c r="V344" s="18">
        <f t="shared" si="100"/>
        <v>0</v>
      </c>
      <c r="W344" s="49">
        <f t="shared" si="101"/>
        <v>0</v>
      </c>
      <c r="X344" s="16">
        <v>100</v>
      </c>
    </row>
    <row r="345" spans="1:40" s="4" customFormat="1" ht="26.25" hidden="1" customHeight="1" x14ac:dyDescent="0.25">
      <c r="A345" s="10"/>
      <c r="B345" s="14"/>
      <c r="C345" s="6" t="s">
        <v>18</v>
      </c>
      <c r="D345" s="21" t="s">
        <v>40</v>
      </c>
      <c r="E345" s="99" t="s">
        <v>585</v>
      </c>
      <c r="F345" s="135">
        <v>892</v>
      </c>
      <c r="G345" s="14" t="s">
        <v>0</v>
      </c>
      <c r="H345" s="36"/>
      <c r="I345" s="225">
        <v>0</v>
      </c>
      <c r="J345" s="36">
        <f t="shared" si="99"/>
        <v>0</v>
      </c>
      <c r="K345" s="225">
        <f t="shared" si="104"/>
        <v>1.03</v>
      </c>
      <c r="L345" s="154">
        <f>K345*J639</f>
        <v>0</v>
      </c>
      <c r="M345" s="68" t="s">
        <v>257</v>
      </c>
      <c r="N345" s="109"/>
      <c r="O345" s="36"/>
      <c r="P345" s="225">
        <f t="shared" si="106"/>
        <v>0</v>
      </c>
      <c r="Q345" s="183" t="str">
        <f t="shared" si="96"/>
        <v>П20х20х5</v>
      </c>
      <c r="R345" s="288">
        <f t="shared" si="105"/>
        <v>1.44</v>
      </c>
      <c r="S345" s="242">
        <v>1.2</v>
      </c>
      <c r="T345" s="268">
        <f t="shared" si="103"/>
        <v>0</v>
      </c>
      <c r="U345" s="320">
        <v>25</v>
      </c>
      <c r="V345" s="18">
        <f t="shared" si="100"/>
        <v>0</v>
      </c>
      <c r="W345" s="49">
        <f t="shared" si="101"/>
        <v>0</v>
      </c>
      <c r="X345" s="16">
        <v>25</v>
      </c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</row>
    <row r="346" spans="1:40" ht="26.25" hidden="1" customHeight="1" x14ac:dyDescent="0.25">
      <c r="B346" s="15"/>
      <c r="C346" s="6" t="s">
        <v>18</v>
      </c>
      <c r="D346" s="21" t="s">
        <v>40</v>
      </c>
      <c r="E346" s="96" t="s">
        <v>148</v>
      </c>
      <c r="F346" s="298"/>
      <c r="G346" s="17"/>
      <c r="H346" s="36"/>
      <c r="I346" s="225">
        <v>0</v>
      </c>
      <c r="J346" s="36">
        <f t="shared" si="99"/>
        <v>0</v>
      </c>
      <c r="K346" s="225">
        <f t="shared" si="104"/>
        <v>0</v>
      </c>
      <c r="L346" s="154">
        <f>K346*J640</f>
        <v>0</v>
      </c>
      <c r="M346" s="86"/>
      <c r="N346" s="109"/>
      <c r="O346" s="36"/>
      <c r="P346" s="225">
        <f t="shared" si="106"/>
        <v>0</v>
      </c>
      <c r="Q346" s="159" t="str">
        <f t="shared" si="96"/>
        <v>П17х6х2</v>
      </c>
      <c r="R346" s="288">
        <f t="shared" si="105"/>
        <v>0</v>
      </c>
      <c r="S346" s="237">
        <v>0</v>
      </c>
      <c r="T346" s="268">
        <f t="shared" si="103"/>
        <v>0</v>
      </c>
      <c r="U346" s="320">
        <v>880</v>
      </c>
      <c r="V346" s="18">
        <f t="shared" si="100"/>
        <v>0</v>
      </c>
      <c r="W346" s="49">
        <f t="shared" si="101"/>
        <v>0</v>
      </c>
      <c r="X346" s="16">
        <v>880</v>
      </c>
    </row>
    <row r="347" spans="1:40" ht="26.25" hidden="1" customHeight="1" x14ac:dyDescent="0.25">
      <c r="B347" s="15"/>
      <c r="C347" s="6" t="s">
        <v>18</v>
      </c>
      <c r="D347" s="21" t="s">
        <v>40</v>
      </c>
      <c r="E347" s="96" t="s">
        <v>382</v>
      </c>
      <c r="F347" s="298" t="s">
        <v>385</v>
      </c>
      <c r="G347" s="17"/>
      <c r="H347" s="36"/>
      <c r="I347" s="225">
        <v>0</v>
      </c>
      <c r="J347" s="36">
        <f t="shared" si="99"/>
        <v>0</v>
      </c>
      <c r="K347" s="225">
        <f t="shared" si="104"/>
        <v>1.04</v>
      </c>
      <c r="L347" s="154"/>
      <c r="M347" s="86"/>
      <c r="N347" s="109"/>
      <c r="O347" s="36"/>
      <c r="P347" s="225">
        <f t="shared" si="106"/>
        <v>0</v>
      </c>
      <c r="Q347" s="159" t="str">
        <f t="shared" si="96"/>
        <v>П20х5х2</v>
      </c>
      <c r="R347" s="288">
        <f t="shared" si="105"/>
        <v>1.45</v>
      </c>
      <c r="S347" s="236">
        <v>1.21</v>
      </c>
      <c r="T347" s="268">
        <f t="shared" si="103"/>
        <v>0</v>
      </c>
      <c r="U347" s="320">
        <v>24</v>
      </c>
      <c r="V347" s="18">
        <f t="shared" si="100"/>
        <v>0</v>
      </c>
      <c r="W347" s="49">
        <f t="shared" si="101"/>
        <v>0</v>
      </c>
      <c r="X347" s="16">
        <v>24</v>
      </c>
    </row>
    <row r="348" spans="1:40" ht="26.25" hidden="1" customHeight="1" thickBot="1" x14ac:dyDescent="0.3">
      <c r="B348" s="15"/>
      <c r="C348" s="6" t="s">
        <v>18</v>
      </c>
      <c r="D348" s="21" t="s">
        <v>40</v>
      </c>
      <c r="E348" s="96" t="s">
        <v>660</v>
      </c>
      <c r="F348" s="298" t="s">
        <v>386</v>
      </c>
      <c r="G348" s="17"/>
      <c r="H348" s="36"/>
      <c r="I348" s="225">
        <v>0</v>
      </c>
      <c r="J348" s="36">
        <f t="shared" si="99"/>
        <v>0</v>
      </c>
      <c r="K348" s="225">
        <f t="shared" si="104"/>
        <v>1.56</v>
      </c>
      <c r="L348" s="154"/>
      <c r="M348" s="86"/>
      <c r="N348" s="109"/>
      <c r="O348" s="36"/>
      <c r="P348" s="225">
        <f t="shared" si="106"/>
        <v>0</v>
      </c>
      <c r="Q348" s="184" t="str">
        <f t="shared" si="96"/>
        <v>П26х15х4 б/п</v>
      </c>
      <c r="R348" s="288">
        <f t="shared" si="105"/>
        <v>2.19</v>
      </c>
      <c r="S348" s="236">
        <v>1.825</v>
      </c>
      <c r="T348" s="268">
        <f t="shared" si="103"/>
        <v>0</v>
      </c>
      <c r="U348" s="320">
        <v>5</v>
      </c>
      <c r="V348" s="18">
        <f t="shared" si="100"/>
        <v>0</v>
      </c>
      <c r="W348" s="49">
        <f t="shared" si="101"/>
        <v>0</v>
      </c>
      <c r="X348" s="397">
        <v>5</v>
      </c>
    </row>
    <row r="349" spans="1:40" ht="26.25" hidden="1" customHeight="1" x14ac:dyDescent="0.25">
      <c r="B349" s="15"/>
      <c r="C349" s="6" t="s">
        <v>18</v>
      </c>
      <c r="D349" s="21" t="s">
        <v>40</v>
      </c>
      <c r="E349" s="99" t="s">
        <v>246</v>
      </c>
      <c r="F349" s="135">
        <v>541</v>
      </c>
      <c r="G349" s="12" t="s">
        <v>0</v>
      </c>
      <c r="H349" s="36"/>
      <c r="I349" s="225">
        <v>0</v>
      </c>
      <c r="J349" s="36">
        <f t="shared" si="99"/>
        <v>0</v>
      </c>
      <c r="K349" s="225">
        <f t="shared" si="104"/>
        <v>5.14</v>
      </c>
      <c r="L349" s="154"/>
      <c r="M349" s="124" t="s">
        <v>438</v>
      </c>
      <c r="N349" s="109"/>
      <c r="O349" s="36"/>
      <c r="P349" s="225">
        <f t="shared" si="106"/>
        <v>0</v>
      </c>
      <c r="Q349" s="313" t="str">
        <f t="shared" si="96"/>
        <v>П20х10х7,5</v>
      </c>
      <c r="R349" s="288">
        <f t="shared" si="105"/>
        <v>7.2</v>
      </c>
      <c r="S349" s="242">
        <v>6</v>
      </c>
      <c r="T349" s="268">
        <f t="shared" si="103"/>
        <v>0</v>
      </c>
      <c r="U349" s="320">
        <f>240+55</f>
        <v>295</v>
      </c>
      <c r="V349" s="18">
        <f t="shared" si="100"/>
        <v>0</v>
      </c>
      <c r="W349" s="49">
        <f t="shared" si="101"/>
        <v>0</v>
      </c>
      <c r="X349" s="16">
        <f>240+55</f>
        <v>295</v>
      </c>
    </row>
    <row r="350" spans="1:40" ht="26.25" customHeight="1" x14ac:dyDescent="0.25">
      <c r="B350" s="14">
        <v>109</v>
      </c>
      <c r="C350" s="6" t="s">
        <v>18</v>
      </c>
      <c r="D350" s="21" t="s">
        <v>40</v>
      </c>
      <c r="E350" s="99" t="s">
        <v>355</v>
      </c>
      <c r="F350" s="135">
        <v>1123</v>
      </c>
      <c r="G350" s="12" t="s">
        <v>0</v>
      </c>
      <c r="H350" s="36">
        <v>50</v>
      </c>
      <c r="I350" s="274">
        <v>253</v>
      </c>
      <c r="J350" s="36">
        <f t="shared" si="99"/>
        <v>0</v>
      </c>
      <c r="K350" s="225">
        <f t="shared" si="104"/>
        <v>5.0599999999999996</v>
      </c>
      <c r="L350" s="154"/>
      <c r="M350" s="60" t="s">
        <v>703</v>
      </c>
      <c r="N350" s="109"/>
      <c r="O350" s="36">
        <v>50</v>
      </c>
      <c r="P350" s="274">
        <f t="shared" si="106"/>
        <v>253</v>
      </c>
      <c r="Q350" s="48" t="str">
        <f t="shared" si="96"/>
        <v>П20х10х5</v>
      </c>
      <c r="R350" s="288">
        <f t="shared" si="105"/>
        <v>7.08</v>
      </c>
      <c r="S350" s="235">
        <v>5.9</v>
      </c>
      <c r="T350" s="268">
        <f t="shared" si="103"/>
        <v>0</v>
      </c>
      <c r="U350" s="66">
        <v>80</v>
      </c>
      <c r="V350" s="18">
        <f t="shared" si="100"/>
        <v>0</v>
      </c>
      <c r="W350" s="49">
        <f t="shared" si="101"/>
        <v>0</v>
      </c>
      <c r="X350" s="18">
        <v>80</v>
      </c>
    </row>
    <row r="351" spans="1:40" ht="26.25" hidden="1" customHeight="1" x14ac:dyDescent="0.25">
      <c r="B351" s="14"/>
      <c r="C351" s="6" t="s">
        <v>18</v>
      </c>
      <c r="D351" s="21" t="s">
        <v>40</v>
      </c>
      <c r="E351" s="99" t="s">
        <v>303</v>
      </c>
      <c r="F351" s="135"/>
      <c r="G351" s="14"/>
      <c r="H351" s="36"/>
      <c r="I351" s="225">
        <v>0</v>
      </c>
      <c r="J351" s="36">
        <f t="shared" si="99"/>
        <v>0</v>
      </c>
      <c r="K351" s="225">
        <f t="shared" si="104"/>
        <v>0</v>
      </c>
      <c r="L351" s="154"/>
      <c r="M351" s="194"/>
      <c r="N351" s="109"/>
      <c r="O351" s="36"/>
      <c r="P351" s="225">
        <f t="shared" si="106"/>
        <v>0</v>
      </c>
      <c r="Q351" s="183" t="str">
        <f t="shared" si="96"/>
        <v>П18х18х3</v>
      </c>
      <c r="R351" s="288">
        <f t="shared" si="105"/>
        <v>0</v>
      </c>
      <c r="S351" s="235">
        <v>0</v>
      </c>
      <c r="T351" s="268">
        <f t="shared" si="103"/>
        <v>0</v>
      </c>
      <c r="U351" s="66">
        <v>50</v>
      </c>
      <c r="V351" s="18">
        <f t="shared" si="100"/>
        <v>0</v>
      </c>
      <c r="W351" s="49">
        <f t="shared" si="101"/>
        <v>0</v>
      </c>
      <c r="X351" s="18">
        <v>50</v>
      </c>
    </row>
    <row r="352" spans="1:40" ht="26.25" hidden="1" customHeight="1" x14ac:dyDescent="0.25">
      <c r="B352" s="14"/>
      <c r="C352" s="6" t="s">
        <v>18</v>
      </c>
      <c r="D352" s="21" t="s">
        <v>40</v>
      </c>
      <c r="E352" s="99" t="s">
        <v>251</v>
      </c>
      <c r="F352" s="135">
        <v>757</v>
      </c>
      <c r="G352" s="45" t="s">
        <v>0</v>
      </c>
      <c r="H352" s="36"/>
      <c r="I352" s="225">
        <v>0</v>
      </c>
      <c r="J352" s="36">
        <f t="shared" si="99"/>
        <v>0</v>
      </c>
      <c r="K352" s="225">
        <f t="shared" si="104"/>
        <v>4.63</v>
      </c>
      <c r="L352" s="154"/>
      <c r="M352" s="90" t="s">
        <v>625</v>
      </c>
      <c r="N352" s="109"/>
      <c r="O352" s="36"/>
      <c r="P352" s="225">
        <f t="shared" si="106"/>
        <v>0</v>
      </c>
      <c r="Q352" s="184" t="str">
        <f t="shared" si="96"/>
        <v>П26х19х3</v>
      </c>
      <c r="R352" s="288">
        <f t="shared" si="105"/>
        <v>6.48</v>
      </c>
      <c r="S352" s="235">
        <v>5.4</v>
      </c>
      <c r="T352" s="268">
        <f t="shared" si="103"/>
        <v>0</v>
      </c>
      <c r="U352" s="66">
        <v>2</v>
      </c>
      <c r="V352" s="18">
        <f t="shared" si="100"/>
        <v>0</v>
      </c>
      <c r="W352" s="49">
        <f t="shared" si="101"/>
        <v>0</v>
      </c>
      <c r="X352" s="18">
        <v>2</v>
      </c>
    </row>
    <row r="353" spans="1:40" ht="26.25" hidden="1" customHeight="1" x14ac:dyDescent="0.25">
      <c r="B353" s="14"/>
      <c r="C353" s="6" t="s">
        <v>18</v>
      </c>
      <c r="D353" s="21" t="s">
        <v>40</v>
      </c>
      <c r="E353" s="99" t="s">
        <v>629</v>
      </c>
      <c r="F353" s="135">
        <v>1398</v>
      </c>
      <c r="G353" s="45"/>
      <c r="H353" s="36"/>
      <c r="I353" s="274">
        <v>0</v>
      </c>
      <c r="J353" s="36">
        <f t="shared" si="99"/>
        <v>0</v>
      </c>
      <c r="K353" s="225">
        <f t="shared" si="104"/>
        <v>38.57</v>
      </c>
      <c r="L353" s="154"/>
      <c r="M353" s="214" t="s">
        <v>675</v>
      </c>
      <c r="N353" s="109"/>
      <c r="O353" s="36"/>
      <c r="P353" s="274">
        <f t="shared" si="106"/>
        <v>0</v>
      </c>
      <c r="Q353" s="181" t="str">
        <f t="shared" si="96"/>
        <v>П31х35х8</v>
      </c>
      <c r="R353" s="288">
        <f t="shared" si="105"/>
        <v>54</v>
      </c>
      <c r="S353" s="235">
        <v>45</v>
      </c>
      <c r="T353" s="268">
        <f t="shared" si="103"/>
        <v>0</v>
      </c>
      <c r="U353" s="66"/>
      <c r="V353" s="18">
        <f t="shared" si="100"/>
        <v>0</v>
      </c>
      <c r="W353" s="49">
        <f t="shared" si="101"/>
        <v>0</v>
      </c>
      <c r="X353" s="18"/>
    </row>
    <row r="354" spans="1:40" ht="26.25" hidden="1" customHeight="1" x14ac:dyDescent="0.25">
      <c r="B354" s="14"/>
      <c r="C354" s="6" t="s">
        <v>18</v>
      </c>
      <c r="D354" s="21" t="s">
        <v>40</v>
      </c>
      <c r="E354" s="83" t="s">
        <v>656</v>
      </c>
      <c r="F354" s="135">
        <v>1332</v>
      </c>
      <c r="G354" s="45"/>
      <c r="H354" s="36"/>
      <c r="I354" s="274">
        <v>0</v>
      </c>
      <c r="J354" s="36">
        <f t="shared" si="99"/>
        <v>0</v>
      </c>
      <c r="K354" s="225">
        <f t="shared" si="104"/>
        <v>8.14</v>
      </c>
      <c r="L354" s="154"/>
      <c r="M354" s="214" t="s">
        <v>676</v>
      </c>
      <c r="N354" s="109"/>
      <c r="O354" s="36"/>
      <c r="P354" s="274">
        <f t="shared" si="106"/>
        <v>0</v>
      </c>
      <c r="Q354" s="48" t="str">
        <f t="shared" si="96"/>
        <v>К25х5(10)х5</v>
      </c>
      <c r="R354" s="288">
        <f t="shared" si="105"/>
        <v>11.4</v>
      </c>
      <c r="S354" s="235">
        <v>9.5</v>
      </c>
      <c r="T354" s="268">
        <f t="shared" si="103"/>
        <v>0</v>
      </c>
      <c r="U354" s="66">
        <v>3</v>
      </c>
      <c r="V354" s="18">
        <f t="shared" si="100"/>
        <v>0</v>
      </c>
      <c r="W354" s="49">
        <f t="shared" si="101"/>
        <v>0</v>
      </c>
      <c r="X354" s="18">
        <v>3</v>
      </c>
    </row>
    <row r="355" spans="1:40" ht="26.25" hidden="1" customHeight="1" x14ac:dyDescent="0.25">
      <c r="B355" s="14"/>
      <c r="C355" s="6" t="s">
        <v>18</v>
      </c>
      <c r="D355" s="21" t="s">
        <v>40</v>
      </c>
      <c r="E355" s="99" t="s">
        <v>349</v>
      </c>
      <c r="F355" s="135"/>
      <c r="G355" s="14"/>
      <c r="H355" s="36"/>
      <c r="I355" s="225">
        <v>0</v>
      </c>
      <c r="J355" s="36">
        <f t="shared" si="99"/>
        <v>0</v>
      </c>
      <c r="K355" s="225">
        <f t="shared" si="104"/>
        <v>0</v>
      </c>
      <c r="L355" s="154"/>
      <c r="M355" s="194"/>
      <c r="N355" s="109"/>
      <c r="O355" s="36"/>
      <c r="P355" s="225">
        <f t="shared" si="106"/>
        <v>0</v>
      </c>
      <c r="Q355" s="183" t="str">
        <f t="shared" si="96"/>
        <v xml:space="preserve">п30х16х3 R50 </v>
      </c>
      <c r="R355" s="288">
        <f t="shared" si="105"/>
        <v>0</v>
      </c>
      <c r="S355" s="235">
        <v>0</v>
      </c>
      <c r="T355" s="268">
        <f t="shared" si="103"/>
        <v>0</v>
      </c>
      <c r="U355" s="66">
        <v>160</v>
      </c>
      <c r="V355" s="18">
        <f t="shared" si="100"/>
        <v>0</v>
      </c>
      <c r="W355" s="49">
        <f t="shared" si="101"/>
        <v>0</v>
      </c>
      <c r="X355" s="18">
        <v>160</v>
      </c>
    </row>
    <row r="356" spans="1:40" ht="26.25" hidden="1" customHeight="1" x14ac:dyDescent="0.25">
      <c r="B356" s="14"/>
      <c r="C356" s="6" t="s">
        <v>18</v>
      </c>
      <c r="D356" s="21" t="s">
        <v>40</v>
      </c>
      <c r="E356" s="99" t="s">
        <v>383</v>
      </c>
      <c r="F356" s="135"/>
      <c r="G356" s="14"/>
      <c r="H356" s="36"/>
      <c r="I356" s="225">
        <v>0</v>
      </c>
      <c r="J356" s="36">
        <f t="shared" si="99"/>
        <v>0</v>
      </c>
      <c r="K356" s="225">
        <f t="shared" si="104"/>
        <v>0</v>
      </c>
      <c r="L356" s="154"/>
      <c r="M356" s="194"/>
      <c r="N356" s="109"/>
      <c r="O356" s="36"/>
      <c r="P356" s="225">
        <f t="shared" si="106"/>
        <v>0</v>
      </c>
      <c r="Q356" s="159" t="str">
        <f t="shared" si="96"/>
        <v>П5х2х20</v>
      </c>
      <c r="R356" s="288">
        <f t="shared" si="105"/>
        <v>0</v>
      </c>
      <c r="S356" s="255">
        <v>0</v>
      </c>
      <c r="T356" s="268">
        <f t="shared" si="103"/>
        <v>0</v>
      </c>
      <c r="U356" s="66">
        <v>10</v>
      </c>
      <c r="V356" s="18">
        <f t="shared" si="100"/>
        <v>0</v>
      </c>
      <c r="W356" s="49">
        <f t="shared" si="101"/>
        <v>0</v>
      </c>
      <c r="X356" s="18">
        <v>10</v>
      </c>
    </row>
    <row r="357" spans="1:40" ht="26.25" hidden="1" customHeight="1" x14ac:dyDescent="0.25">
      <c r="B357" s="14"/>
      <c r="C357" s="6" t="s">
        <v>18</v>
      </c>
      <c r="D357" s="21" t="s">
        <v>40</v>
      </c>
      <c r="E357" s="1" t="s">
        <v>534</v>
      </c>
      <c r="F357" s="135">
        <v>1207</v>
      </c>
      <c r="G357" s="14"/>
      <c r="H357" s="36"/>
      <c r="I357" s="225">
        <v>0</v>
      </c>
      <c r="J357" s="36">
        <f t="shared" si="99"/>
        <v>0</v>
      </c>
      <c r="K357" s="225">
        <f t="shared" si="104"/>
        <v>34.29</v>
      </c>
      <c r="L357" s="154"/>
      <c r="M357" s="194"/>
      <c r="N357" s="109"/>
      <c r="O357" s="36"/>
      <c r="P357" s="225">
        <f t="shared" si="106"/>
        <v>0</v>
      </c>
      <c r="Q357" s="159" t="str">
        <f t="shared" si="96"/>
        <v>П30х10х4</v>
      </c>
      <c r="R357" s="288">
        <f t="shared" si="105"/>
        <v>48</v>
      </c>
      <c r="S357" s="235">
        <v>40</v>
      </c>
      <c r="T357" s="268">
        <f t="shared" si="103"/>
        <v>0</v>
      </c>
      <c r="U357" s="66">
        <v>73</v>
      </c>
      <c r="V357" s="18">
        <f t="shared" si="100"/>
        <v>0</v>
      </c>
      <c r="W357" s="49">
        <f t="shared" si="101"/>
        <v>0</v>
      </c>
      <c r="X357" s="18">
        <v>73</v>
      </c>
    </row>
    <row r="358" spans="1:40" ht="26.25" hidden="1" customHeight="1" x14ac:dyDescent="0.25">
      <c r="B358" s="14"/>
      <c r="C358" s="6" t="s">
        <v>18</v>
      </c>
      <c r="D358" s="21" t="s">
        <v>40</v>
      </c>
      <c r="E358" s="99" t="s">
        <v>600</v>
      </c>
      <c r="F358" s="135">
        <v>1194</v>
      </c>
      <c r="G358" s="14"/>
      <c r="H358" s="36"/>
      <c r="I358" s="225">
        <v>0</v>
      </c>
      <c r="J358" s="36">
        <f t="shared" si="99"/>
        <v>0</v>
      </c>
      <c r="K358" s="225">
        <f t="shared" si="104"/>
        <v>3.13</v>
      </c>
      <c r="L358" s="154"/>
      <c r="M358" s="194"/>
      <c r="N358" s="109"/>
      <c r="O358" s="36"/>
      <c r="P358" s="225">
        <f t="shared" si="106"/>
        <v>0</v>
      </c>
      <c r="Q358" s="159" t="str">
        <f t="shared" si="96"/>
        <v>П30х16х10</v>
      </c>
      <c r="R358" s="288">
        <f t="shared" si="105"/>
        <v>4.38</v>
      </c>
      <c r="S358" s="235">
        <v>3.65</v>
      </c>
      <c r="T358" s="268">
        <f t="shared" si="103"/>
        <v>0</v>
      </c>
      <c r="U358" s="66">
        <v>9</v>
      </c>
      <c r="V358" s="18">
        <f t="shared" si="100"/>
        <v>0</v>
      </c>
      <c r="W358" s="49">
        <f t="shared" si="101"/>
        <v>0</v>
      </c>
      <c r="X358" s="18">
        <v>9</v>
      </c>
    </row>
    <row r="359" spans="1:40" ht="26.25" hidden="1" customHeight="1" x14ac:dyDescent="0.25">
      <c r="B359" s="14"/>
      <c r="C359" s="6" t="s">
        <v>18</v>
      </c>
      <c r="D359" s="21" t="s">
        <v>40</v>
      </c>
      <c r="E359" s="99" t="s">
        <v>515</v>
      </c>
      <c r="F359" s="135">
        <v>1345</v>
      </c>
      <c r="G359" s="14"/>
      <c r="H359" s="36"/>
      <c r="I359" s="225">
        <v>0</v>
      </c>
      <c r="J359" s="36">
        <f t="shared" si="99"/>
        <v>0</v>
      </c>
      <c r="K359" s="225">
        <f t="shared" si="104"/>
        <v>3</v>
      </c>
      <c r="L359" s="154"/>
      <c r="M359" s="122" t="s">
        <v>523</v>
      </c>
      <c r="N359" s="109"/>
      <c r="O359" s="36"/>
      <c r="P359" s="225">
        <f t="shared" si="106"/>
        <v>0</v>
      </c>
      <c r="Q359" s="159" t="str">
        <f t="shared" si="96"/>
        <v>П25х14х7</v>
      </c>
      <c r="R359" s="288">
        <f t="shared" si="105"/>
        <v>4.2</v>
      </c>
      <c r="S359" s="235">
        <v>3.5</v>
      </c>
      <c r="T359" s="268">
        <f t="shared" si="103"/>
        <v>0</v>
      </c>
      <c r="U359" s="66">
        <f>126*6+29</f>
        <v>785</v>
      </c>
      <c r="V359" s="18">
        <f t="shared" si="100"/>
        <v>0</v>
      </c>
      <c r="W359" s="49">
        <f t="shared" si="101"/>
        <v>0</v>
      </c>
      <c r="X359" s="18">
        <f>126*6+29</f>
        <v>785</v>
      </c>
    </row>
    <row r="360" spans="1:40" ht="26.25" hidden="1" customHeight="1" x14ac:dyDescent="0.25">
      <c r="B360" s="14"/>
      <c r="C360" s="6" t="s">
        <v>18</v>
      </c>
      <c r="D360" s="21" t="s">
        <v>40</v>
      </c>
      <c r="E360" s="99" t="s">
        <v>219</v>
      </c>
      <c r="F360" s="135"/>
      <c r="G360" s="14"/>
      <c r="H360" s="36"/>
      <c r="I360" s="225">
        <v>0</v>
      </c>
      <c r="J360" s="36">
        <f t="shared" si="99"/>
        <v>0</v>
      </c>
      <c r="K360" s="225">
        <f t="shared" si="104"/>
        <v>0</v>
      </c>
      <c r="L360" s="154"/>
      <c r="M360" s="194"/>
      <c r="N360" s="109"/>
      <c r="O360" s="36"/>
      <c r="P360" s="225">
        <f t="shared" si="106"/>
        <v>0</v>
      </c>
      <c r="Q360" s="159" t="str">
        <f t="shared" si="96"/>
        <v>П40х20х10</v>
      </c>
      <c r="R360" s="288">
        <f t="shared" si="105"/>
        <v>0</v>
      </c>
      <c r="S360" s="242">
        <v>0</v>
      </c>
      <c r="T360" s="268">
        <f t="shared" si="103"/>
        <v>0</v>
      </c>
      <c r="U360" s="66">
        <v>60</v>
      </c>
      <c r="V360" s="18">
        <f t="shared" si="100"/>
        <v>0</v>
      </c>
      <c r="W360" s="49">
        <f t="shared" si="101"/>
        <v>0</v>
      </c>
      <c r="X360" s="18">
        <v>60</v>
      </c>
    </row>
    <row r="361" spans="1:40" s="4" customFormat="1" ht="26.25" hidden="1" customHeight="1" x14ac:dyDescent="0.25">
      <c r="A361" s="10"/>
      <c r="B361" s="14"/>
      <c r="C361" s="6" t="s">
        <v>18</v>
      </c>
      <c r="D361" s="21" t="s">
        <v>40</v>
      </c>
      <c r="E361" s="99" t="s">
        <v>551</v>
      </c>
      <c r="F361" s="135"/>
      <c r="G361" s="14"/>
      <c r="H361" s="36"/>
      <c r="I361" s="225">
        <v>0</v>
      </c>
      <c r="J361" s="36">
        <f t="shared" si="99"/>
        <v>0</v>
      </c>
      <c r="K361" s="225">
        <f t="shared" si="104"/>
        <v>0</v>
      </c>
      <c r="L361" s="154"/>
      <c r="M361" s="194"/>
      <c r="N361" s="109"/>
      <c r="O361" s="36"/>
      <c r="P361" s="225">
        <f t="shared" si="106"/>
        <v>0</v>
      </c>
      <c r="Q361" s="159" t="str">
        <f t="shared" si="96"/>
        <v>П25х8х6</v>
      </c>
      <c r="R361" s="288">
        <f t="shared" si="105"/>
        <v>0</v>
      </c>
      <c r="S361" s="235">
        <v>0</v>
      </c>
      <c r="T361" s="268">
        <f t="shared" si="103"/>
        <v>0</v>
      </c>
      <c r="U361" s="66">
        <v>2</v>
      </c>
      <c r="V361" s="18">
        <f t="shared" si="100"/>
        <v>0</v>
      </c>
      <c r="W361" s="49">
        <f t="shared" si="101"/>
        <v>0</v>
      </c>
      <c r="X361" s="18">
        <v>2</v>
      </c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</row>
    <row r="362" spans="1:40" ht="26.25" hidden="1" customHeight="1" x14ac:dyDescent="0.25">
      <c r="B362" s="14"/>
      <c r="C362" s="6" t="s">
        <v>18</v>
      </c>
      <c r="D362" s="21" t="s">
        <v>40</v>
      </c>
      <c r="E362" s="102" t="s">
        <v>311</v>
      </c>
      <c r="F362" s="135">
        <v>912</v>
      </c>
      <c r="G362" s="13" t="s">
        <v>0</v>
      </c>
      <c r="H362" s="36"/>
      <c r="I362" s="225">
        <v>0</v>
      </c>
      <c r="J362" s="36">
        <f t="shared" ref="J362:J379" si="107">N362+O362-H362</f>
        <v>0</v>
      </c>
      <c r="K362" s="225">
        <f t="shared" si="104"/>
        <v>10.29</v>
      </c>
      <c r="L362" s="154"/>
      <c r="M362" s="194"/>
      <c r="N362" s="109"/>
      <c r="O362" s="36"/>
      <c r="P362" s="225">
        <f t="shared" si="106"/>
        <v>0</v>
      </c>
      <c r="Q362" s="159" t="str">
        <f t="shared" si="96"/>
        <v>П31х26х4</v>
      </c>
      <c r="R362" s="288">
        <f t="shared" si="105"/>
        <v>14.4</v>
      </c>
      <c r="S362" s="235">
        <v>12</v>
      </c>
      <c r="T362" s="268">
        <f t="shared" si="103"/>
        <v>0</v>
      </c>
      <c r="U362" s="66">
        <v>18</v>
      </c>
      <c r="V362" s="18">
        <f t="shared" si="100"/>
        <v>0</v>
      </c>
      <c r="W362" s="49">
        <f t="shared" si="101"/>
        <v>0</v>
      </c>
      <c r="X362" s="18">
        <v>18</v>
      </c>
    </row>
    <row r="363" spans="1:40" ht="26.25" hidden="1" customHeight="1" x14ac:dyDescent="0.25">
      <c r="B363" s="14"/>
      <c r="C363" s="6" t="s">
        <v>18</v>
      </c>
      <c r="D363" s="21" t="s">
        <v>40</v>
      </c>
      <c r="E363" s="99" t="s">
        <v>297</v>
      </c>
      <c r="F363" s="135">
        <v>860</v>
      </c>
      <c r="G363" s="14"/>
      <c r="H363" s="36"/>
      <c r="I363" s="225">
        <v>0</v>
      </c>
      <c r="J363" s="36">
        <f t="shared" si="107"/>
        <v>0</v>
      </c>
      <c r="K363" s="225">
        <f t="shared" si="104"/>
        <v>2.83</v>
      </c>
      <c r="L363" s="154">
        <f>K363*J657</f>
        <v>0</v>
      </c>
      <c r="M363" s="194"/>
      <c r="N363" s="109"/>
      <c r="O363" s="36"/>
      <c r="P363" s="225">
        <f t="shared" si="106"/>
        <v>0</v>
      </c>
      <c r="Q363" s="159" t="str">
        <f t="shared" si="96"/>
        <v>П41,5х23х1,5</v>
      </c>
      <c r="R363" s="288">
        <f t="shared" si="105"/>
        <v>3.96</v>
      </c>
      <c r="S363" s="235">
        <v>3.3</v>
      </c>
      <c r="T363" s="268">
        <f t="shared" si="103"/>
        <v>0</v>
      </c>
      <c r="U363" s="66">
        <v>270</v>
      </c>
      <c r="V363" s="18">
        <f t="shared" ref="V363:V379" si="108">N363</f>
        <v>0</v>
      </c>
      <c r="W363" s="49">
        <f t="shared" ref="W363:W374" si="109">X363-U363+V363</f>
        <v>0</v>
      </c>
      <c r="X363" s="18">
        <v>270</v>
      </c>
    </row>
    <row r="364" spans="1:40" ht="26.25" hidden="1" customHeight="1" x14ac:dyDescent="0.25">
      <c r="B364" s="14"/>
      <c r="C364" s="6" t="s">
        <v>18</v>
      </c>
      <c r="D364" s="21" t="s">
        <v>40</v>
      </c>
      <c r="E364" s="99" t="s">
        <v>350</v>
      </c>
      <c r="F364" s="135"/>
      <c r="G364" s="14"/>
      <c r="H364" s="36"/>
      <c r="I364" s="225">
        <v>0</v>
      </c>
      <c r="J364" s="36">
        <f t="shared" si="107"/>
        <v>0</v>
      </c>
      <c r="K364" s="225">
        <f t="shared" si="104"/>
        <v>0</v>
      </c>
      <c r="L364" s="154"/>
      <c r="M364" s="194"/>
      <c r="N364" s="109"/>
      <c r="O364" s="36"/>
      <c r="P364" s="225">
        <f t="shared" si="106"/>
        <v>0</v>
      </c>
      <c r="Q364" s="159" t="str">
        <f t="shared" si="96"/>
        <v>П40х40х2</v>
      </c>
      <c r="R364" s="288">
        <f t="shared" si="105"/>
        <v>0</v>
      </c>
      <c r="S364" s="235">
        <v>0</v>
      </c>
      <c r="T364" s="268">
        <f t="shared" si="103"/>
        <v>0</v>
      </c>
      <c r="U364" s="66">
        <v>110</v>
      </c>
      <c r="V364" s="18">
        <f t="shared" si="108"/>
        <v>0</v>
      </c>
      <c r="W364" s="49">
        <f t="shared" si="109"/>
        <v>0</v>
      </c>
      <c r="X364" s="18">
        <v>110</v>
      </c>
    </row>
    <row r="365" spans="1:40" ht="26.25" hidden="1" customHeight="1" thickBot="1" x14ac:dyDescent="0.3">
      <c r="B365" s="14"/>
      <c r="C365" s="6" t="s">
        <v>18</v>
      </c>
      <c r="D365" s="21" t="s">
        <v>40</v>
      </c>
      <c r="E365" s="99" t="s">
        <v>305</v>
      </c>
      <c r="F365" s="135">
        <v>1393</v>
      </c>
      <c r="G365" s="14"/>
      <c r="H365" s="36"/>
      <c r="I365" s="225">
        <v>0</v>
      </c>
      <c r="J365" s="36">
        <f t="shared" si="107"/>
        <v>0</v>
      </c>
      <c r="K365" s="225">
        <f t="shared" si="104"/>
        <v>6.43</v>
      </c>
      <c r="L365" s="154"/>
      <c r="M365" s="122" t="s">
        <v>624</v>
      </c>
      <c r="N365" s="109"/>
      <c r="O365" s="36"/>
      <c r="P365" s="225">
        <f t="shared" si="106"/>
        <v>0</v>
      </c>
      <c r="Q365" s="184" t="str">
        <f t="shared" si="96"/>
        <v>П30х20х10</v>
      </c>
      <c r="R365" s="288">
        <f t="shared" si="105"/>
        <v>9</v>
      </c>
      <c r="S365" s="235">
        <v>7.5</v>
      </c>
      <c r="T365" s="268">
        <f t="shared" si="103"/>
        <v>0</v>
      </c>
      <c r="U365" s="66">
        <v>29</v>
      </c>
      <c r="V365" s="18">
        <f t="shared" si="108"/>
        <v>0</v>
      </c>
      <c r="W365" s="49">
        <f t="shared" si="109"/>
        <v>0</v>
      </c>
      <c r="X365" s="18">
        <v>29</v>
      </c>
    </row>
    <row r="366" spans="1:40" ht="26.25" hidden="1" customHeight="1" thickBot="1" x14ac:dyDescent="0.3">
      <c r="B366" s="14"/>
      <c r="C366" s="6" t="s">
        <v>18</v>
      </c>
      <c r="D366" s="21" t="s">
        <v>40</v>
      </c>
      <c r="E366" s="99" t="s">
        <v>354</v>
      </c>
      <c r="F366" s="135">
        <v>1257</v>
      </c>
      <c r="G366" s="12" t="s">
        <v>0</v>
      </c>
      <c r="H366" s="36"/>
      <c r="I366" s="225">
        <v>0</v>
      </c>
      <c r="J366" s="36">
        <f t="shared" si="107"/>
        <v>0</v>
      </c>
      <c r="K366" s="225">
        <f t="shared" si="104"/>
        <v>11.06</v>
      </c>
      <c r="L366" s="154">
        <f>K366*J660</f>
        <v>0</v>
      </c>
      <c r="M366" s="124" t="s">
        <v>439</v>
      </c>
      <c r="N366" s="109"/>
      <c r="O366" s="36"/>
      <c r="P366" s="225">
        <f t="shared" si="106"/>
        <v>0</v>
      </c>
      <c r="Q366" s="186" t="str">
        <f t="shared" si="96"/>
        <v>П40х10х10</v>
      </c>
      <c r="R366" s="288">
        <f t="shared" si="105"/>
        <v>15.49</v>
      </c>
      <c r="S366" s="235">
        <v>12.912000000000001</v>
      </c>
      <c r="T366" s="268">
        <f t="shared" si="103"/>
        <v>0</v>
      </c>
      <c r="U366" s="66">
        <v>9</v>
      </c>
      <c r="V366" s="18">
        <f t="shared" si="108"/>
        <v>0</v>
      </c>
      <c r="W366" s="49">
        <f t="shared" si="109"/>
        <v>0</v>
      </c>
      <c r="X366" s="18">
        <v>9</v>
      </c>
    </row>
    <row r="367" spans="1:40" ht="26.25" hidden="1" customHeight="1" x14ac:dyDescent="0.3">
      <c r="B367" s="14"/>
      <c r="C367" s="6" t="s">
        <v>18</v>
      </c>
      <c r="D367" s="21" t="s">
        <v>40</v>
      </c>
      <c r="E367" s="98" t="s">
        <v>338</v>
      </c>
      <c r="F367" s="135">
        <v>1488</v>
      </c>
      <c r="G367" s="14"/>
      <c r="H367" s="36"/>
      <c r="I367" s="225">
        <v>0</v>
      </c>
      <c r="J367" s="36">
        <f t="shared" si="107"/>
        <v>0</v>
      </c>
      <c r="K367" s="225">
        <f t="shared" si="104"/>
        <v>5.14</v>
      </c>
      <c r="L367" s="154"/>
      <c r="M367" s="44" t="s">
        <v>704</v>
      </c>
      <c r="N367" s="109"/>
      <c r="O367" s="36"/>
      <c r="P367" s="225">
        <f t="shared" si="106"/>
        <v>0</v>
      </c>
      <c r="Q367" s="183" t="str">
        <f t="shared" si="96"/>
        <v>П40х10х5</v>
      </c>
      <c r="R367" s="288">
        <f t="shared" si="105"/>
        <v>7.2</v>
      </c>
      <c r="S367" s="235">
        <v>6</v>
      </c>
      <c r="T367" s="268">
        <f t="shared" si="103"/>
        <v>0</v>
      </c>
      <c r="U367" s="321"/>
      <c r="V367" s="18">
        <f t="shared" si="108"/>
        <v>0</v>
      </c>
      <c r="W367" s="49">
        <f t="shared" si="109"/>
        <v>0</v>
      </c>
      <c r="X367" s="70"/>
    </row>
    <row r="368" spans="1:40" ht="26.25" hidden="1" customHeight="1" x14ac:dyDescent="0.25">
      <c r="B368" s="17"/>
      <c r="C368" s="6" t="s">
        <v>18</v>
      </c>
      <c r="D368" s="21" t="s">
        <v>40</v>
      </c>
      <c r="E368" s="98" t="s">
        <v>200</v>
      </c>
      <c r="F368" s="296" t="s">
        <v>216</v>
      </c>
      <c r="G368" s="45" t="s">
        <v>0</v>
      </c>
      <c r="H368" s="36"/>
      <c r="I368" s="274">
        <v>0</v>
      </c>
      <c r="J368" s="36">
        <f t="shared" si="107"/>
        <v>0</v>
      </c>
      <c r="K368" s="225">
        <v>21.43</v>
      </c>
      <c r="L368" s="154">
        <f>K368*J662</f>
        <v>0</v>
      </c>
      <c r="M368" s="277" t="s">
        <v>451</v>
      </c>
      <c r="N368" s="110"/>
      <c r="O368" s="36"/>
      <c r="P368" s="274">
        <f t="shared" si="106"/>
        <v>0</v>
      </c>
      <c r="Q368" s="159" t="str">
        <f t="shared" si="96"/>
        <v>П40х40х8</v>
      </c>
      <c r="R368" s="288">
        <f t="shared" si="105"/>
        <v>30</v>
      </c>
      <c r="S368" s="235">
        <v>25</v>
      </c>
      <c r="T368" s="268">
        <f t="shared" si="103"/>
        <v>0</v>
      </c>
      <c r="U368" s="66">
        <v>7</v>
      </c>
      <c r="V368" s="18">
        <f t="shared" si="108"/>
        <v>0</v>
      </c>
      <c r="W368" s="49">
        <f t="shared" si="109"/>
        <v>0</v>
      </c>
      <c r="X368" s="18">
        <v>7</v>
      </c>
    </row>
    <row r="369" spans="1:24" ht="36" hidden="1" customHeight="1" x14ac:dyDescent="0.25">
      <c r="B369" s="17"/>
      <c r="C369" s="6" t="s">
        <v>18</v>
      </c>
      <c r="D369" s="21" t="s">
        <v>40</v>
      </c>
      <c r="E369" s="80" t="s">
        <v>250</v>
      </c>
      <c r="F369" s="304" t="s">
        <v>254</v>
      </c>
      <c r="G369" s="45" t="s">
        <v>0</v>
      </c>
      <c r="H369" s="36"/>
      <c r="I369" s="225">
        <v>0</v>
      </c>
      <c r="J369" s="36">
        <f t="shared" si="107"/>
        <v>0</v>
      </c>
      <c r="K369" s="225">
        <f t="shared" ref="K369:K387" si="110">R369/1.4</f>
        <v>25.71</v>
      </c>
      <c r="L369" s="154">
        <f>K369*J663</f>
        <v>0</v>
      </c>
      <c r="M369" s="104" t="s">
        <v>255</v>
      </c>
      <c r="N369" s="110"/>
      <c r="O369" s="36"/>
      <c r="P369" s="225">
        <f t="shared" si="106"/>
        <v>0</v>
      </c>
      <c r="Q369" s="159" t="str">
        <f t="shared" si="96"/>
        <v>П40х40х10</v>
      </c>
      <c r="R369" s="288">
        <f t="shared" si="105"/>
        <v>36</v>
      </c>
      <c r="S369" s="255">
        <v>30</v>
      </c>
      <c r="T369" s="268">
        <f t="shared" si="103"/>
        <v>0</v>
      </c>
      <c r="U369" s="66">
        <v>9</v>
      </c>
      <c r="V369" s="18">
        <f t="shared" si="108"/>
        <v>0</v>
      </c>
      <c r="W369" s="49">
        <f t="shared" si="109"/>
        <v>0</v>
      </c>
      <c r="X369" s="18">
        <v>9</v>
      </c>
    </row>
    <row r="370" spans="1:24" s="4" customFormat="1" ht="26.25" hidden="1" customHeight="1" x14ac:dyDescent="0.25">
      <c r="A370" s="10"/>
      <c r="B370" s="17"/>
      <c r="C370" s="6" t="s">
        <v>18</v>
      </c>
      <c r="D370" s="21" t="s">
        <v>40</v>
      </c>
      <c r="E370" s="80" t="s">
        <v>200</v>
      </c>
      <c r="F370" s="304" t="s">
        <v>545</v>
      </c>
      <c r="G370" s="45" t="s">
        <v>0</v>
      </c>
      <c r="H370" s="36"/>
      <c r="I370" s="225">
        <v>0</v>
      </c>
      <c r="J370" s="36">
        <f t="shared" si="107"/>
        <v>0</v>
      </c>
      <c r="K370" s="225">
        <f t="shared" si="110"/>
        <v>43.71</v>
      </c>
      <c r="L370" s="154">
        <f>K370*J664</f>
        <v>0</v>
      </c>
      <c r="M370" s="122" t="s">
        <v>550</v>
      </c>
      <c r="N370" s="110"/>
      <c r="O370" s="36"/>
      <c r="P370" s="225">
        <f t="shared" si="106"/>
        <v>0</v>
      </c>
      <c r="Q370" s="159" t="str">
        <f t="shared" si="96"/>
        <v>П40х40х8</v>
      </c>
      <c r="R370" s="223">
        <f t="shared" si="105"/>
        <v>61.2</v>
      </c>
      <c r="S370" s="235">
        <v>51</v>
      </c>
      <c r="T370" s="268">
        <f t="shared" si="103"/>
        <v>0</v>
      </c>
      <c r="U370" s="66">
        <v>24</v>
      </c>
      <c r="V370" s="18">
        <f t="shared" si="108"/>
        <v>0</v>
      </c>
      <c r="W370" s="49">
        <f t="shared" si="109"/>
        <v>0</v>
      </c>
      <c r="X370" s="18">
        <v>24</v>
      </c>
    </row>
    <row r="371" spans="1:24" ht="26.25" hidden="1" customHeight="1" x14ac:dyDescent="0.25">
      <c r="B371" s="17"/>
      <c r="C371" s="6" t="s">
        <v>18</v>
      </c>
      <c r="D371" s="21" t="s">
        <v>40</v>
      </c>
      <c r="E371" s="98" t="s">
        <v>575</v>
      </c>
      <c r="F371" s="296" t="s">
        <v>198</v>
      </c>
      <c r="G371" s="45" t="s">
        <v>0</v>
      </c>
      <c r="H371" s="36"/>
      <c r="I371" s="225">
        <v>0</v>
      </c>
      <c r="J371" s="36">
        <f t="shared" si="107"/>
        <v>0</v>
      </c>
      <c r="K371" s="225">
        <f t="shared" si="110"/>
        <v>45.43</v>
      </c>
      <c r="L371" s="154">
        <f>K371*J665</f>
        <v>0</v>
      </c>
      <c r="M371" s="68" t="s">
        <v>204</v>
      </c>
      <c r="N371" s="110"/>
      <c r="O371" s="36"/>
      <c r="P371" s="225">
        <f t="shared" si="106"/>
        <v>0</v>
      </c>
      <c r="Q371" s="159" t="str">
        <f t="shared" si="96"/>
        <v>П40х20х20(ЭПГ111.039)с д3,5</v>
      </c>
      <c r="R371" s="223">
        <f t="shared" si="105"/>
        <v>63.6</v>
      </c>
      <c r="S371" s="235">
        <v>53</v>
      </c>
      <c r="T371" s="268">
        <f t="shared" ref="T371:T404" si="111">S371*J371</f>
        <v>0</v>
      </c>
      <c r="U371" s="66">
        <v>94</v>
      </c>
      <c r="V371" s="18">
        <f t="shared" si="108"/>
        <v>0</v>
      </c>
      <c r="W371" s="49">
        <f t="shared" si="109"/>
        <v>0</v>
      </c>
      <c r="X371" s="18">
        <v>94</v>
      </c>
    </row>
    <row r="372" spans="1:24" ht="26.25" hidden="1" customHeight="1" x14ac:dyDescent="0.3">
      <c r="B372" s="17"/>
      <c r="C372" s="6" t="s">
        <v>18</v>
      </c>
      <c r="D372" s="21" t="s">
        <v>40</v>
      </c>
      <c r="E372" s="80" t="s">
        <v>296</v>
      </c>
      <c r="F372" s="296"/>
      <c r="G372" s="45"/>
      <c r="H372" s="36"/>
      <c r="I372" s="225">
        <v>0</v>
      </c>
      <c r="J372" s="36">
        <f t="shared" si="107"/>
        <v>0</v>
      </c>
      <c r="K372" s="225">
        <f t="shared" si="110"/>
        <v>0</v>
      </c>
      <c r="L372" s="154"/>
      <c r="M372" s="68"/>
      <c r="N372" s="110"/>
      <c r="O372" s="36"/>
      <c r="P372" s="225">
        <f t="shared" si="106"/>
        <v>0</v>
      </c>
      <c r="Q372" s="184" t="str">
        <f t="shared" si="96"/>
        <v>П50х30х5</v>
      </c>
      <c r="R372" s="223">
        <f t="shared" si="105"/>
        <v>0</v>
      </c>
      <c r="S372" s="235">
        <v>0</v>
      </c>
      <c r="T372" s="268">
        <f t="shared" si="111"/>
        <v>0</v>
      </c>
      <c r="U372" s="321">
        <v>42</v>
      </c>
      <c r="V372" s="18">
        <f t="shared" si="108"/>
        <v>0</v>
      </c>
      <c r="W372" s="49">
        <f t="shared" si="109"/>
        <v>0</v>
      </c>
      <c r="X372" s="70">
        <v>42</v>
      </c>
    </row>
    <row r="373" spans="1:24" ht="26.25" hidden="1" customHeight="1" x14ac:dyDescent="0.25">
      <c r="B373" s="11"/>
      <c r="C373" s="6" t="s">
        <v>18</v>
      </c>
      <c r="D373" s="21" t="s">
        <v>40</v>
      </c>
      <c r="E373" s="102" t="s">
        <v>312</v>
      </c>
      <c r="F373" s="294" t="s">
        <v>313</v>
      </c>
      <c r="G373" s="13" t="s">
        <v>0</v>
      </c>
      <c r="H373" s="36"/>
      <c r="I373" s="274">
        <v>0</v>
      </c>
      <c r="J373" s="36">
        <f t="shared" si="107"/>
        <v>0</v>
      </c>
      <c r="K373" s="225">
        <f t="shared" si="110"/>
        <v>30</v>
      </c>
      <c r="L373" s="154"/>
      <c r="M373" s="121" t="s">
        <v>705</v>
      </c>
      <c r="N373" s="110"/>
      <c r="O373" s="353"/>
      <c r="P373" s="225">
        <f t="shared" si="106"/>
        <v>0</v>
      </c>
      <c r="Q373" s="159" t="str">
        <f t="shared" si="96"/>
        <v>П50х43х12,5</v>
      </c>
      <c r="R373" s="223">
        <f t="shared" si="105"/>
        <v>42</v>
      </c>
      <c r="S373" s="235">
        <v>35</v>
      </c>
      <c r="T373" s="268">
        <f t="shared" si="111"/>
        <v>0</v>
      </c>
      <c r="U373" s="66">
        <v>39</v>
      </c>
      <c r="V373" s="18">
        <f t="shared" si="108"/>
        <v>0</v>
      </c>
      <c r="W373" s="49">
        <f t="shared" si="109"/>
        <v>0</v>
      </c>
      <c r="X373" s="18">
        <v>39</v>
      </c>
    </row>
    <row r="374" spans="1:24" ht="26.25" hidden="1" customHeight="1" x14ac:dyDescent="0.25">
      <c r="B374" s="11"/>
      <c r="C374" s="6" t="s">
        <v>18</v>
      </c>
      <c r="D374" s="21" t="s">
        <v>40</v>
      </c>
      <c r="E374" s="102" t="s">
        <v>601</v>
      </c>
      <c r="F374" s="296"/>
      <c r="G374" s="13"/>
      <c r="H374" s="36"/>
      <c r="I374" s="274">
        <v>0</v>
      </c>
      <c r="J374" s="36">
        <f t="shared" si="107"/>
        <v>0</v>
      </c>
      <c r="K374" s="225">
        <f t="shared" si="110"/>
        <v>0</v>
      </c>
      <c r="L374" s="154"/>
      <c r="M374" s="280"/>
      <c r="N374" s="110"/>
      <c r="O374" s="353"/>
      <c r="P374" s="225">
        <f t="shared" si="106"/>
        <v>0</v>
      </c>
      <c r="Q374" s="183" t="str">
        <f t="shared" si="96"/>
        <v>П55х16х25</v>
      </c>
      <c r="R374" s="223">
        <f t="shared" si="105"/>
        <v>0</v>
      </c>
      <c r="T374" s="268">
        <f t="shared" si="111"/>
        <v>0</v>
      </c>
      <c r="U374" s="66">
        <v>1</v>
      </c>
      <c r="V374" s="18">
        <f t="shared" si="108"/>
        <v>0</v>
      </c>
      <c r="W374" s="49">
        <f t="shared" si="109"/>
        <v>0</v>
      </c>
      <c r="X374" s="18">
        <v>1</v>
      </c>
    </row>
    <row r="375" spans="1:24" ht="26.25" hidden="1" customHeight="1" x14ac:dyDescent="0.25">
      <c r="B375" s="11"/>
      <c r="C375" s="6" t="s">
        <v>18</v>
      </c>
      <c r="D375" s="21" t="s">
        <v>40</v>
      </c>
      <c r="E375" s="102" t="s">
        <v>602</v>
      </c>
      <c r="F375" s="294" t="s">
        <v>613</v>
      </c>
      <c r="G375" s="13"/>
      <c r="H375" s="36"/>
      <c r="I375" s="274">
        <v>0</v>
      </c>
      <c r="J375" s="36">
        <f t="shared" si="107"/>
        <v>0</v>
      </c>
      <c r="K375" s="225">
        <f t="shared" si="110"/>
        <v>34.29</v>
      </c>
      <c r="L375" s="154"/>
      <c r="M375" s="121" t="s">
        <v>626</v>
      </c>
      <c r="N375" s="110"/>
      <c r="O375" s="353"/>
      <c r="P375" s="225">
        <f t="shared" si="106"/>
        <v>0</v>
      </c>
      <c r="Q375" s="183" t="str">
        <f t="shared" si="96"/>
        <v>П55х18х5</v>
      </c>
      <c r="R375" s="223">
        <f t="shared" ref="R375:R407" si="112">S375*1.2</f>
        <v>48</v>
      </c>
      <c r="S375" s="235">
        <v>40</v>
      </c>
      <c r="T375" s="268">
        <f t="shared" si="111"/>
        <v>0</v>
      </c>
      <c r="U375" s="66">
        <v>4</v>
      </c>
      <c r="V375" s="18">
        <f t="shared" si="108"/>
        <v>0</v>
      </c>
      <c r="W375" s="49"/>
      <c r="X375" s="18">
        <v>4</v>
      </c>
    </row>
    <row r="376" spans="1:24" ht="26.25" hidden="1" customHeight="1" x14ac:dyDescent="0.25">
      <c r="B376" s="17"/>
      <c r="C376" s="6" t="s">
        <v>18</v>
      </c>
      <c r="D376" s="21" t="s">
        <v>40</v>
      </c>
      <c r="E376" s="102" t="s">
        <v>658</v>
      </c>
      <c r="F376" s="296"/>
      <c r="G376" s="13"/>
      <c r="H376" s="36"/>
      <c r="I376" s="225">
        <v>0</v>
      </c>
      <c r="J376" s="36">
        <f t="shared" si="107"/>
        <v>0</v>
      </c>
      <c r="K376" s="225">
        <f t="shared" si="110"/>
        <v>0</v>
      </c>
      <c r="L376" s="154"/>
      <c r="M376" s="68"/>
      <c r="N376" s="110"/>
      <c r="O376" s="36"/>
      <c r="P376" s="344">
        <f t="shared" si="106"/>
        <v>0</v>
      </c>
      <c r="Q376" s="183" t="str">
        <f t="shared" si="96"/>
        <v>П50х50х24</v>
      </c>
      <c r="R376" s="223">
        <f t="shared" si="112"/>
        <v>0</v>
      </c>
      <c r="S376" s="235">
        <v>0</v>
      </c>
      <c r="T376" s="268">
        <f t="shared" si="111"/>
        <v>0</v>
      </c>
      <c r="U376" s="66">
        <v>3</v>
      </c>
      <c r="V376" s="18">
        <f t="shared" si="108"/>
        <v>0</v>
      </c>
      <c r="W376" s="49">
        <f>X376-U376+V376</f>
        <v>0</v>
      </c>
      <c r="X376" s="18">
        <v>3</v>
      </c>
    </row>
    <row r="377" spans="1:24" ht="26.25" hidden="1" customHeight="1" x14ac:dyDescent="0.25">
      <c r="B377" s="17"/>
      <c r="C377" s="6" t="s">
        <v>18</v>
      </c>
      <c r="D377" s="21" t="s">
        <v>40</v>
      </c>
      <c r="E377" s="102" t="s">
        <v>637</v>
      </c>
      <c r="F377" s="296"/>
      <c r="G377" s="13"/>
      <c r="H377" s="36"/>
      <c r="I377" s="225"/>
      <c r="J377" s="36">
        <f t="shared" si="107"/>
        <v>0</v>
      </c>
      <c r="K377" s="225">
        <f t="shared" si="110"/>
        <v>0</v>
      </c>
      <c r="L377" s="154"/>
      <c r="M377" s="68"/>
      <c r="N377" s="110"/>
      <c r="O377" s="36"/>
      <c r="P377" s="225"/>
      <c r="Q377" s="183" t="str">
        <f t="shared" si="96"/>
        <v>П80х40х20</v>
      </c>
      <c r="R377" s="223">
        <f t="shared" si="112"/>
        <v>0</v>
      </c>
      <c r="T377" s="268">
        <f t="shared" si="111"/>
        <v>0</v>
      </c>
      <c r="U377" s="66">
        <v>9</v>
      </c>
      <c r="V377" s="18">
        <f t="shared" si="108"/>
        <v>0</v>
      </c>
      <c r="W377" s="49">
        <f>X377-U377+V377</f>
        <v>0</v>
      </c>
      <c r="X377" s="18">
        <v>9</v>
      </c>
    </row>
    <row r="378" spans="1:24" ht="26.25" hidden="1" customHeight="1" x14ac:dyDescent="0.25">
      <c r="B378" s="17"/>
      <c r="C378" s="6" t="s">
        <v>18</v>
      </c>
      <c r="D378" s="21" t="s">
        <v>40</v>
      </c>
      <c r="E378" s="102" t="s">
        <v>519</v>
      </c>
      <c r="F378" s="296"/>
      <c r="G378" s="13"/>
      <c r="H378" s="36"/>
      <c r="I378" s="225"/>
      <c r="J378" s="36">
        <f t="shared" si="107"/>
        <v>0</v>
      </c>
      <c r="K378" s="225">
        <f t="shared" si="110"/>
        <v>0</v>
      </c>
      <c r="L378" s="154"/>
      <c r="M378" s="68"/>
      <c r="N378" s="110"/>
      <c r="O378" s="36"/>
      <c r="P378" s="225"/>
      <c r="Q378" s="183" t="str">
        <f t="shared" si="96"/>
        <v>П50х20х20</v>
      </c>
      <c r="R378" s="223">
        <f t="shared" si="112"/>
        <v>0</v>
      </c>
      <c r="T378" s="268">
        <f t="shared" si="111"/>
        <v>0</v>
      </c>
      <c r="U378" s="66">
        <v>36</v>
      </c>
      <c r="V378" s="18">
        <f t="shared" si="108"/>
        <v>0</v>
      </c>
      <c r="W378" s="49">
        <f>X378-U378+V378</f>
        <v>0</v>
      </c>
      <c r="X378" s="18">
        <v>36</v>
      </c>
    </row>
    <row r="379" spans="1:24" ht="26.25" hidden="1" customHeight="1" x14ac:dyDescent="0.25">
      <c r="B379" s="17"/>
      <c r="C379" s="6" t="s">
        <v>18</v>
      </c>
      <c r="D379" s="21" t="s">
        <v>40</v>
      </c>
      <c r="E379" s="102" t="s">
        <v>359</v>
      </c>
      <c r="F379" s="296"/>
      <c r="G379" s="13"/>
      <c r="H379" s="36"/>
      <c r="I379" s="225">
        <v>0</v>
      </c>
      <c r="J379" s="36">
        <f t="shared" si="107"/>
        <v>0</v>
      </c>
      <c r="K379" s="225">
        <f t="shared" si="110"/>
        <v>0</v>
      </c>
      <c r="L379" s="154"/>
      <c r="M379" s="68"/>
      <c r="N379" s="110"/>
      <c r="O379" s="36"/>
      <c r="P379" s="225">
        <f>K379*O379</f>
        <v>0</v>
      </c>
      <c r="Q379" s="159" t="str">
        <f t="shared" si="96"/>
        <v>П88х50х12,5</v>
      </c>
      <c r="R379" s="223">
        <f t="shared" si="112"/>
        <v>0</v>
      </c>
      <c r="S379" s="235">
        <v>0</v>
      </c>
      <c r="T379" s="268">
        <f t="shared" si="111"/>
        <v>0</v>
      </c>
      <c r="U379" s="66">
        <v>1</v>
      </c>
      <c r="V379" s="18">
        <f t="shared" si="108"/>
        <v>0</v>
      </c>
      <c r="W379" s="49">
        <f>X379-U379+V379</f>
        <v>0</v>
      </c>
      <c r="X379" s="18">
        <v>1</v>
      </c>
    </row>
    <row r="380" spans="1:24" ht="26.25" hidden="1" customHeight="1" x14ac:dyDescent="0.25">
      <c r="B380" s="17"/>
      <c r="C380" s="6" t="s">
        <v>18</v>
      </c>
      <c r="D380" s="21" t="s">
        <v>40</v>
      </c>
      <c r="E380" s="102" t="s">
        <v>665</v>
      </c>
      <c r="F380" s="296"/>
      <c r="G380" s="13"/>
      <c r="H380" s="36"/>
      <c r="I380" s="225"/>
      <c r="J380" s="36"/>
      <c r="K380" s="225">
        <f t="shared" si="110"/>
        <v>0</v>
      </c>
      <c r="L380" s="154"/>
      <c r="M380" s="68"/>
      <c r="N380" s="110"/>
      <c r="O380" s="36"/>
      <c r="P380" s="225"/>
      <c r="Q380" s="159" t="str">
        <f t="shared" ref="Q380:Q404" si="113">E380</f>
        <v>П70х4х11</v>
      </c>
      <c r="R380" s="223">
        <f t="shared" si="112"/>
        <v>0</v>
      </c>
      <c r="T380" s="268">
        <f t="shared" si="111"/>
        <v>0</v>
      </c>
      <c r="U380" s="66">
        <v>30</v>
      </c>
      <c r="V380" s="18"/>
      <c r="W380" s="49"/>
      <c r="X380" s="18">
        <v>30</v>
      </c>
    </row>
    <row r="381" spans="1:24" ht="26.25" hidden="1" customHeight="1" x14ac:dyDescent="0.25">
      <c r="B381" s="17"/>
      <c r="C381" s="6" t="s">
        <v>18</v>
      </c>
      <c r="D381" s="21" t="s">
        <v>40</v>
      </c>
      <c r="E381" s="102" t="s">
        <v>666</v>
      </c>
      <c r="F381" s="296"/>
      <c r="G381" s="13"/>
      <c r="H381" s="36"/>
      <c r="I381" s="225"/>
      <c r="J381" s="36"/>
      <c r="K381" s="225">
        <f t="shared" si="110"/>
        <v>0</v>
      </c>
      <c r="L381" s="154"/>
      <c r="M381" s="68"/>
      <c r="N381" s="110"/>
      <c r="O381" s="36"/>
      <c r="P381" s="225"/>
      <c r="Q381" s="159" t="str">
        <f t="shared" si="113"/>
        <v>П80х40х20 и П88х24х12,5</v>
      </c>
      <c r="R381" s="223">
        <f t="shared" si="112"/>
        <v>0</v>
      </c>
      <c r="T381" s="268">
        <f t="shared" si="111"/>
        <v>0</v>
      </c>
      <c r="U381" s="66">
        <v>2</v>
      </c>
      <c r="V381" s="18"/>
      <c r="W381" s="49"/>
      <c r="X381" s="18">
        <v>2</v>
      </c>
    </row>
    <row r="382" spans="1:24" ht="26.25" hidden="1" customHeight="1" x14ac:dyDescent="0.25">
      <c r="B382" s="17"/>
      <c r="C382" s="6" t="s">
        <v>18</v>
      </c>
      <c r="D382" s="21" t="s">
        <v>40</v>
      </c>
      <c r="E382" s="102"/>
      <c r="F382" s="296"/>
      <c r="G382" s="13"/>
      <c r="H382" s="36"/>
      <c r="I382" s="225"/>
      <c r="J382" s="36"/>
      <c r="K382" s="225">
        <f t="shared" si="110"/>
        <v>0</v>
      </c>
      <c r="L382" s="154"/>
      <c r="M382" s="68"/>
      <c r="N382" s="110"/>
      <c r="O382" s="36"/>
      <c r="P382" s="225"/>
      <c r="Q382" s="159">
        <f t="shared" si="113"/>
        <v>0</v>
      </c>
      <c r="R382" s="223">
        <f t="shared" si="112"/>
        <v>0</v>
      </c>
      <c r="T382" s="268">
        <f t="shared" si="111"/>
        <v>0</v>
      </c>
      <c r="U382" s="66"/>
      <c r="V382" s="18"/>
      <c r="W382" s="49"/>
      <c r="X382" s="18"/>
    </row>
    <row r="383" spans="1:24" ht="26.25" hidden="1" customHeight="1" x14ac:dyDescent="0.3">
      <c r="B383" s="17"/>
      <c r="C383" s="6" t="s">
        <v>18</v>
      </c>
      <c r="D383" s="21" t="s">
        <v>40</v>
      </c>
      <c r="E383" s="98" t="s">
        <v>167</v>
      </c>
      <c r="F383" s="296"/>
      <c r="G383" s="45"/>
      <c r="H383" s="36"/>
      <c r="I383" s="225">
        <v>0</v>
      </c>
      <c r="J383" s="36">
        <f t="shared" ref="J383:J415" si="114">N383+O383-H383</f>
        <v>0</v>
      </c>
      <c r="K383" s="225">
        <f t="shared" si="110"/>
        <v>5.66</v>
      </c>
      <c r="L383" s="154">
        <f>K383*J674</f>
        <v>0</v>
      </c>
      <c r="M383" s="196" t="s">
        <v>168</v>
      </c>
      <c r="N383" s="110"/>
      <c r="O383" s="36"/>
      <c r="P383" s="225">
        <f t="shared" ref="P383:P391" si="115">K383*O383</f>
        <v>0</v>
      </c>
      <c r="Q383" s="159" t="str">
        <f t="shared" si="113"/>
        <v>СК95х56х40х3,2</v>
      </c>
      <c r="R383" s="223">
        <f t="shared" si="112"/>
        <v>7.92</v>
      </c>
      <c r="S383" s="235">
        <v>6.6</v>
      </c>
      <c r="T383" s="268">
        <f t="shared" si="111"/>
        <v>0</v>
      </c>
      <c r="U383" s="66">
        <f>5439+5000-88</f>
        <v>10351</v>
      </c>
      <c r="V383" s="18">
        <f t="shared" ref="V383:V428" si="116">N383</f>
        <v>0</v>
      </c>
      <c r="W383" s="49">
        <f t="shared" ref="W383:W389" si="117">X383-U383+V383</f>
        <v>0</v>
      </c>
      <c r="X383" s="18">
        <f>5439+5000-88</f>
        <v>10351</v>
      </c>
    </row>
    <row r="384" spans="1:24" ht="26.25" hidden="1" customHeight="1" x14ac:dyDescent="0.25">
      <c r="B384" s="11"/>
      <c r="C384" s="6" t="s">
        <v>18</v>
      </c>
      <c r="D384" s="21" t="s">
        <v>25</v>
      </c>
      <c r="E384" s="96" t="s">
        <v>307</v>
      </c>
      <c r="F384" s="298"/>
      <c r="G384" s="14" t="s">
        <v>0</v>
      </c>
      <c r="H384" s="36"/>
      <c r="I384" s="225">
        <v>0</v>
      </c>
      <c r="J384" s="36">
        <f t="shared" si="114"/>
        <v>0</v>
      </c>
      <c r="K384" s="225">
        <f t="shared" si="110"/>
        <v>0</v>
      </c>
      <c r="L384" s="154">
        <f>K384*J675</f>
        <v>0</v>
      </c>
      <c r="M384" s="86" t="s">
        <v>131</v>
      </c>
      <c r="N384" s="109"/>
      <c r="O384" s="36"/>
      <c r="P384" s="225">
        <f t="shared" si="115"/>
        <v>0</v>
      </c>
      <c r="Q384" s="159" t="str">
        <f t="shared" si="113"/>
        <v>Д9,5х4х40</v>
      </c>
      <c r="R384" s="288">
        <f t="shared" si="112"/>
        <v>0</v>
      </c>
      <c r="S384" s="235">
        <v>0</v>
      </c>
      <c r="T384" s="268">
        <f t="shared" si="111"/>
        <v>0</v>
      </c>
      <c r="U384" s="320">
        <v>50</v>
      </c>
      <c r="V384" s="18">
        <f t="shared" si="116"/>
        <v>0</v>
      </c>
      <c r="W384" s="49">
        <f t="shared" si="117"/>
        <v>0</v>
      </c>
      <c r="X384" s="16">
        <v>50</v>
      </c>
    </row>
    <row r="385" spans="2:24" ht="26.25" hidden="1" customHeight="1" x14ac:dyDescent="0.25">
      <c r="B385" s="11"/>
      <c r="C385" s="6" t="s">
        <v>18</v>
      </c>
      <c r="D385" s="21" t="s">
        <v>25</v>
      </c>
      <c r="E385" s="96" t="s">
        <v>408</v>
      </c>
      <c r="F385" s="298" t="s">
        <v>410</v>
      </c>
      <c r="G385" s="14"/>
      <c r="H385" s="36"/>
      <c r="I385" s="225">
        <v>0</v>
      </c>
      <c r="J385" s="36">
        <f t="shared" si="114"/>
        <v>0</v>
      </c>
      <c r="K385" s="225">
        <f t="shared" si="110"/>
        <v>12.86</v>
      </c>
      <c r="L385" s="154"/>
      <c r="M385" s="141" t="s">
        <v>413</v>
      </c>
      <c r="N385" s="109"/>
      <c r="O385" s="36"/>
      <c r="P385" s="225">
        <f t="shared" si="115"/>
        <v>0</v>
      </c>
      <c r="Q385" s="184" t="str">
        <f t="shared" si="113"/>
        <v>П24х14х10</v>
      </c>
      <c r="R385" s="223">
        <f t="shared" si="112"/>
        <v>18</v>
      </c>
      <c r="S385" s="235">
        <v>15</v>
      </c>
      <c r="T385" s="268">
        <f t="shared" si="111"/>
        <v>0</v>
      </c>
      <c r="U385" s="18"/>
      <c r="V385" s="18">
        <f t="shared" si="116"/>
        <v>0</v>
      </c>
      <c r="W385" s="49">
        <f t="shared" si="117"/>
        <v>0</v>
      </c>
      <c r="X385" s="18"/>
    </row>
    <row r="386" spans="2:24" ht="43.5" customHeight="1" x14ac:dyDescent="0.25">
      <c r="B386" s="17">
        <v>110</v>
      </c>
      <c r="C386" s="6" t="s">
        <v>18</v>
      </c>
      <c r="D386" s="21" t="s">
        <v>25</v>
      </c>
      <c r="E386" s="96" t="s">
        <v>24</v>
      </c>
      <c r="F386" s="135">
        <v>311</v>
      </c>
      <c r="G386" s="12" t="s">
        <v>0</v>
      </c>
      <c r="H386" s="36">
        <v>200</v>
      </c>
      <c r="I386" s="274">
        <v>566</v>
      </c>
      <c r="J386" s="36">
        <f t="shared" si="114"/>
        <v>0</v>
      </c>
      <c r="K386" s="225">
        <f t="shared" si="110"/>
        <v>2.83</v>
      </c>
      <c r="L386" s="154">
        <f>K386*J677</f>
        <v>0</v>
      </c>
      <c r="M386" s="337" t="s">
        <v>595</v>
      </c>
      <c r="N386" s="109"/>
      <c r="O386" s="36">
        <v>200</v>
      </c>
      <c r="P386" s="225">
        <f t="shared" si="115"/>
        <v>566</v>
      </c>
      <c r="Q386" s="48" t="str">
        <f t="shared" si="113"/>
        <v>Д22,7хд8,2х8,9 ЭПГ 112.001</v>
      </c>
      <c r="R386" s="223">
        <f t="shared" si="112"/>
        <v>3.96</v>
      </c>
      <c r="S386" s="236">
        <v>3.3</v>
      </c>
      <c r="T386" s="268">
        <f t="shared" si="111"/>
        <v>0</v>
      </c>
      <c r="U386" s="66">
        <v>2232</v>
      </c>
      <c r="V386" s="18">
        <f t="shared" si="116"/>
        <v>0</v>
      </c>
      <c r="W386" s="49">
        <f t="shared" si="117"/>
        <v>0</v>
      </c>
      <c r="X386" s="18">
        <v>2232</v>
      </c>
    </row>
    <row r="387" spans="2:24" ht="26.25" customHeight="1" x14ac:dyDescent="0.25">
      <c r="B387" s="11">
        <v>111</v>
      </c>
      <c r="C387" s="6" t="s">
        <v>18</v>
      </c>
      <c r="D387" s="21" t="s">
        <v>25</v>
      </c>
      <c r="E387" s="99" t="s">
        <v>136</v>
      </c>
      <c r="F387" s="137" t="s">
        <v>179</v>
      </c>
      <c r="G387" s="45" t="s">
        <v>0</v>
      </c>
      <c r="H387" s="36">
        <v>200</v>
      </c>
      <c r="I387" s="274">
        <v>1866</v>
      </c>
      <c r="J387" s="36">
        <f t="shared" si="114"/>
        <v>0</v>
      </c>
      <c r="K387" s="225">
        <f t="shared" si="110"/>
        <v>9.33</v>
      </c>
      <c r="L387" s="154">
        <f>K387*J678</f>
        <v>0</v>
      </c>
      <c r="M387" s="90" t="s">
        <v>706</v>
      </c>
      <c r="N387" s="109"/>
      <c r="O387" s="36">
        <v>200</v>
      </c>
      <c r="P387" s="225">
        <f t="shared" si="115"/>
        <v>1866</v>
      </c>
      <c r="Q387" s="159" t="str">
        <f t="shared" si="113"/>
        <v>К21х7х25</v>
      </c>
      <c r="R387" s="223">
        <f t="shared" si="112"/>
        <v>13.06</v>
      </c>
      <c r="S387" s="235">
        <v>10.88</v>
      </c>
      <c r="T387" s="268">
        <f t="shared" si="111"/>
        <v>0</v>
      </c>
      <c r="U387" s="66">
        <v>430</v>
      </c>
      <c r="V387" s="18">
        <f t="shared" si="116"/>
        <v>0</v>
      </c>
      <c r="W387" s="49">
        <f t="shared" si="117"/>
        <v>0</v>
      </c>
      <c r="X387" s="18">
        <v>430</v>
      </c>
    </row>
    <row r="388" spans="2:24" ht="26.25" hidden="1" customHeight="1" x14ac:dyDescent="0.25">
      <c r="B388" s="11"/>
      <c r="C388" s="6" t="s">
        <v>18</v>
      </c>
      <c r="D388" s="21" t="s">
        <v>72</v>
      </c>
      <c r="E388" s="99" t="s">
        <v>208</v>
      </c>
      <c r="F388" s="137"/>
      <c r="G388" s="45"/>
      <c r="H388" s="36"/>
      <c r="I388" s="225">
        <v>0</v>
      </c>
      <c r="J388" s="36">
        <f t="shared" si="114"/>
        <v>0</v>
      </c>
      <c r="K388" s="225"/>
      <c r="L388" s="154"/>
      <c r="M388" s="92"/>
      <c r="N388" s="109"/>
      <c r="O388" s="36"/>
      <c r="P388" s="344">
        <f t="shared" si="115"/>
        <v>0</v>
      </c>
      <c r="Q388" s="183" t="str">
        <f t="shared" si="113"/>
        <v>Д3х2</v>
      </c>
      <c r="R388" s="288">
        <f t="shared" si="112"/>
        <v>0</v>
      </c>
      <c r="S388" s="235">
        <v>0</v>
      </c>
      <c r="T388" s="268">
        <f t="shared" si="111"/>
        <v>0</v>
      </c>
      <c r="U388" s="18">
        <v>34</v>
      </c>
      <c r="V388" s="18">
        <f t="shared" si="116"/>
        <v>0</v>
      </c>
      <c r="W388" s="49">
        <f t="shared" si="117"/>
        <v>0</v>
      </c>
      <c r="X388" s="18">
        <v>34</v>
      </c>
    </row>
    <row r="389" spans="2:24" ht="26.25" hidden="1" customHeight="1" x14ac:dyDescent="0.25">
      <c r="B389" s="14"/>
      <c r="C389" s="6" t="s">
        <v>18</v>
      </c>
      <c r="D389" s="21" t="s">
        <v>72</v>
      </c>
      <c r="E389" s="96" t="s">
        <v>240</v>
      </c>
      <c r="F389" s="297"/>
      <c r="G389" s="45" t="s">
        <v>0</v>
      </c>
      <c r="H389" s="36"/>
      <c r="I389" s="225">
        <v>0</v>
      </c>
      <c r="J389" s="36">
        <f t="shared" si="114"/>
        <v>0</v>
      </c>
      <c r="K389" s="225">
        <f>R389/1.4</f>
        <v>0.12</v>
      </c>
      <c r="L389" s="154">
        <f>K389*J680</f>
        <v>0</v>
      </c>
      <c r="M389" s="140" t="s">
        <v>161</v>
      </c>
      <c r="N389" s="109"/>
      <c r="O389" s="36"/>
      <c r="P389" s="225">
        <f t="shared" si="115"/>
        <v>0</v>
      </c>
      <c r="Q389" s="184" t="str">
        <f t="shared" si="113"/>
        <v>Д3х5</v>
      </c>
      <c r="R389" s="388">
        <f t="shared" si="112"/>
        <v>0.17</v>
      </c>
      <c r="S389" s="235">
        <v>0.14000000000000001</v>
      </c>
      <c r="T389" s="268">
        <f t="shared" si="111"/>
        <v>0</v>
      </c>
      <c r="U389" s="320">
        <v>800</v>
      </c>
      <c r="V389" s="18">
        <f t="shared" si="116"/>
        <v>0</v>
      </c>
      <c r="W389" s="49">
        <f t="shared" si="117"/>
        <v>0</v>
      </c>
      <c r="X389" s="16">
        <v>800</v>
      </c>
    </row>
    <row r="390" spans="2:24" ht="26.25" customHeight="1" x14ac:dyDescent="0.25">
      <c r="B390" s="14">
        <v>112</v>
      </c>
      <c r="C390" s="6" t="s">
        <v>18</v>
      </c>
      <c r="D390" s="21" t="s">
        <v>72</v>
      </c>
      <c r="E390" s="96" t="s">
        <v>213</v>
      </c>
      <c r="F390" s="367">
        <v>1510</v>
      </c>
      <c r="G390" s="45"/>
      <c r="H390" s="36"/>
      <c r="I390" s="274">
        <v>0</v>
      </c>
      <c r="J390" s="36">
        <f t="shared" si="114"/>
        <v>15</v>
      </c>
      <c r="K390" s="225">
        <f>R390/1.4</f>
        <v>8.57</v>
      </c>
      <c r="L390" s="154"/>
      <c r="M390" s="140" t="s">
        <v>627</v>
      </c>
      <c r="N390" s="109">
        <v>15</v>
      </c>
      <c r="O390" s="353"/>
      <c r="P390" s="225">
        <f t="shared" si="115"/>
        <v>0</v>
      </c>
      <c r="Q390" s="184" t="str">
        <f t="shared" si="113"/>
        <v>Д6х2</v>
      </c>
      <c r="R390" s="223">
        <f t="shared" si="112"/>
        <v>12</v>
      </c>
      <c r="S390" s="235">
        <v>10</v>
      </c>
      <c r="T390" s="268">
        <f t="shared" si="111"/>
        <v>150</v>
      </c>
      <c r="U390" s="18"/>
      <c r="V390" s="18">
        <f t="shared" si="116"/>
        <v>15</v>
      </c>
      <c r="W390" s="49"/>
      <c r="X390" s="18"/>
    </row>
    <row r="391" spans="2:24" ht="26.25" customHeight="1" x14ac:dyDescent="0.25">
      <c r="B391" s="11">
        <v>113</v>
      </c>
      <c r="C391" s="6" t="s">
        <v>18</v>
      </c>
      <c r="D391" s="21" t="s">
        <v>72</v>
      </c>
      <c r="E391" s="96" t="s">
        <v>281</v>
      </c>
      <c r="F391" s="135">
        <v>447</v>
      </c>
      <c r="G391" s="45" t="s">
        <v>0</v>
      </c>
      <c r="H391" s="36">
        <v>345</v>
      </c>
      <c r="I391" s="274">
        <v>234.6</v>
      </c>
      <c r="J391" s="36">
        <f t="shared" si="114"/>
        <v>0</v>
      </c>
      <c r="K391" s="225">
        <v>0.68</v>
      </c>
      <c r="L391" s="154">
        <f>K391*J682</f>
        <v>0</v>
      </c>
      <c r="M391" s="90"/>
      <c r="N391" s="109"/>
      <c r="O391" s="36">
        <v>345</v>
      </c>
      <c r="P391" s="225">
        <f t="shared" si="115"/>
        <v>234.6</v>
      </c>
      <c r="Q391" s="184" t="str">
        <f t="shared" si="113"/>
        <v>Д8х3</v>
      </c>
      <c r="R391" s="388">
        <f t="shared" si="112"/>
        <v>5.4</v>
      </c>
      <c r="S391" s="235">
        <v>4.5</v>
      </c>
      <c r="T391" s="268">
        <f t="shared" si="111"/>
        <v>0</v>
      </c>
      <c r="U391" s="18">
        <v>270</v>
      </c>
      <c r="V391" s="18">
        <f t="shared" si="116"/>
        <v>0</v>
      </c>
      <c r="W391" s="49">
        <f>X391-U391+V391</f>
        <v>0</v>
      </c>
      <c r="X391" s="18">
        <v>270</v>
      </c>
    </row>
    <row r="392" spans="2:24" ht="26.25" hidden="1" customHeight="1" x14ac:dyDescent="0.25">
      <c r="B392" s="11"/>
      <c r="C392" s="6" t="s">
        <v>18</v>
      </c>
      <c r="D392" s="21" t="s">
        <v>72</v>
      </c>
      <c r="E392" s="96" t="s">
        <v>582</v>
      </c>
      <c r="F392" s="135">
        <v>1427</v>
      </c>
      <c r="G392" s="45"/>
      <c r="H392" s="36"/>
      <c r="I392" s="274"/>
      <c r="J392" s="36">
        <f t="shared" si="114"/>
        <v>0</v>
      </c>
      <c r="K392" s="225"/>
      <c r="L392" s="154"/>
      <c r="M392" s="90"/>
      <c r="N392" s="109"/>
      <c r="O392" s="353"/>
      <c r="P392" s="225"/>
      <c r="Q392" s="184" t="str">
        <f t="shared" si="113"/>
        <v>Д8х5</v>
      </c>
      <c r="R392" s="388">
        <f t="shared" si="112"/>
        <v>8.4</v>
      </c>
      <c r="S392" s="235">
        <v>7</v>
      </c>
      <c r="T392" s="268">
        <f t="shared" si="111"/>
        <v>0</v>
      </c>
      <c r="U392" s="18"/>
      <c r="V392" s="18">
        <f t="shared" si="116"/>
        <v>0</v>
      </c>
      <c r="W392" s="49"/>
      <c r="X392" s="18"/>
    </row>
    <row r="393" spans="2:24" ht="26.25" hidden="1" customHeight="1" x14ac:dyDescent="0.25">
      <c r="B393" s="11"/>
      <c r="C393" s="6" t="s">
        <v>18</v>
      </c>
      <c r="D393" s="21" t="s">
        <v>72</v>
      </c>
      <c r="E393" s="96" t="s">
        <v>581</v>
      </c>
      <c r="F393" s="135">
        <v>1420</v>
      </c>
      <c r="G393" s="45"/>
      <c r="H393" s="36"/>
      <c r="I393" s="274"/>
      <c r="J393" s="36">
        <f t="shared" si="114"/>
        <v>0</v>
      </c>
      <c r="K393" s="225"/>
      <c r="L393" s="154"/>
      <c r="M393" s="90"/>
      <c r="N393" s="109"/>
      <c r="O393" s="353"/>
      <c r="P393" s="225"/>
      <c r="Q393" s="184" t="str">
        <f t="shared" si="113"/>
        <v>Д8х7</v>
      </c>
      <c r="R393" s="388">
        <f t="shared" si="112"/>
        <v>8.4</v>
      </c>
      <c r="S393" s="235">
        <v>7</v>
      </c>
      <c r="T393" s="268">
        <f t="shared" si="111"/>
        <v>0</v>
      </c>
      <c r="U393" s="18"/>
      <c r="V393" s="18">
        <f t="shared" si="116"/>
        <v>0</v>
      </c>
      <c r="W393" s="49"/>
      <c r="X393" s="18"/>
    </row>
    <row r="394" spans="2:24" ht="26.25" hidden="1" customHeight="1" x14ac:dyDescent="0.25">
      <c r="B394" s="15"/>
      <c r="C394" s="6" t="s">
        <v>18</v>
      </c>
      <c r="D394" s="21" t="s">
        <v>72</v>
      </c>
      <c r="E394" s="98" t="s">
        <v>431</v>
      </c>
      <c r="F394" s="137"/>
      <c r="G394" s="13"/>
      <c r="H394" s="36"/>
      <c r="I394" s="225">
        <v>0</v>
      </c>
      <c r="J394" s="36">
        <f t="shared" si="114"/>
        <v>0</v>
      </c>
      <c r="K394" s="225">
        <f>R394/1.4</f>
        <v>1.8</v>
      </c>
      <c r="L394" s="154">
        <f>K394*J685</f>
        <v>0</v>
      </c>
      <c r="M394" s="86"/>
      <c r="N394" s="109"/>
      <c r="O394" s="36"/>
      <c r="P394" s="344">
        <f t="shared" ref="P394:P411" si="118">K394*O394</f>
        <v>0</v>
      </c>
      <c r="Q394" s="185" t="str">
        <f t="shared" si="113"/>
        <v>Д8х10</v>
      </c>
      <c r="R394" s="388">
        <f t="shared" si="112"/>
        <v>2.52</v>
      </c>
      <c r="S394" s="235">
        <v>2.1</v>
      </c>
      <c r="T394" s="268">
        <f t="shared" si="111"/>
        <v>0</v>
      </c>
      <c r="U394" s="16">
        <v>87980</v>
      </c>
      <c r="V394" s="18">
        <f t="shared" si="116"/>
        <v>0</v>
      </c>
      <c r="W394" s="49">
        <f t="shared" ref="W394:W403" si="119">X394-U394+V394</f>
        <v>0</v>
      </c>
      <c r="X394" s="16">
        <v>87980</v>
      </c>
    </row>
    <row r="395" spans="2:24" ht="26.25" hidden="1" customHeight="1" x14ac:dyDescent="0.25">
      <c r="B395" s="15"/>
      <c r="C395" s="6" t="s">
        <v>18</v>
      </c>
      <c r="D395" s="21" t="s">
        <v>72</v>
      </c>
      <c r="E395" s="98" t="s">
        <v>460</v>
      </c>
      <c r="F395" s="137">
        <v>1419</v>
      </c>
      <c r="G395" s="13"/>
      <c r="H395" s="36"/>
      <c r="I395" s="225">
        <v>0</v>
      </c>
      <c r="J395" s="36">
        <f t="shared" si="114"/>
        <v>0</v>
      </c>
      <c r="K395" s="225">
        <f>R395/1.4</f>
        <v>1.71</v>
      </c>
      <c r="L395" s="154">
        <f>K395*J686</f>
        <v>0</v>
      </c>
      <c r="M395" s="122" t="s">
        <v>596</v>
      </c>
      <c r="N395" s="109"/>
      <c r="O395" s="353"/>
      <c r="P395" s="225">
        <f t="shared" si="118"/>
        <v>0</v>
      </c>
      <c r="Q395" s="48" t="str">
        <f t="shared" si="113"/>
        <v>Д5х2,5</v>
      </c>
      <c r="R395" s="388">
        <f t="shared" si="112"/>
        <v>2.4</v>
      </c>
      <c r="S395" s="235">
        <v>2</v>
      </c>
      <c r="T395" s="268">
        <f t="shared" si="111"/>
        <v>0</v>
      </c>
      <c r="U395" s="18">
        <v>75</v>
      </c>
      <c r="V395" s="18">
        <f t="shared" si="116"/>
        <v>0</v>
      </c>
      <c r="W395" s="49">
        <f t="shared" si="119"/>
        <v>0</v>
      </c>
      <c r="X395" s="18">
        <v>75</v>
      </c>
    </row>
    <row r="396" spans="2:24" ht="26.25" hidden="1" customHeight="1" x14ac:dyDescent="0.25">
      <c r="B396" s="15"/>
      <c r="C396" s="6" t="s">
        <v>18</v>
      </c>
      <c r="D396" s="21" t="s">
        <v>72</v>
      </c>
      <c r="E396" s="98" t="s">
        <v>279</v>
      </c>
      <c r="F396" s="137">
        <v>1388</v>
      </c>
      <c r="G396" s="13"/>
      <c r="H396" s="36"/>
      <c r="I396" s="225">
        <v>0</v>
      </c>
      <c r="J396" s="36">
        <f t="shared" si="114"/>
        <v>0</v>
      </c>
      <c r="K396" s="225">
        <f>R396/1.4</f>
        <v>3.43</v>
      </c>
      <c r="L396" s="154"/>
      <c r="M396" s="142" t="s">
        <v>531</v>
      </c>
      <c r="N396" s="109"/>
      <c r="O396" s="36"/>
      <c r="P396" s="344">
        <f t="shared" si="118"/>
        <v>0</v>
      </c>
      <c r="Q396" s="323" t="str">
        <f t="shared" si="113"/>
        <v>Д10х2</v>
      </c>
      <c r="R396" s="388">
        <f t="shared" si="112"/>
        <v>4.8</v>
      </c>
      <c r="S396" s="235">
        <v>4</v>
      </c>
      <c r="T396" s="268">
        <f t="shared" si="111"/>
        <v>0</v>
      </c>
      <c r="U396" s="18">
        <v>4</v>
      </c>
      <c r="V396" s="18">
        <f t="shared" si="116"/>
        <v>0</v>
      </c>
      <c r="W396" s="49">
        <f t="shared" si="119"/>
        <v>0</v>
      </c>
      <c r="X396" s="18">
        <v>4</v>
      </c>
    </row>
    <row r="397" spans="2:24" ht="26.25" hidden="1" customHeight="1" x14ac:dyDescent="0.25">
      <c r="B397" s="15"/>
      <c r="C397" s="6" t="s">
        <v>18</v>
      </c>
      <c r="D397" s="21" t="s">
        <v>72</v>
      </c>
      <c r="E397" s="98" t="s">
        <v>498</v>
      </c>
      <c r="F397" s="137">
        <v>841</v>
      </c>
      <c r="G397" s="13"/>
      <c r="H397" s="36"/>
      <c r="I397" s="225">
        <v>0</v>
      </c>
      <c r="J397" s="36">
        <f t="shared" si="114"/>
        <v>0</v>
      </c>
      <c r="K397" s="225">
        <f>R397/1.4</f>
        <v>12</v>
      </c>
      <c r="L397" s="154"/>
      <c r="M397" s="122" t="s">
        <v>597</v>
      </c>
      <c r="N397" s="109"/>
      <c r="O397" s="353"/>
      <c r="P397" s="225">
        <f t="shared" si="118"/>
        <v>0</v>
      </c>
      <c r="Q397" s="48" t="str">
        <f t="shared" si="113"/>
        <v>Д10х5</v>
      </c>
      <c r="R397" s="388">
        <f t="shared" si="112"/>
        <v>16.8</v>
      </c>
      <c r="S397" s="235">
        <v>14</v>
      </c>
      <c r="T397" s="268">
        <f t="shared" si="111"/>
        <v>0</v>
      </c>
      <c r="U397" s="18">
        <v>4</v>
      </c>
      <c r="V397" s="18">
        <f t="shared" si="116"/>
        <v>0</v>
      </c>
      <c r="W397" s="49">
        <f t="shared" si="119"/>
        <v>0</v>
      </c>
      <c r="X397" s="18">
        <v>4</v>
      </c>
    </row>
    <row r="398" spans="2:24" ht="26.25" hidden="1" customHeight="1" x14ac:dyDescent="0.25">
      <c r="B398" s="15"/>
      <c r="C398" s="6" t="s">
        <v>18</v>
      </c>
      <c r="D398" s="21" t="s">
        <v>72</v>
      </c>
      <c r="E398" s="98" t="s">
        <v>423</v>
      </c>
      <c r="F398" s="137"/>
      <c r="G398" s="13"/>
      <c r="H398" s="36"/>
      <c r="I398" s="225">
        <v>0</v>
      </c>
      <c r="J398" s="36">
        <f t="shared" si="114"/>
        <v>0</v>
      </c>
      <c r="K398" s="225">
        <f>R398/1.4</f>
        <v>0</v>
      </c>
      <c r="L398" s="154"/>
      <c r="M398" s="86"/>
      <c r="N398" s="109"/>
      <c r="O398" s="36"/>
      <c r="P398" s="344">
        <f t="shared" si="118"/>
        <v>0</v>
      </c>
      <c r="Q398" s="159" t="str">
        <f t="shared" si="113"/>
        <v>Д40х5х3</v>
      </c>
      <c r="R398" s="288">
        <f t="shared" si="112"/>
        <v>0</v>
      </c>
      <c r="S398" s="235">
        <v>0</v>
      </c>
      <c r="T398" s="268">
        <f t="shared" si="111"/>
        <v>0</v>
      </c>
      <c r="U398" s="18">
        <v>5</v>
      </c>
      <c r="V398" s="18">
        <f t="shared" si="116"/>
        <v>0</v>
      </c>
      <c r="W398" s="49">
        <f t="shared" si="119"/>
        <v>0</v>
      </c>
      <c r="X398" s="18">
        <v>5</v>
      </c>
    </row>
    <row r="399" spans="2:24" ht="26.25" hidden="1" customHeight="1" x14ac:dyDescent="0.25">
      <c r="B399" s="15"/>
      <c r="C399" s="6" t="s">
        <v>18</v>
      </c>
      <c r="D399" s="21" t="s">
        <v>72</v>
      </c>
      <c r="E399" s="98" t="s">
        <v>424</v>
      </c>
      <c r="F399" s="137"/>
      <c r="G399" s="13"/>
      <c r="H399" s="36"/>
      <c r="I399" s="225">
        <v>0</v>
      </c>
      <c r="J399" s="36">
        <f t="shared" si="114"/>
        <v>0</v>
      </c>
      <c r="K399" s="225"/>
      <c r="L399" s="154"/>
      <c r="M399" s="86"/>
      <c r="N399" s="109"/>
      <c r="O399" s="36"/>
      <c r="P399" s="225">
        <f t="shared" si="118"/>
        <v>0</v>
      </c>
      <c r="Q399" s="159" t="str">
        <f t="shared" si="113"/>
        <v>Д40х5х2</v>
      </c>
      <c r="R399" s="288">
        <f t="shared" si="112"/>
        <v>0</v>
      </c>
      <c r="S399" s="235">
        <v>0</v>
      </c>
      <c r="T399" s="268">
        <f t="shared" si="111"/>
        <v>0</v>
      </c>
      <c r="U399" s="18">
        <v>2</v>
      </c>
      <c r="V399" s="18">
        <f t="shared" si="116"/>
        <v>0</v>
      </c>
      <c r="W399" s="49">
        <f t="shared" si="119"/>
        <v>0</v>
      </c>
      <c r="X399" s="18">
        <v>2</v>
      </c>
    </row>
    <row r="400" spans="2:24" ht="26.25" customHeight="1" x14ac:dyDescent="0.25">
      <c r="B400" s="15">
        <v>114</v>
      </c>
      <c r="C400" s="6" t="s">
        <v>18</v>
      </c>
      <c r="D400" s="21" t="s">
        <v>72</v>
      </c>
      <c r="E400" s="96" t="s">
        <v>405</v>
      </c>
      <c r="F400" s="137">
        <v>1249</v>
      </c>
      <c r="G400" s="45" t="s">
        <v>0</v>
      </c>
      <c r="H400" s="36"/>
      <c r="I400" s="225">
        <v>0</v>
      </c>
      <c r="J400" s="36">
        <f t="shared" si="114"/>
        <v>200</v>
      </c>
      <c r="K400" s="225">
        <f t="shared" ref="K400:K409" si="120">R400/1.4</f>
        <v>1.74</v>
      </c>
      <c r="L400" s="154">
        <f>K400*J691</f>
        <v>0</v>
      </c>
      <c r="M400" s="121" t="s">
        <v>598</v>
      </c>
      <c r="N400" s="109">
        <v>200</v>
      </c>
      <c r="O400" s="353"/>
      <c r="P400" s="225">
        <f t="shared" si="118"/>
        <v>0</v>
      </c>
      <c r="Q400" s="159" t="str">
        <f t="shared" si="113"/>
        <v>П5х5х3</v>
      </c>
      <c r="R400" s="223">
        <f t="shared" si="112"/>
        <v>2.44</v>
      </c>
      <c r="S400" s="235">
        <v>2.0299999999999998</v>
      </c>
      <c r="T400" s="268">
        <f t="shared" si="111"/>
        <v>406</v>
      </c>
      <c r="U400" s="116">
        <f>124+60+42-140</f>
        <v>86</v>
      </c>
      <c r="V400" s="18">
        <f t="shared" si="116"/>
        <v>200</v>
      </c>
      <c r="W400" s="49">
        <f t="shared" si="119"/>
        <v>200</v>
      </c>
      <c r="X400" s="18">
        <f>124+60+42-140</f>
        <v>86</v>
      </c>
    </row>
    <row r="401" spans="2:24" ht="26.25" hidden="1" customHeight="1" x14ac:dyDescent="0.25">
      <c r="B401" s="15"/>
      <c r="C401" s="6" t="s">
        <v>18</v>
      </c>
      <c r="D401" s="21" t="s">
        <v>72</v>
      </c>
      <c r="E401" s="263" t="s">
        <v>418</v>
      </c>
      <c r="F401" s="137">
        <v>1235</v>
      </c>
      <c r="G401" s="13"/>
      <c r="H401" s="36"/>
      <c r="I401" s="225">
        <v>0</v>
      </c>
      <c r="J401" s="36">
        <f t="shared" si="114"/>
        <v>0</v>
      </c>
      <c r="K401" s="225">
        <f t="shared" si="120"/>
        <v>3.46</v>
      </c>
      <c r="L401" s="154"/>
      <c r="M401" s="122" t="s">
        <v>401</v>
      </c>
      <c r="N401" s="109"/>
      <c r="O401" s="36"/>
      <c r="P401" s="344">
        <f t="shared" si="118"/>
        <v>0</v>
      </c>
      <c r="Q401" s="184" t="str">
        <f t="shared" si="113"/>
        <v>Д16х3 ВМ-1950.5679.13.03.003</v>
      </c>
      <c r="R401" s="288">
        <f t="shared" si="112"/>
        <v>4.84</v>
      </c>
      <c r="S401" s="235">
        <v>4.03</v>
      </c>
      <c r="T401" s="268">
        <f t="shared" si="111"/>
        <v>0</v>
      </c>
      <c r="U401" s="18">
        <v>100</v>
      </c>
      <c r="V401" s="18">
        <f t="shared" si="116"/>
        <v>0</v>
      </c>
      <c r="W401" s="49">
        <f t="shared" si="119"/>
        <v>0</v>
      </c>
      <c r="X401" s="18">
        <v>100</v>
      </c>
    </row>
    <row r="402" spans="2:24" ht="32.25" customHeight="1" x14ac:dyDescent="0.25">
      <c r="B402" s="11">
        <v>115</v>
      </c>
      <c r="C402" s="6" t="s">
        <v>18</v>
      </c>
      <c r="D402" s="21" t="s">
        <v>72</v>
      </c>
      <c r="E402" s="96" t="s">
        <v>96</v>
      </c>
      <c r="F402" s="135">
        <v>509</v>
      </c>
      <c r="G402" s="45" t="s">
        <v>0</v>
      </c>
      <c r="H402" s="36">
        <v>2000</v>
      </c>
      <c r="I402" s="274">
        <v>3260</v>
      </c>
      <c r="J402" s="36">
        <f t="shared" si="114"/>
        <v>0</v>
      </c>
      <c r="K402" s="225">
        <f t="shared" si="120"/>
        <v>1.67</v>
      </c>
      <c r="L402" s="154">
        <f>K402*J693</f>
        <v>0</v>
      </c>
      <c r="M402" s="157" t="s">
        <v>707</v>
      </c>
      <c r="N402" s="109">
        <v>450</v>
      </c>
      <c r="O402" s="36">
        <v>1550</v>
      </c>
      <c r="P402" s="225">
        <f t="shared" si="118"/>
        <v>2588.5</v>
      </c>
      <c r="Q402" s="159" t="str">
        <f t="shared" si="113"/>
        <v>П3х6х7</v>
      </c>
      <c r="R402" s="223">
        <f t="shared" si="112"/>
        <v>2.34</v>
      </c>
      <c r="S402" s="235">
        <v>1.95</v>
      </c>
      <c r="T402" s="268">
        <f t="shared" si="111"/>
        <v>0</v>
      </c>
      <c r="U402" s="116">
        <f>1920*2+100-800</f>
        <v>3140</v>
      </c>
      <c r="V402" s="18">
        <f t="shared" si="116"/>
        <v>450</v>
      </c>
      <c r="W402" s="49">
        <f t="shared" si="119"/>
        <v>450</v>
      </c>
      <c r="X402" s="18">
        <f>1920*2+100-800</f>
        <v>3140</v>
      </c>
    </row>
    <row r="403" spans="2:24" ht="26.25" customHeight="1" x14ac:dyDescent="0.25">
      <c r="B403" s="17">
        <v>116</v>
      </c>
      <c r="C403" s="6" t="s">
        <v>18</v>
      </c>
      <c r="D403" s="21" t="s">
        <v>72</v>
      </c>
      <c r="E403" s="96" t="s">
        <v>91</v>
      </c>
      <c r="F403" s="135">
        <v>557</v>
      </c>
      <c r="G403" s="45" t="s">
        <v>0</v>
      </c>
      <c r="H403" s="36"/>
      <c r="I403" s="274">
        <v>0</v>
      </c>
      <c r="J403" s="36">
        <f t="shared" si="114"/>
        <v>300</v>
      </c>
      <c r="K403" s="225">
        <f t="shared" si="120"/>
        <v>1.68</v>
      </c>
      <c r="L403" s="154">
        <f>K403*J694</f>
        <v>0</v>
      </c>
      <c r="M403" s="64" t="s">
        <v>708</v>
      </c>
      <c r="N403" s="109">
        <v>300</v>
      </c>
      <c r="O403" s="353"/>
      <c r="P403" s="225">
        <f t="shared" si="118"/>
        <v>0</v>
      </c>
      <c r="Q403" s="159" t="str">
        <f t="shared" si="113"/>
        <v>П5х5х2</v>
      </c>
      <c r="R403" s="223">
        <f t="shared" si="112"/>
        <v>2.35</v>
      </c>
      <c r="S403" s="235">
        <v>1.96</v>
      </c>
      <c r="T403" s="268">
        <f t="shared" si="111"/>
        <v>588</v>
      </c>
      <c r="U403" s="116">
        <f>257+191+27+36+100+26-200</f>
        <v>437</v>
      </c>
      <c r="V403" s="18">
        <f t="shared" si="116"/>
        <v>300</v>
      </c>
      <c r="W403" s="49">
        <f t="shared" si="119"/>
        <v>300</v>
      </c>
      <c r="X403" s="18">
        <f>257+191+27+36+100+26-200</f>
        <v>437</v>
      </c>
    </row>
    <row r="404" spans="2:24" ht="26.25" customHeight="1" x14ac:dyDescent="0.25">
      <c r="B404" s="11">
        <v>117</v>
      </c>
      <c r="C404" s="6" t="s">
        <v>18</v>
      </c>
      <c r="D404" s="21" t="s">
        <v>72</v>
      </c>
      <c r="E404" s="96" t="s">
        <v>754</v>
      </c>
      <c r="F404" s="135">
        <v>1316</v>
      </c>
      <c r="G404" s="45"/>
      <c r="H404" s="36"/>
      <c r="I404" s="274"/>
      <c r="J404" s="36">
        <f t="shared" si="114"/>
        <v>20</v>
      </c>
      <c r="K404" s="225">
        <f t="shared" si="120"/>
        <v>4.29</v>
      </c>
      <c r="L404" s="38"/>
      <c r="M404" s="353"/>
      <c r="N404" s="400">
        <v>20</v>
      </c>
      <c r="O404" s="353"/>
      <c r="P404" s="225">
        <f t="shared" si="118"/>
        <v>0</v>
      </c>
      <c r="Q404" s="159" t="str">
        <f t="shared" si="113"/>
        <v xml:space="preserve">П4х4х3 </v>
      </c>
      <c r="R404" s="223">
        <f t="shared" si="112"/>
        <v>6</v>
      </c>
      <c r="S404" s="235">
        <v>5</v>
      </c>
      <c r="T404" s="268">
        <f t="shared" si="111"/>
        <v>100</v>
      </c>
      <c r="U404" s="49"/>
      <c r="V404" s="18">
        <f t="shared" si="116"/>
        <v>20</v>
      </c>
      <c r="W404" s="49"/>
      <c r="X404" s="18"/>
    </row>
    <row r="405" spans="2:24" ht="26.25" hidden="1" customHeight="1" x14ac:dyDescent="0.25">
      <c r="B405" s="17"/>
      <c r="C405" s="6" t="s">
        <v>18</v>
      </c>
      <c r="D405" s="21" t="s">
        <v>72</v>
      </c>
      <c r="E405" s="96" t="s">
        <v>583</v>
      </c>
      <c r="F405" s="135">
        <v>1416</v>
      </c>
      <c r="G405" s="45"/>
      <c r="H405" s="36"/>
      <c r="I405" s="274">
        <v>0</v>
      </c>
      <c r="J405" s="36">
        <f t="shared" si="114"/>
        <v>0</v>
      </c>
      <c r="K405" s="225">
        <f t="shared" si="120"/>
        <v>1.63</v>
      </c>
      <c r="L405" s="154"/>
      <c r="M405" s="158" t="s">
        <v>599</v>
      </c>
      <c r="N405" s="109"/>
      <c r="O405" s="353"/>
      <c r="P405" s="225">
        <f t="shared" si="118"/>
        <v>0</v>
      </c>
      <c r="Q405" s="159"/>
      <c r="R405" s="223">
        <f t="shared" si="112"/>
        <v>2.2799999999999998</v>
      </c>
      <c r="S405" s="235">
        <v>1.9</v>
      </c>
      <c r="T405" s="268">
        <f t="shared" ref="T405:T429" si="121">S405*J405</f>
        <v>0</v>
      </c>
      <c r="U405" s="66">
        <v>20</v>
      </c>
      <c r="V405" s="18">
        <f t="shared" si="116"/>
        <v>0</v>
      </c>
      <c r="W405" s="49"/>
      <c r="X405" s="18">
        <v>20</v>
      </c>
    </row>
    <row r="406" spans="2:24" ht="26.25" customHeight="1" x14ac:dyDescent="0.25">
      <c r="B406" s="11">
        <v>118</v>
      </c>
      <c r="C406" s="6" t="s">
        <v>18</v>
      </c>
      <c r="D406" s="21" t="s">
        <v>72</v>
      </c>
      <c r="E406" s="96" t="s">
        <v>144</v>
      </c>
      <c r="F406" s="135">
        <v>726</v>
      </c>
      <c r="G406" s="45" t="s">
        <v>0</v>
      </c>
      <c r="H406" s="37">
        <v>270</v>
      </c>
      <c r="I406" s="274">
        <v>1366.2</v>
      </c>
      <c r="J406" s="36">
        <f t="shared" si="114"/>
        <v>0</v>
      </c>
      <c r="K406" s="225">
        <f t="shared" si="120"/>
        <v>5.0599999999999996</v>
      </c>
      <c r="L406" s="154">
        <f>K406*J696</f>
        <v>0</v>
      </c>
      <c r="M406" s="281"/>
      <c r="N406" s="109"/>
      <c r="O406" s="37">
        <v>270</v>
      </c>
      <c r="P406" s="225">
        <f t="shared" si="118"/>
        <v>1366.2</v>
      </c>
      <c r="Q406" s="159" t="str">
        <f t="shared" ref="Q406:Q411" si="122">E406</f>
        <v>П7х7х4,8</v>
      </c>
      <c r="R406" s="288">
        <f t="shared" si="112"/>
        <v>7.08</v>
      </c>
      <c r="S406" s="259">
        <v>5.9</v>
      </c>
      <c r="T406" s="268">
        <f t="shared" si="121"/>
        <v>0</v>
      </c>
      <c r="U406" s="16">
        <f>350+407</f>
        <v>757</v>
      </c>
      <c r="V406" s="18">
        <f t="shared" si="116"/>
        <v>0</v>
      </c>
      <c r="W406" s="49">
        <f t="shared" ref="W406:W411" si="123">X406-U406+V406</f>
        <v>0</v>
      </c>
      <c r="X406" s="16">
        <f>350+407</f>
        <v>757</v>
      </c>
    </row>
    <row r="407" spans="2:24" ht="26.25" hidden="1" customHeight="1" x14ac:dyDescent="0.25">
      <c r="B407" s="11"/>
      <c r="C407" s="6" t="s">
        <v>18</v>
      </c>
      <c r="D407" s="21" t="s">
        <v>72</v>
      </c>
      <c r="E407" s="96" t="s">
        <v>266</v>
      </c>
      <c r="F407" s="135">
        <v>758</v>
      </c>
      <c r="G407" s="45" t="s">
        <v>0</v>
      </c>
      <c r="H407" s="37"/>
      <c r="I407" s="274">
        <v>0</v>
      </c>
      <c r="J407" s="36">
        <f t="shared" si="114"/>
        <v>0</v>
      </c>
      <c r="K407" s="225">
        <f t="shared" si="120"/>
        <v>7.31</v>
      </c>
      <c r="L407" s="154"/>
      <c r="M407" s="280" t="s">
        <v>532</v>
      </c>
      <c r="N407" s="109"/>
      <c r="O407" s="37"/>
      <c r="P407" s="336">
        <f t="shared" si="118"/>
        <v>0</v>
      </c>
      <c r="Q407" s="48" t="str">
        <f t="shared" si="122"/>
        <v>П7х7х2,5</v>
      </c>
      <c r="R407" s="288">
        <f t="shared" si="112"/>
        <v>10.24</v>
      </c>
      <c r="S407" s="259">
        <v>8.5299999999999994</v>
      </c>
      <c r="T407" s="268">
        <f t="shared" si="121"/>
        <v>0</v>
      </c>
      <c r="U407" s="16">
        <f>6-3</f>
        <v>3</v>
      </c>
      <c r="V407" s="18">
        <f t="shared" si="116"/>
        <v>0</v>
      </c>
      <c r="W407" s="49">
        <f t="shared" si="123"/>
        <v>0</v>
      </c>
      <c r="X407" s="16">
        <f>6-3</f>
        <v>3</v>
      </c>
    </row>
    <row r="408" spans="2:24" ht="26.25" hidden="1" customHeight="1" x14ac:dyDescent="0.25">
      <c r="B408" s="11"/>
      <c r="C408" s="6" t="s">
        <v>18</v>
      </c>
      <c r="D408" s="21" t="s">
        <v>72</v>
      </c>
      <c r="E408" s="96" t="s">
        <v>421</v>
      </c>
      <c r="F408" s="191">
        <v>494</v>
      </c>
      <c r="G408" s="45"/>
      <c r="H408" s="37"/>
      <c r="I408" s="225">
        <v>0</v>
      </c>
      <c r="J408" s="36">
        <f t="shared" si="114"/>
        <v>0</v>
      </c>
      <c r="K408" s="225">
        <f t="shared" si="120"/>
        <v>4.5</v>
      </c>
      <c r="L408" s="154"/>
      <c r="M408" s="158" t="s">
        <v>570</v>
      </c>
      <c r="N408" s="109"/>
      <c r="O408" s="354"/>
      <c r="P408" s="225">
        <f t="shared" si="118"/>
        <v>0</v>
      </c>
      <c r="Q408" s="183" t="str">
        <f t="shared" si="122"/>
        <v>П14х7х2,4</v>
      </c>
      <c r="R408" s="288">
        <f>S408*1.2</f>
        <v>6.3</v>
      </c>
      <c r="S408" s="259">
        <v>5.25</v>
      </c>
      <c r="T408" s="268">
        <f t="shared" si="121"/>
        <v>0</v>
      </c>
      <c r="U408" s="16">
        <v>79</v>
      </c>
      <c r="V408" s="18">
        <f t="shared" si="116"/>
        <v>0</v>
      </c>
      <c r="W408" s="49">
        <f t="shared" si="123"/>
        <v>0</v>
      </c>
      <c r="X408" s="16">
        <v>79</v>
      </c>
    </row>
    <row r="409" spans="2:24" ht="26.25" hidden="1" customHeight="1" x14ac:dyDescent="0.25">
      <c r="B409" s="11"/>
      <c r="C409" s="6" t="s">
        <v>18</v>
      </c>
      <c r="D409" s="21" t="s">
        <v>72</v>
      </c>
      <c r="E409" s="96" t="s">
        <v>422</v>
      </c>
      <c r="F409" s="191"/>
      <c r="G409" s="45"/>
      <c r="H409" s="37"/>
      <c r="I409" s="225">
        <v>0</v>
      </c>
      <c r="J409" s="36">
        <f t="shared" si="114"/>
        <v>0</v>
      </c>
      <c r="K409" s="225">
        <f t="shared" si="120"/>
        <v>0</v>
      </c>
      <c r="L409" s="154"/>
      <c r="M409" s="60"/>
      <c r="N409" s="109"/>
      <c r="O409" s="37"/>
      <c r="P409" s="344">
        <f t="shared" si="118"/>
        <v>0</v>
      </c>
      <c r="Q409" s="184" t="str">
        <f t="shared" si="122"/>
        <v>П7х6х3</v>
      </c>
      <c r="R409" s="288">
        <f>S409*1.2</f>
        <v>0</v>
      </c>
      <c r="S409" s="259">
        <v>0</v>
      </c>
      <c r="T409" s="268">
        <f t="shared" si="121"/>
        <v>0</v>
      </c>
      <c r="U409" s="16">
        <v>9</v>
      </c>
      <c r="V409" s="18">
        <f t="shared" si="116"/>
        <v>0</v>
      </c>
      <c r="W409" s="49">
        <f t="shared" si="123"/>
        <v>0</v>
      </c>
      <c r="X409" s="16">
        <v>9</v>
      </c>
    </row>
    <row r="410" spans="2:24" ht="26.25" customHeight="1" x14ac:dyDescent="0.25">
      <c r="B410" s="11">
        <v>119</v>
      </c>
      <c r="C410" s="6" t="s">
        <v>18</v>
      </c>
      <c r="D410" s="21" t="s">
        <v>72</v>
      </c>
      <c r="E410" s="99" t="s">
        <v>432</v>
      </c>
      <c r="F410" s="367">
        <v>1268</v>
      </c>
      <c r="G410" s="45" t="s">
        <v>0</v>
      </c>
      <c r="H410" s="37">
        <v>2</v>
      </c>
      <c r="I410" s="274">
        <v>12.26</v>
      </c>
      <c r="J410" s="36">
        <f t="shared" si="114"/>
        <v>0</v>
      </c>
      <c r="K410" s="225">
        <v>6.13</v>
      </c>
      <c r="L410" s="154">
        <f>K410*J700</f>
        <v>0</v>
      </c>
      <c r="M410" s="282"/>
      <c r="N410" s="109"/>
      <c r="O410" s="37">
        <v>2</v>
      </c>
      <c r="P410" s="225">
        <f t="shared" si="118"/>
        <v>12.26</v>
      </c>
      <c r="Q410" s="159" t="str">
        <f t="shared" si="122"/>
        <v>П10х10х4</v>
      </c>
      <c r="R410" s="288">
        <f>S410*1.2</f>
        <v>8.58</v>
      </c>
      <c r="S410" s="259">
        <v>7.15</v>
      </c>
      <c r="T410" s="268">
        <f t="shared" si="121"/>
        <v>0</v>
      </c>
      <c r="U410" s="16">
        <v>8</v>
      </c>
      <c r="V410" s="18">
        <f t="shared" si="116"/>
        <v>0</v>
      </c>
      <c r="W410" s="49">
        <f t="shared" si="123"/>
        <v>0</v>
      </c>
      <c r="X410" s="16">
        <v>8</v>
      </c>
    </row>
    <row r="411" spans="2:24" ht="26.25" hidden="1" customHeight="1" x14ac:dyDescent="0.25">
      <c r="B411" s="11"/>
      <c r="C411" s="6" t="s">
        <v>18</v>
      </c>
      <c r="D411" s="21" t="s">
        <v>72</v>
      </c>
      <c r="E411" s="99" t="s">
        <v>577</v>
      </c>
      <c r="F411" s="297">
        <v>1255</v>
      </c>
      <c r="G411" s="12"/>
      <c r="H411" s="37"/>
      <c r="I411" s="225">
        <v>0</v>
      </c>
      <c r="J411" s="36">
        <f t="shared" si="114"/>
        <v>0</v>
      </c>
      <c r="K411" s="225">
        <f>R411/1.4</f>
        <v>12</v>
      </c>
      <c r="L411" s="154"/>
      <c r="M411" s="92" t="s">
        <v>412</v>
      </c>
      <c r="N411" s="109"/>
      <c r="O411" s="37"/>
      <c r="P411" s="344">
        <f t="shared" si="118"/>
        <v>0</v>
      </c>
      <c r="Q411" s="183" t="str">
        <f t="shared" si="122"/>
        <v>П12х10х20 (скл. Интеграл)</v>
      </c>
      <c r="R411" s="288">
        <f>S411*1.2</f>
        <v>16.8</v>
      </c>
      <c r="S411" s="259">
        <v>14</v>
      </c>
      <c r="T411" s="268">
        <f t="shared" si="121"/>
        <v>0</v>
      </c>
      <c r="U411" s="16">
        <v>8</v>
      </c>
      <c r="V411" s="18">
        <f t="shared" si="116"/>
        <v>0</v>
      </c>
      <c r="W411" s="49">
        <f t="shared" si="123"/>
        <v>0</v>
      </c>
      <c r="X411" s="16">
        <v>8</v>
      </c>
    </row>
    <row r="412" spans="2:24" ht="26.25" hidden="1" customHeight="1" x14ac:dyDescent="0.25">
      <c r="B412" s="11"/>
      <c r="C412" s="6"/>
      <c r="D412" s="21"/>
      <c r="E412" s="1" t="s">
        <v>317</v>
      </c>
      <c r="F412" s="297"/>
      <c r="G412" s="12"/>
      <c r="H412" s="37"/>
      <c r="I412" s="225"/>
      <c r="J412" s="36">
        <f t="shared" si="114"/>
        <v>0</v>
      </c>
      <c r="K412" s="225"/>
      <c r="L412" s="154"/>
      <c r="M412" s="92"/>
      <c r="N412" s="109"/>
      <c r="O412" s="37"/>
      <c r="P412" s="225"/>
      <c r="Q412" s="183"/>
      <c r="R412" s="288"/>
      <c r="S412" s="259"/>
      <c r="T412" s="268">
        <f t="shared" si="121"/>
        <v>0</v>
      </c>
      <c r="U412" s="16"/>
      <c r="V412" s="18">
        <f t="shared" si="116"/>
        <v>0</v>
      </c>
      <c r="W412" s="49"/>
      <c r="X412" s="16"/>
    </row>
    <row r="413" spans="2:24" ht="26.25" hidden="1" customHeight="1" x14ac:dyDescent="0.25">
      <c r="B413" s="11"/>
      <c r="C413" s="6" t="s">
        <v>18</v>
      </c>
      <c r="D413" s="21" t="s">
        <v>72</v>
      </c>
      <c r="E413" s="1" t="s">
        <v>246</v>
      </c>
      <c r="F413" s="297">
        <v>1222</v>
      </c>
      <c r="G413" s="12"/>
      <c r="H413" s="37"/>
      <c r="I413" s="225">
        <v>0</v>
      </c>
      <c r="J413" s="36">
        <f t="shared" si="114"/>
        <v>0</v>
      </c>
      <c r="K413" s="225">
        <f t="shared" ref="K413:K439" si="124">R413/1.4</f>
        <v>7.97</v>
      </c>
      <c r="L413" s="154"/>
      <c r="M413" s="92" t="s">
        <v>322</v>
      </c>
      <c r="N413" s="109"/>
      <c r="O413" s="37"/>
      <c r="P413" s="225">
        <f t="shared" ref="P413:P427" si="125">K413*O413</f>
        <v>0</v>
      </c>
      <c r="Q413" s="159" t="str">
        <f t="shared" ref="Q413:Q439" si="126">E413</f>
        <v>П20х10х7,5</v>
      </c>
      <c r="R413" s="288">
        <f t="shared" ref="R413:R439" si="127">S413*1.2</f>
        <v>11.16</v>
      </c>
      <c r="S413" s="259">
        <v>9.3000000000000007</v>
      </c>
      <c r="T413" s="268">
        <f t="shared" si="121"/>
        <v>0</v>
      </c>
      <c r="U413" s="16">
        <f>162*4+32</f>
        <v>680</v>
      </c>
      <c r="V413" s="18">
        <f t="shared" si="116"/>
        <v>0</v>
      </c>
      <c r="W413" s="49">
        <f t="shared" ref="W413:W428" si="128">X413-U413+V413</f>
        <v>0</v>
      </c>
      <c r="X413" s="16">
        <f>162*4+32</f>
        <v>680</v>
      </c>
    </row>
    <row r="414" spans="2:24" ht="26.25" hidden="1" customHeight="1" x14ac:dyDescent="0.25">
      <c r="B414" s="17"/>
      <c r="C414" s="6" t="s">
        <v>18</v>
      </c>
      <c r="D414" s="21" t="s">
        <v>72</v>
      </c>
      <c r="E414" s="98" t="s">
        <v>244</v>
      </c>
      <c r="F414" s="297"/>
      <c r="G414" s="13" t="s">
        <v>0</v>
      </c>
      <c r="H414" s="36"/>
      <c r="I414" s="225">
        <v>0</v>
      </c>
      <c r="J414" s="36">
        <f t="shared" si="114"/>
        <v>0</v>
      </c>
      <c r="K414" s="225">
        <f t="shared" si="124"/>
        <v>197.14</v>
      </c>
      <c r="L414" s="154"/>
      <c r="M414" s="144" t="s">
        <v>271</v>
      </c>
      <c r="N414" s="109"/>
      <c r="O414" s="36"/>
      <c r="P414" s="225">
        <f t="shared" si="125"/>
        <v>0</v>
      </c>
      <c r="Q414" s="159" t="str">
        <f t="shared" si="126"/>
        <v>П30х30х15</v>
      </c>
      <c r="R414" s="288">
        <f t="shared" si="127"/>
        <v>276</v>
      </c>
      <c r="S414" s="235">
        <v>230</v>
      </c>
      <c r="T414" s="268">
        <f t="shared" si="121"/>
        <v>0</v>
      </c>
      <c r="U414" s="16">
        <v>2</v>
      </c>
      <c r="V414" s="18">
        <f t="shared" si="116"/>
        <v>0</v>
      </c>
      <c r="W414" s="49">
        <f t="shared" si="128"/>
        <v>0</v>
      </c>
      <c r="X414" s="16">
        <v>2</v>
      </c>
    </row>
    <row r="415" spans="2:24" ht="26.25" hidden="1" customHeight="1" x14ac:dyDescent="0.25">
      <c r="B415" s="17"/>
      <c r="C415" s="6" t="s">
        <v>18</v>
      </c>
      <c r="D415" s="21" t="s">
        <v>72</v>
      </c>
      <c r="E415" s="98" t="s">
        <v>420</v>
      </c>
      <c r="F415" s="297"/>
      <c r="G415" s="13"/>
      <c r="H415" s="36"/>
      <c r="I415" s="225">
        <v>0</v>
      </c>
      <c r="J415" s="36">
        <f t="shared" si="114"/>
        <v>0</v>
      </c>
      <c r="K415" s="225">
        <f t="shared" si="124"/>
        <v>14.66</v>
      </c>
      <c r="L415" s="154">
        <f>K415*J705</f>
        <v>0</v>
      </c>
      <c r="M415" s="86"/>
      <c r="N415" s="109"/>
      <c r="O415" s="36"/>
      <c r="P415" s="225">
        <f t="shared" si="125"/>
        <v>0</v>
      </c>
      <c r="Q415" s="159" t="str">
        <f t="shared" si="126"/>
        <v>П55х24х3</v>
      </c>
      <c r="R415" s="288">
        <f t="shared" si="127"/>
        <v>20.52</v>
      </c>
      <c r="S415" s="235">
        <v>17.100000000000001</v>
      </c>
      <c r="T415" s="268">
        <f t="shared" si="121"/>
        <v>0</v>
      </c>
      <c r="U415" s="16">
        <f>16*8+11</f>
        <v>139</v>
      </c>
      <c r="V415" s="18">
        <f t="shared" si="116"/>
        <v>0</v>
      </c>
      <c r="W415" s="49">
        <f t="shared" si="128"/>
        <v>0</v>
      </c>
      <c r="X415" s="16">
        <f>16*8+11</f>
        <v>139</v>
      </c>
    </row>
    <row r="416" spans="2:24" ht="26.25" hidden="1" customHeight="1" x14ac:dyDescent="0.25">
      <c r="B416" s="17"/>
      <c r="C416" s="6" t="s">
        <v>18</v>
      </c>
      <c r="D416" s="21" t="s">
        <v>72</v>
      </c>
      <c r="E416" s="98" t="s">
        <v>251</v>
      </c>
      <c r="F416" s="297"/>
      <c r="G416" s="13"/>
      <c r="H416" s="36"/>
      <c r="I416" s="225">
        <v>0</v>
      </c>
      <c r="J416" s="36">
        <f t="shared" ref="J416:J439" si="129">N416+O416-H416</f>
        <v>0</v>
      </c>
      <c r="K416" s="225">
        <f t="shared" si="124"/>
        <v>0</v>
      </c>
      <c r="L416" s="154"/>
      <c r="M416" s="86"/>
      <c r="N416" s="109"/>
      <c r="O416" s="36"/>
      <c r="P416" s="225">
        <f t="shared" si="125"/>
        <v>0</v>
      </c>
      <c r="Q416" s="159" t="str">
        <f t="shared" si="126"/>
        <v>П26х19х3</v>
      </c>
      <c r="R416" s="288">
        <f t="shared" si="127"/>
        <v>0</v>
      </c>
      <c r="S416" s="235">
        <v>0</v>
      </c>
      <c r="T416" s="268">
        <f t="shared" si="121"/>
        <v>0</v>
      </c>
      <c r="U416" s="16">
        <v>4</v>
      </c>
      <c r="V416" s="18">
        <f t="shared" si="116"/>
        <v>0</v>
      </c>
      <c r="W416" s="49">
        <f t="shared" si="128"/>
        <v>0</v>
      </c>
      <c r="X416" s="16">
        <v>4</v>
      </c>
    </row>
    <row r="417" spans="1:24" ht="26.25" hidden="1" customHeight="1" x14ac:dyDescent="0.25">
      <c r="B417" s="17"/>
      <c r="C417" s="6" t="s">
        <v>18</v>
      </c>
      <c r="D417" s="21" t="s">
        <v>72</v>
      </c>
      <c r="E417" s="98" t="s">
        <v>355</v>
      </c>
      <c r="F417" s="297"/>
      <c r="G417" s="13"/>
      <c r="H417" s="36"/>
      <c r="I417" s="225">
        <v>0</v>
      </c>
      <c r="J417" s="36">
        <f t="shared" si="129"/>
        <v>0</v>
      </c>
      <c r="K417" s="225">
        <f t="shared" si="124"/>
        <v>0</v>
      </c>
      <c r="L417" s="154"/>
      <c r="M417" s="86"/>
      <c r="N417" s="109"/>
      <c r="O417" s="36"/>
      <c r="P417" s="225">
        <f t="shared" si="125"/>
        <v>0</v>
      </c>
      <c r="Q417" s="159" t="str">
        <f t="shared" si="126"/>
        <v>П20х10х5</v>
      </c>
      <c r="R417" s="288">
        <f t="shared" si="127"/>
        <v>0</v>
      </c>
      <c r="S417" s="235">
        <v>0</v>
      </c>
      <c r="T417" s="268">
        <f t="shared" si="121"/>
        <v>0</v>
      </c>
      <c r="U417" s="16">
        <v>40</v>
      </c>
      <c r="V417" s="18">
        <f t="shared" si="116"/>
        <v>0</v>
      </c>
      <c r="W417" s="49">
        <f t="shared" si="128"/>
        <v>0</v>
      </c>
      <c r="X417" s="16">
        <v>40</v>
      </c>
    </row>
    <row r="418" spans="1:24" ht="26.25" hidden="1" customHeight="1" x14ac:dyDescent="0.25">
      <c r="B418" s="17"/>
      <c r="C418" s="6" t="s">
        <v>18</v>
      </c>
      <c r="D418" s="21" t="s">
        <v>72</v>
      </c>
      <c r="E418" s="98" t="s">
        <v>445</v>
      </c>
      <c r="F418" s="297">
        <v>1066</v>
      </c>
      <c r="G418" s="45" t="s">
        <v>0</v>
      </c>
      <c r="H418" s="36"/>
      <c r="I418" s="274">
        <v>0</v>
      </c>
      <c r="J418" s="36">
        <f t="shared" si="129"/>
        <v>0</v>
      </c>
      <c r="K418" s="225">
        <f t="shared" si="124"/>
        <v>54.43</v>
      </c>
      <c r="L418" s="154"/>
      <c r="M418" s="87" t="s">
        <v>501</v>
      </c>
      <c r="N418" s="109"/>
      <c r="O418" s="36"/>
      <c r="P418" s="274">
        <f t="shared" si="125"/>
        <v>0</v>
      </c>
      <c r="Q418" s="159" t="str">
        <f t="shared" si="126"/>
        <v>П50х8,5х2,7(БРАС757157.001-01)</v>
      </c>
      <c r="R418" s="288">
        <f t="shared" si="127"/>
        <v>76.2</v>
      </c>
      <c r="S418" s="235">
        <v>63.5</v>
      </c>
      <c r="T418" s="268">
        <f t="shared" si="121"/>
        <v>0</v>
      </c>
      <c r="U418" s="330">
        <v>2</v>
      </c>
      <c r="V418" s="18">
        <f t="shared" si="116"/>
        <v>0</v>
      </c>
      <c r="W418" s="49">
        <f t="shared" si="128"/>
        <v>0</v>
      </c>
      <c r="X418" s="330">
        <v>2</v>
      </c>
    </row>
    <row r="419" spans="1:24" ht="26.25" hidden="1" customHeight="1" x14ac:dyDescent="0.25">
      <c r="B419" s="17"/>
      <c r="C419" s="6" t="s">
        <v>18</v>
      </c>
      <c r="D419" s="21" t="s">
        <v>72</v>
      </c>
      <c r="E419" s="98" t="s">
        <v>444</v>
      </c>
      <c r="F419" s="297">
        <v>1059</v>
      </c>
      <c r="G419" s="45" t="s">
        <v>0</v>
      </c>
      <c r="H419" s="36"/>
      <c r="I419" s="274">
        <v>0</v>
      </c>
      <c r="J419" s="36">
        <f t="shared" si="129"/>
        <v>0</v>
      </c>
      <c r="K419" s="225">
        <f t="shared" si="124"/>
        <v>54.43</v>
      </c>
      <c r="L419" s="154"/>
      <c r="M419" s="87" t="s">
        <v>501</v>
      </c>
      <c r="N419" s="109"/>
      <c r="O419" s="36"/>
      <c r="P419" s="274">
        <f t="shared" si="125"/>
        <v>0</v>
      </c>
      <c r="Q419" s="159" t="str">
        <f t="shared" si="126"/>
        <v>П50х8,5х2,7(БРАС757157.001)</v>
      </c>
      <c r="R419" s="288">
        <f t="shared" si="127"/>
        <v>76.2</v>
      </c>
      <c r="S419" s="235">
        <v>63.5</v>
      </c>
      <c r="T419" s="268">
        <f t="shared" si="121"/>
        <v>0</v>
      </c>
      <c r="U419" s="330">
        <v>2</v>
      </c>
      <c r="V419" s="18">
        <f t="shared" si="116"/>
        <v>0</v>
      </c>
      <c r="W419" s="49">
        <f t="shared" si="128"/>
        <v>0</v>
      </c>
      <c r="X419" s="330">
        <v>2</v>
      </c>
    </row>
    <row r="420" spans="1:24" ht="26.25" hidden="1" customHeight="1" x14ac:dyDescent="0.25">
      <c r="B420" s="17"/>
      <c r="C420" s="6" t="s">
        <v>18</v>
      </c>
      <c r="D420" s="21" t="s">
        <v>72</v>
      </c>
      <c r="E420" s="98" t="s">
        <v>502</v>
      </c>
      <c r="F420" s="297"/>
      <c r="G420" s="13"/>
      <c r="H420" s="36"/>
      <c r="I420" s="225">
        <v>0</v>
      </c>
      <c r="J420" s="36">
        <f t="shared" si="129"/>
        <v>0</v>
      </c>
      <c r="K420" s="225">
        <f t="shared" si="124"/>
        <v>17.14</v>
      </c>
      <c r="L420" s="154">
        <f>K420*J710</f>
        <v>0</v>
      </c>
      <c r="M420" s="86"/>
      <c r="N420" s="109"/>
      <c r="O420" s="36"/>
      <c r="P420" s="225">
        <f t="shared" si="125"/>
        <v>0</v>
      </c>
      <c r="Q420" s="159" t="str">
        <f t="shared" si="126"/>
        <v>П10х7х2,5</v>
      </c>
      <c r="R420" s="288">
        <f t="shared" si="127"/>
        <v>24</v>
      </c>
      <c r="S420" s="235">
        <v>20</v>
      </c>
      <c r="T420" s="268">
        <f t="shared" si="121"/>
        <v>0</v>
      </c>
      <c r="U420" s="16">
        <f>30+49</f>
        <v>79</v>
      </c>
      <c r="V420" s="18">
        <f t="shared" si="116"/>
        <v>0</v>
      </c>
      <c r="W420" s="49">
        <f t="shared" si="128"/>
        <v>0</v>
      </c>
      <c r="X420" s="16">
        <f>30+49</f>
        <v>79</v>
      </c>
    </row>
    <row r="421" spans="1:24" ht="26.25" hidden="1" customHeight="1" x14ac:dyDescent="0.25">
      <c r="B421" s="17"/>
      <c r="C421" s="6" t="s">
        <v>18</v>
      </c>
      <c r="D421" s="21" t="s">
        <v>72</v>
      </c>
      <c r="E421" s="98" t="s">
        <v>419</v>
      </c>
      <c r="F421" s="297"/>
      <c r="G421" s="13" t="s">
        <v>0</v>
      </c>
      <c r="H421" s="36"/>
      <c r="I421" s="225">
        <v>0</v>
      </c>
      <c r="J421" s="36">
        <f t="shared" si="129"/>
        <v>0</v>
      </c>
      <c r="K421" s="225">
        <f t="shared" si="124"/>
        <v>0</v>
      </c>
      <c r="L421" s="154">
        <f>K421*J711</f>
        <v>0</v>
      </c>
      <c r="M421" s="60"/>
      <c r="N421" s="109"/>
      <c r="O421" s="36"/>
      <c r="P421" s="225">
        <f t="shared" si="125"/>
        <v>0</v>
      </c>
      <c r="Q421" s="159" t="str">
        <f t="shared" si="126"/>
        <v>П55х40х3</v>
      </c>
      <c r="R421" s="288">
        <f t="shared" si="127"/>
        <v>0</v>
      </c>
      <c r="S421" s="235">
        <v>0</v>
      </c>
      <c r="T421" s="268">
        <f t="shared" si="121"/>
        <v>0</v>
      </c>
      <c r="U421" s="16">
        <f>20*11+5</f>
        <v>225</v>
      </c>
      <c r="V421" s="18">
        <f t="shared" si="116"/>
        <v>0</v>
      </c>
      <c r="W421" s="49">
        <f t="shared" si="128"/>
        <v>0</v>
      </c>
      <c r="X421" s="16">
        <f>20*11+5</f>
        <v>225</v>
      </c>
    </row>
    <row r="422" spans="1:24" ht="26.25" hidden="1" customHeight="1" x14ac:dyDescent="0.25">
      <c r="B422" s="17"/>
      <c r="C422" s="6" t="s">
        <v>18</v>
      </c>
      <c r="D422" s="21" t="s">
        <v>72</v>
      </c>
      <c r="E422" s="98" t="s">
        <v>267</v>
      </c>
      <c r="F422" s="297"/>
      <c r="G422" s="13"/>
      <c r="H422" s="36"/>
      <c r="I422" s="225">
        <v>0</v>
      </c>
      <c r="J422" s="36">
        <f t="shared" si="129"/>
        <v>0</v>
      </c>
      <c r="K422" s="225">
        <f t="shared" si="124"/>
        <v>0</v>
      </c>
      <c r="L422" s="154"/>
      <c r="M422" s="103"/>
      <c r="N422" s="109"/>
      <c r="O422" s="36"/>
      <c r="P422" s="350">
        <f t="shared" si="125"/>
        <v>0</v>
      </c>
      <c r="Q422" s="159" t="str">
        <f t="shared" si="126"/>
        <v>П42х42х47</v>
      </c>
      <c r="R422" s="288">
        <f t="shared" si="127"/>
        <v>0</v>
      </c>
      <c r="S422" s="235">
        <v>0</v>
      </c>
      <c r="T422" s="268">
        <f t="shared" si="121"/>
        <v>0</v>
      </c>
      <c r="U422" s="16"/>
      <c r="V422" s="18">
        <f t="shared" si="116"/>
        <v>0</v>
      </c>
      <c r="W422" s="49">
        <f t="shared" si="128"/>
        <v>0</v>
      </c>
      <c r="X422" s="16"/>
    </row>
    <row r="423" spans="1:24" s="4" customFormat="1" ht="26.25" hidden="1" customHeight="1" x14ac:dyDescent="0.25">
      <c r="A423" s="10"/>
      <c r="B423" s="17"/>
      <c r="C423" s="6" t="s">
        <v>18</v>
      </c>
      <c r="D423" s="21" t="s">
        <v>72</v>
      </c>
      <c r="E423" s="83" t="s">
        <v>553</v>
      </c>
      <c r="F423" s="308">
        <v>693</v>
      </c>
      <c r="G423" s="13"/>
      <c r="H423" s="36"/>
      <c r="I423" s="274">
        <v>0</v>
      </c>
      <c r="J423" s="36">
        <f t="shared" si="129"/>
        <v>0</v>
      </c>
      <c r="K423" s="225">
        <f t="shared" si="124"/>
        <v>3.51</v>
      </c>
      <c r="L423" s="154"/>
      <c r="M423" s="158" t="s">
        <v>569</v>
      </c>
      <c r="N423" s="109"/>
      <c r="O423" s="353"/>
      <c r="P423" s="225">
        <f t="shared" si="125"/>
        <v>0</v>
      </c>
      <c r="Q423" s="159" t="str">
        <f t="shared" si="126"/>
        <v>П10х7х2,4</v>
      </c>
      <c r="R423" s="223">
        <f t="shared" si="127"/>
        <v>4.92</v>
      </c>
      <c r="S423" s="235">
        <v>4.0999999999999996</v>
      </c>
      <c r="T423" s="268">
        <f t="shared" si="121"/>
        <v>0</v>
      </c>
      <c r="U423" s="16"/>
      <c r="V423" s="18">
        <f t="shared" si="116"/>
        <v>0</v>
      </c>
      <c r="W423" s="49">
        <f t="shared" si="128"/>
        <v>0</v>
      </c>
      <c r="X423" s="16"/>
    </row>
    <row r="424" spans="1:24" ht="26.25" hidden="1" customHeight="1" x14ac:dyDescent="0.25">
      <c r="B424" s="15"/>
      <c r="C424" s="6" t="s">
        <v>18</v>
      </c>
      <c r="D424" s="21" t="s">
        <v>72</v>
      </c>
      <c r="E424" s="1" t="s">
        <v>417</v>
      </c>
      <c r="F424" s="297">
        <v>1148</v>
      </c>
      <c r="G424" s="13"/>
      <c r="H424" s="36"/>
      <c r="I424" s="225">
        <v>0</v>
      </c>
      <c r="J424" s="36">
        <f t="shared" si="129"/>
        <v>0</v>
      </c>
      <c r="K424" s="225">
        <f t="shared" si="124"/>
        <v>6</v>
      </c>
      <c r="L424" s="154"/>
      <c r="M424" s="144" t="s">
        <v>270</v>
      </c>
      <c r="N424" s="109"/>
      <c r="O424" s="36"/>
      <c r="P424" s="344">
        <f t="shared" si="125"/>
        <v>0</v>
      </c>
      <c r="Q424" s="159" t="str">
        <f t="shared" si="126"/>
        <v>П50х40х5</v>
      </c>
      <c r="R424" s="288">
        <f t="shared" si="127"/>
        <v>8.4</v>
      </c>
      <c r="S424" s="235">
        <v>7</v>
      </c>
      <c r="T424" s="268">
        <f t="shared" si="121"/>
        <v>0</v>
      </c>
      <c r="U424" s="16">
        <v>13</v>
      </c>
      <c r="V424" s="18">
        <f t="shared" si="116"/>
        <v>0</v>
      </c>
      <c r="W424" s="49">
        <f t="shared" si="128"/>
        <v>0</v>
      </c>
      <c r="X424" s="16">
        <v>13</v>
      </c>
    </row>
    <row r="425" spans="1:24" ht="26.25" hidden="1" customHeight="1" x14ac:dyDescent="0.25">
      <c r="B425" s="15"/>
      <c r="C425" s="6" t="s">
        <v>18</v>
      </c>
      <c r="D425" s="21" t="s">
        <v>72</v>
      </c>
      <c r="E425" s="1" t="s">
        <v>416</v>
      </c>
      <c r="F425" s="297">
        <v>1150</v>
      </c>
      <c r="G425" s="13"/>
      <c r="H425" s="36"/>
      <c r="I425" s="225">
        <v>0</v>
      </c>
      <c r="J425" s="36">
        <f t="shared" si="129"/>
        <v>0</v>
      </c>
      <c r="K425" s="225">
        <f t="shared" si="124"/>
        <v>21.43</v>
      </c>
      <c r="L425" s="154"/>
      <c r="M425" s="144" t="s">
        <v>270</v>
      </c>
      <c r="N425" s="109"/>
      <c r="O425" s="36"/>
      <c r="P425" s="225">
        <f t="shared" si="125"/>
        <v>0</v>
      </c>
      <c r="Q425" s="159" t="str">
        <f t="shared" si="126"/>
        <v>П50х40х10</v>
      </c>
      <c r="R425" s="288">
        <f t="shared" si="127"/>
        <v>30</v>
      </c>
      <c r="S425" s="235">
        <v>25</v>
      </c>
      <c r="T425" s="268">
        <f t="shared" si="121"/>
        <v>0</v>
      </c>
      <c r="U425" s="16">
        <v>41</v>
      </c>
      <c r="V425" s="18">
        <f t="shared" si="116"/>
        <v>0</v>
      </c>
      <c r="W425" s="49">
        <f t="shared" si="128"/>
        <v>0</v>
      </c>
      <c r="X425" s="16">
        <v>41</v>
      </c>
    </row>
    <row r="426" spans="1:24" ht="26.25" hidden="1" customHeight="1" x14ac:dyDescent="0.25">
      <c r="B426" s="11"/>
      <c r="C426" s="6" t="s">
        <v>18</v>
      </c>
      <c r="D426" s="21" t="s">
        <v>72</v>
      </c>
      <c r="E426" s="102" t="s">
        <v>331</v>
      </c>
      <c r="F426" s="135">
        <v>1136</v>
      </c>
      <c r="G426" s="45" t="s">
        <v>0</v>
      </c>
      <c r="H426" s="36"/>
      <c r="I426" s="225">
        <v>0</v>
      </c>
      <c r="J426" s="36">
        <f t="shared" si="129"/>
        <v>0</v>
      </c>
      <c r="K426" s="225">
        <f t="shared" si="124"/>
        <v>3.46</v>
      </c>
      <c r="L426" s="154">
        <f>K426*J716</f>
        <v>0</v>
      </c>
      <c r="M426" s="89" t="s">
        <v>334</v>
      </c>
      <c r="N426" s="109"/>
      <c r="O426" s="36"/>
      <c r="P426" s="225">
        <f t="shared" si="125"/>
        <v>0</v>
      </c>
      <c r="Q426" s="184" t="str">
        <f t="shared" si="126"/>
        <v>ВМ-1950.5679.13.03.003 (Д16х3)</v>
      </c>
      <c r="R426" s="288">
        <f t="shared" si="127"/>
        <v>4.84</v>
      </c>
      <c r="S426" s="235">
        <v>4.03</v>
      </c>
      <c r="T426" s="268">
        <f t="shared" si="121"/>
        <v>0</v>
      </c>
      <c r="U426" s="18"/>
      <c r="V426" s="18">
        <f t="shared" si="116"/>
        <v>0</v>
      </c>
      <c r="W426" s="49">
        <f t="shared" si="128"/>
        <v>0</v>
      </c>
      <c r="X426" s="18"/>
    </row>
    <row r="427" spans="1:24" ht="26.25" customHeight="1" x14ac:dyDescent="0.25">
      <c r="B427" s="11">
        <v>120</v>
      </c>
      <c r="C427" s="6" t="s">
        <v>26</v>
      </c>
      <c r="D427" s="21" t="s">
        <v>40</v>
      </c>
      <c r="E427" s="97" t="s">
        <v>73</v>
      </c>
      <c r="F427" s="135" t="s">
        <v>60</v>
      </c>
      <c r="G427" s="45" t="s">
        <v>0</v>
      </c>
      <c r="H427" s="36">
        <v>160</v>
      </c>
      <c r="I427" s="274">
        <v>8358.4</v>
      </c>
      <c r="J427" s="36">
        <f t="shared" si="129"/>
        <v>0</v>
      </c>
      <c r="K427" s="225">
        <f t="shared" si="124"/>
        <v>59.4</v>
      </c>
      <c r="L427" s="154">
        <f>K427*J717</f>
        <v>0</v>
      </c>
      <c r="M427" s="129" t="s">
        <v>210</v>
      </c>
      <c r="N427" s="109">
        <v>130</v>
      </c>
      <c r="O427" s="36">
        <v>30</v>
      </c>
      <c r="P427" s="225">
        <f t="shared" si="125"/>
        <v>1782</v>
      </c>
      <c r="Q427" s="159" t="str">
        <f t="shared" si="126"/>
        <v>Стержневой  СКЛ Д32-175</v>
      </c>
      <c r="R427" s="223">
        <f t="shared" si="127"/>
        <v>83.16</v>
      </c>
      <c r="S427" s="235">
        <v>69.3</v>
      </c>
      <c r="T427" s="268">
        <f t="shared" si="121"/>
        <v>0</v>
      </c>
      <c r="U427" s="116">
        <f>16*10</f>
        <v>160</v>
      </c>
      <c r="V427" s="18">
        <f t="shared" si="116"/>
        <v>130</v>
      </c>
      <c r="W427" s="49">
        <f t="shared" si="128"/>
        <v>100</v>
      </c>
      <c r="X427" s="325">
        <v>130</v>
      </c>
    </row>
    <row r="428" spans="1:24" ht="26.25" customHeight="1" x14ac:dyDescent="0.25">
      <c r="B428" s="11">
        <v>121</v>
      </c>
      <c r="C428" s="6" t="s">
        <v>26</v>
      </c>
      <c r="D428" s="21" t="s">
        <v>9</v>
      </c>
      <c r="E428" s="161" t="s">
        <v>132</v>
      </c>
      <c r="F428" s="135">
        <v>658</v>
      </c>
      <c r="G428" s="45" t="s">
        <v>0</v>
      </c>
      <c r="H428" s="36">
        <v>16</v>
      </c>
      <c r="I428" s="274">
        <v>71.66</v>
      </c>
      <c r="J428" s="36">
        <f t="shared" si="129"/>
        <v>0</v>
      </c>
      <c r="K428" s="225">
        <f t="shared" si="124"/>
        <v>4.47</v>
      </c>
      <c r="L428" s="154">
        <f>K428*J718</f>
        <v>0</v>
      </c>
      <c r="M428" s="90"/>
      <c r="N428" s="200"/>
      <c r="O428" s="36">
        <v>16</v>
      </c>
      <c r="P428" s="225">
        <v>71.66</v>
      </c>
      <c r="Q428" s="159" t="str">
        <f t="shared" si="126"/>
        <v>СКЛ   Д22х90</v>
      </c>
      <c r="R428" s="223">
        <f t="shared" si="127"/>
        <v>6.26</v>
      </c>
      <c r="S428" s="235">
        <v>5.22</v>
      </c>
      <c r="T428" s="268">
        <f t="shared" si="121"/>
        <v>0</v>
      </c>
      <c r="U428" s="18">
        <v>9</v>
      </c>
      <c r="V428" s="18">
        <f t="shared" si="116"/>
        <v>0</v>
      </c>
      <c r="W428" s="49">
        <f t="shared" si="128"/>
        <v>0</v>
      </c>
      <c r="X428" s="18">
        <v>9</v>
      </c>
    </row>
    <row r="429" spans="1:24" ht="26.25" customHeight="1" x14ac:dyDescent="0.25">
      <c r="B429" s="11">
        <v>122</v>
      </c>
      <c r="C429" s="6" t="s">
        <v>26</v>
      </c>
      <c r="D429" s="21" t="s">
        <v>9</v>
      </c>
      <c r="E429" s="331" t="s">
        <v>749</v>
      </c>
      <c r="F429" s="135">
        <v>1501</v>
      </c>
      <c r="G429" s="45"/>
      <c r="H429" s="36"/>
      <c r="I429" s="274">
        <v>0</v>
      </c>
      <c r="J429" s="36">
        <f t="shared" si="129"/>
        <v>1</v>
      </c>
      <c r="K429" s="225">
        <f t="shared" si="124"/>
        <v>728.57</v>
      </c>
      <c r="L429" s="154"/>
      <c r="M429" s="129" t="s">
        <v>210</v>
      </c>
      <c r="N429" s="200">
        <v>1</v>
      </c>
      <c r="O429" s="353"/>
      <c r="P429" s="225">
        <f t="shared" ref="P429:P439" si="130">K429*O429</f>
        <v>0</v>
      </c>
      <c r="Q429" s="159" t="str">
        <f t="shared" si="126"/>
        <v>СМП1 470х450х200</v>
      </c>
      <c r="R429" s="223">
        <f t="shared" si="127"/>
        <v>1020</v>
      </c>
      <c r="S429" s="235">
        <v>850</v>
      </c>
      <c r="T429" s="268">
        <f t="shared" si="121"/>
        <v>850</v>
      </c>
      <c r="U429" s="18"/>
      <c r="V429" s="18"/>
      <c r="W429" s="49"/>
      <c r="X429" s="18"/>
    </row>
    <row r="430" spans="1:24" ht="26.25" hidden="1" customHeight="1" x14ac:dyDescent="0.25">
      <c r="B430" s="11"/>
      <c r="C430" s="6" t="s">
        <v>678</v>
      </c>
      <c r="D430" s="21" t="s">
        <v>9</v>
      </c>
      <c r="E430" s="161" t="s">
        <v>680</v>
      </c>
      <c r="F430" s="135">
        <v>1385</v>
      </c>
      <c r="G430" s="45"/>
      <c r="H430" s="36"/>
      <c r="I430" s="274">
        <v>0</v>
      </c>
      <c r="J430" s="36">
        <f t="shared" si="129"/>
        <v>0</v>
      </c>
      <c r="K430" s="225">
        <f t="shared" si="124"/>
        <v>14.31</v>
      </c>
      <c r="L430" s="154"/>
      <c r="M430" s="214"/>
      <c r="N430" s="200"/>
      <c r="O430" s="353"/>
      <c r="P430" s="225">
        <f t="shared" si="130"/>
        <v>0</v>
      </c>
      <c r="Q430" s="159" t="str">
        <f t="shared" si="126"/>
        <v>Планка магнитная 0,75 м</v>
      </c>
      <c r="R430" s="223">
        <f t="shared" si="127"/>
        <v>20.04</v>
      </c>
      <c r="S430" s="235">
        <v>16.7</v>
      </c>
      <c r="T430" s="268"/>
      <c r="U430" s="18"/>
      <c r="V430" s="18"/>
      <c r="W430" s="49"/>
      <c r="X430" s="18"/>
    </row>
    <row r="431" spans="1:24" ht="26.25" hidden="1" customHeight="1" x14ac:dyDescent="0.25">
      <c r="B431" s="11"/>
      <c r="C431" s="6" t="s">
        <v>678</v>
      </c>
      <c r="D431" s="21" t="s">
        <v>9</v>
      </c>
      <c r="E431" s="161" t="s">
        <v>679</v>
      </c>
      <c r="F431" s="135">
        <v>1483</v>
      </c>
      <c r="G431" s="45"/>
      <c r="H431" s="36"/>
      <c r="I431" s="274">
        <v>0</v>
      </c>
      <c r="J431" s="36">
        <f t="shared" si="129"/>
        <v>0</v>
      </c>
      <c r="K431" s="225">
        <f t="shared" si="124"/>
        <v>18</v>
      </c>
      <c r="L431" s="154"/>
      <c r="M431" s="214"/>
      <c r="N431" s="200"/>
      <c r="O431" s="353"/>
      <c r="P431" s="225">
        <f t="shared" si="130"/>
        <v>0</v>
      </c>
      <c r="Q431" s="159" t="str">
        <f t="shared" si="126"/>
        <v>Планка магнитная  1 м</v>
      </c>
      <c r="R431" s="223">
        <f t="shared" si="127"/>
        <v>25.2</v>
      </c>
      <c r="S431" s="235">
        <v>21</v>
      </c>
      <c r="T431" s="268"/>
      <c r="U431" s="18"/>
      <c r="V431" s="18"/>
      <c r="W431" s="49"/>
      <c r="X431" s="18"/>
    </row>
    <row r="432" spans="1:24" ht="26.25" customHeight="1" x14ac:dyDescent="0.25">
      <c r="B432" s="11">
        <v>123</v>
      </c>
      <c r="C432" s="6" t="s">
        <v>369</v>
      </c>
      <c r="D432" s="21" t="s">
        <v>72</v>
      </c>
      <c r="E432" s="83" t="s">
        <v>370</v>
      </c>
      <c r="F432" s="367">
        <v>1190</v>
      </c>
      <c r="G432" s="45" t="s">
        <v>0</v>
      </c>
      <c r="H432" s="36">
        <v>50</v>
      </c>
      <c r="I432" s="274">
        <v>240</v>
      </c>
      <c r="J432" s="36">
        <f t="shared" si="129"/>
        <v>0</v>
      </c>
      <c r="K432" s="225">
        <f t="shared" si="124"/>
        <v>4.8</v>
      </c>
      <c r="L432" s="154">
        <f>K432*J719</f>
        <v>0</v>
      </c>
      <c r="M432" s="282"/>
      <c r="N432" s="109"/>
      <c r="O432" s="36">
        <v>50</v>
      </c>
      <c r="P432" s="225">
        <f t="shared" si="130"/>
        <v>240</v>
      </c>
      <c r="Q432" s="159" t="str">
        <f t="shared" si="126"/>
        <v>ПМ-8</v>
      </c>
      <c r="R432" s="288">
        <f t="shared" si="127"/>
        <v>6.72</v>
      </c>
      <c r="S432" s="235">
        <v>5.6</v>
      </c>
      <c r="T432" s="268">
        <f>S432*J432</f>
        <v>0</v>
      </c>
      <c r="U432" s="115">
        <v>300</v>
      </c>
      <c r="V432" s="18">
        <f t="shared" ref="V432:V439" si="131">N432</f>
        <v>0</v>
      </c>
      <c r="W432" s="49">
        <f>X432-U432+V432</f>
        <v>-250</v>
      </c>
      <c r="X432" s="397">
        <v>50</v>
      </c>
    </row>
    <row r="433" spans="2:208" ht="26.25" customHeight="1" x14ac:dyDescent="0.25">
      <c r="B433" s="11">
        <v>124</v>
      </c>
      <c r="C433" s="6" t="s">
        <v>26</v>
      </c>
      <c r="D433" s="21" t="s">
        <v>40</v>
      </c>
      <c r="E433" s="99" t="s">
        <v>248</v>
      </c>
      <c r="F433" s="135">
        <v>1056</v>
      </c>
      <c r="G433" s="45" t="s">
        <v>0</v>
      </c>
      <c r="H433" s="36">
        <v>24</v>
      </c>
      <c r="I433" s="274">
        <v>575.76</v>
      </c>
      <c r="J433" s="36">
        <f t="shared" si="129"/>
        <v>156</v>
      </c>
      <c r="K433" s="225">
        <f t="shared" si="124"/>
        <v>23.99</v>
      </c>
      <c r="L433" s="154">
        <f>K433*J720</f>
        <v>0</v>
      </c>
      <c r="M433" s="131" t="s">
        <v>210</v>
      </c>
      <c r="N433" s="109"/>
      <c r="O433" s="36">
        <v>180</v>
      </c>
      <c r="P433" s="225">
        <f t="shared" si="130"/>
        <v>4318.2</v>
      </c>
      <c r="Q433" s="184" t="str">
        <f t="shared" si="126"/>
        <v>СМУ-СКЛ НЖБ- 22х120</v>
      </c>
      <c r="R433" s="223">
        <f t="shared" si="127"/>
        <v>33.58</v>
      </c>
      <c r="S433" s="236">
        <v>27.98</v>
      </c>
      <c r="T433" s="268">
        <f>S433*J433</f>
        <v>4364.88</v>
      </c>
      <c r="U433" s="116">
        <v>20</v>
      </c>
      <c r="V433" s="18">
        <f t="shared" si="131"/>
        <v>0</v>
      </c>
      <c r="W433" s="49">
        <f>X433-U433+V433</f>
        <v>160</v>
      </c>
      <c r="X433" s="325">
        <v>180</v>
      </c>
    </row>
    <row r="434" spans="2:208" ht="26.25" hidden="1" customHeight="1" x14ac:dyDescent="0.25">
      <c r="B434" s="15"/>
      <c r="C434" s="6" t="s">
        <v>26</v>
      </c>
      <c r="D434" s="21" t="s">
        <v>40</v>
      </c>
      <c r="E434" s="331" t="s">
        <v>725</v>
      </c>
      <c r="F434" s="369">
        <v>435</v>
      </c>
      <c r="G434" s="9" t="s">
        <v>0</v>
      </c>
      <c r="H434" s="40"/>
      <c r="I434" s="274">
        <v>0</v>
      </c>
      <c r="J434" s="36">
        <f t="shared" si="129"/>
        <v>0</v>
      </c>
      <c r="K434" s="225">
        <f t="shared" si="124"/>
        <v>132.86000000000001</v>
      </c>
      <c r="L434" s="154">
        <f>K434*J721</f>
        <v>0</v>
      </c>
      <c r="M434" s="129" t="s">
        <v>210</v>
      </c>
      <c r="N434" s="204"/>
      <c r="O434" s="355"/>
      <c r="P434" s="225">
        <f t="shared" si="130"/>
        <v>0</v>
      </c>
      <c r="Q434" s="48" t="str">
        <f t="shared" si="126"/>
        <v>уловитель НЖБ стерж 22х125</v>
      </c>
      <c r="R434" s="223">
        <f t="shared" si="127"/>
        <v>186</v>
      </c>
      <c r="S434" s="236">
        <v>155</v>
      </c>
      <c r="T434" s="268">
        <f t="shared" ref="T434:T439" si="132">S434*J434</f>
        <v>0</v>
      </c>
      <c r="U434" s="18"/>
      <c r="V434" s="18">
        <f t="shared" si="131"/>
        <v>0</v>
      </c>
      <c r="W434" s="49">
        <f>X434-U434+V434</f>
        <v>0</v>
      </c>
      <c r="X434" s="18"/>
    </row>
    <row r="435" spans="2:208" ht="26.25" hidden="1" customHeight="1" x14ac:dyDescent="0.25">
      <c r="B435" s="15"/>
      <c r="C435" s="6" t="s">
        <v>26</v>
      </c>
      <c r="D435" s="21" t="s">
        <v>40</v>
      </c>
      <c r="E435" s="384" t="s">
        <v>714</v>
      </c>
      <c r="F435" s="369">
        <v>1494</v>
      </c>
      <c r="G435" s="45" t="s">
        <v>0</v>
      </c>
      <c r="H435" s="40"/>
      <c r="I435" s="274">
        <v>0</v>
      </c>
      <c r="J435" s="36">
        <f t="shared" si="129"/>
        <v>0</v>
      </c>
      <c r="K435" s="225">
        <f t="shared" si="124"/>
        <v>1457.14</v>
      </c>
      <c r="L435" s="154"/>
      <c r="M435" s="129" t="s">
        <v>210</v>
      </c>
      <c r="N435" s="204"/>
      <c r="O435" s="355"/>
      <c r="P435" s="225">
        <f t="shared" si="130"/>
        <v>0</v>
      </c>
      <c r="Q435" s="48" t="str">
        <f t="shared" si="126"/>
        <v>СМР1 300х250/5 с корпусом</v>
      </c>
      <c r="R435" s="223">
        <f t="shared" si="127"/>
        <v>2040</v>
      </c>
      <c r="S435" s="236">
        <v>1700</v>
      </c>
      <c r="T435" s="268">
        <f t="shared" si="132"/>
        <v>0</v>
      </c>
      <c r="U435" s="18"/>
      <c r="V435" s="18">
        <f t="shared" si="131"/>
        <v>0</v>
      </c>
      <c r="W435" s="49"/>
      <c r="X435" s="18"/>
    </row>
    <row r="436" spans="2:208" ht="26.25" hidden="1" customHeight="1" x14ac:dyDescent="0.25">
      <c r="B436" s="15"/>
      <c r="C436" s="6" t="s">
        <v>26</v>
      </c>
      <c r="D436" s="21" t="s">
        <v>40</v>
      </c>
      <c r="E436" s="331" t="s">
        <v>715</v>
      </c>
      <c r="F436" s="137">
        <v>1474</v>
      </c>
      <c r="G436" s="45" t="s">
        <v>0</v>
      </c>
      <c r="H436" s="36"/>
      <c r="I436" s="274">
        <v>0</v>
      </c>
      <c r="J436" s="36">
        <f t="shared" si="129"/>
        <v>0</v>
      </c>
      <c r="K436" s="225">
        <f t="shared" si="124"/>
        <v>5142.8599999999997</v>
      </c>
      <c r="L436" s="154">
        <f>K436*J723</f>
        <v>0</v>
      </c>
      <c r="M436" s="129" t="s">
        <v>210</v>
      </c>
      <c r="N436" s="200"/>
      <c r="O436" s="353"/>
      <c r="P436" s="225">
        <f t="shared" si="130"/>
        <v>0</v>
      </c>
      <c r="Q436" s="48" t="str">
        <f t="shared" si="126"/>
        <v>СМБ1-305/400</v>
      </c>
      <c r="R436" s="223">
        <f t="shared" si="127"/>
        <v>7200</v>
      </c>
      <c r="S436" s="236">
        <v>6000</v>
      </c>
      <c r="T436" s="268">
        <f t="shared" si="132"/>
        <v>0</v>
      </c>
      <c r="U436" s="18"/>
      <c r="V436" s="18">
        <f t="shared" si="131"/>
        <v>0</v>
      </c>
      <c r="W436" s="49">
        <f>X436-U436+V436</f>
        <v>0</v>
      </c>
      <c r="X436" s="18"/>
    </row>
    <row r="437" spans="2:208" ht="26.25" customHeight="1" thickBot="1" x14ac:dyDescent="0.3">
      <c r="B437" s="11">
        <v>125</v>
      </c>
      <c r="C437" s="6" t="s">
        <v>26</v>
      </c>
      <c r="D437" s="21" t="s">
        <v>40</v>
      </c>
      <c r="E437" s="331" t="s">
        <v>630</v>
      </c>
      <c r="F437" s="299">
        <v>1465</v>
      </c>
      <c r="G437" s="45" t="s">
        <v>0</v>
      </c>
      <c r="H437" s="36">
        <v>1</v>
      </c>
      <c r="I437" s="274">
        <v>102.86</v>
      </c>
      <c r="J437" s="36">
        <f t="shared" si="129"/>
        <v>0</v>
      </c>
      <c r="K437" s="225">
        <f t="shared" si="124"/>
        <v>102.86</v>
      </c>
      <c r="L437" s="154">
        <f>K437*J724</f>
        <v>0</v>
      </c>
      <c r="M437" s="129" t="s">
        <v>210</v>
      </c>
      <c r="N437" s="200">
        <v>1</v>
      </c>
      <c r="O437" s="36"/>
      <c r="P437" s="225">
        <f t="shared" si="130"/>
        <v>0</v>
      </c>
      <c r="Q437" s="48" t="str">
        <f t="shared" si="126"/>
        <v>Магнит Д90/2</v>
      </c>
      <c r="R437" s="223">
        <f t="shared" si="127"/>
        <v>144</v>
      </c>
      <c r="S437" s="331">
        <v>120</v>
      </c>
      <c r="T437" s="268">
        <f t="shared" si="132"/>
        <v>0</v>
      </c>
      <c r="U437" s="16"/>
      <c r="V437" s="18">
        <f t="shared" si="131"/>
        <v>1</v>
      </c>
      <c r="W437" s="49">
        <f>X437-U437+V437</f>
        <v>1</v>
      </c>
      <c r="X437" s="16"/>
    </row>
    <row r="438" spans="2:208" ht="26.25" hidden="1" customHeight="1" x14ac:dyDescent="0.25">
      <c r="B438" s="15"/>
      <c r="C438" s="6" t="s">
        <v>26</v>
      </c>
      <c r="D438" s="21" t="s">
        <v>40</v>
      </c>
      <c r="E438" s="1" t="s">
        <v>489</v>
      </c>
      <c r="F438" s="299">
        <v>1298</v>
      </c>
      <c r="G438" s="45" t="s">
        <v>0</v>
      </c>
      <c r="H438" s="36"/>
      <c r="I438" s="274">
        <v>0</v>
      </c>
      <c r="J438" s="36">
        <f t="shared" si="129"/>
        <v>0</v>
      </c>
      <c r="K438" s="225">
        <f t="shared" si="124"/>
        <v>8.57</v>
      </c>
      <c r="L438" s="154">
        <f>K438*J725</f>
        <v>0</v>
      </c>
      <c r="M438" s="129" t="s">
        <v>210</v>
      </c>
      <c r="N438" s="200"/>
      <c r="O438" s="353"/>
      <c r="P438" s="344">
        <f t="shared" si="130"/>
        <v>0</v>
      </c>
      <c r="Q438" s="183" t="str">
        <f t="shared" si="126"/>
        <v>магнит в оправе Д20+-0,5</v>
      </c>
      <c r="R438" s="223">
        <f t="shared" si="127"/>
        <v>12</v>
      </c>
      <c r="S438" s="331">
        <v>10</v>
      </c>
      <c r="T438" s="268">
        <f t="shared" si="132"/>
        <v>0</v>
      </c>
      <c r="U438" s="16"/>
      <c r="V438" s="18">
        <f t="shared" si="131"/>
        <v>0</v>
      </c>
      <c r="W438" s="49">
        <f>X438-U438+V438</f>
        <v>0</v>
      </c>
      <c r="X438" s="16"/>
    </row>
    <row r="439" spans="2:208" ht="31.5" hidden="1" customHeight="1" thickBot="1" x14ac:dyDescent="0.3">
      <c r="B439" s="15"/>
      <c r="C439" s="6" t="s">
        <v>26</v>
      </c>
      <c r="D439" s="21" t="s">
        <v>40</v>
      </c>
      <c r="E439" s="1" t="s">
        <v>657</v>
      </c>
      <c r="F439" s="294">
        <v>1468</v>
      </c>
      <c r="G439" s="12" t="s">
        <v>0</v>
      </c>
      <c r="H439" s="36"/>
      <c r="I439" s="225">
        <v>0</v>
      </c>
      <c r="J439" s="36">
        <f t="shared" si="129"/>
        <v>0</v>
      </c>
      <c r="K439" s="225">
        <f t="shared" si="124"/>
        <v>655.71</v>
      </c>
      <c r="L439" s="316">
        <f>K439*J726</f>
        <v>0</v>
      </c>
      <c r="M439" s="129" t="s">
        <v>210</v>
      </c>
      <c r="N439" s="380"/>
      <c r="O439" s="36"/>
      <c r="P439" s="225">
        <f t="shared" si="130"/>
        <v>0</v>
      </c>
      <c r="Q439" s="48" t="str">
        <f t="shared" si="126"/>
        <v>СМР1 L220х165/7</v>
      </c>
      <c r="R439" s="223">
        <f t="shared" si="127"/>
        <v>918</v>
      </c>
      <c r="S439" s="236">
        <v>765</v>
      </c>
      <c r="T439" s="268">
        <f t="shared" si="132"/>
        <v>0</v>
      </c>
      <c r="U439" s="16">
        <v>0</v>
      </c>
      <c r="V439" s="18">
        <f t="shared" si="131"/>
        <v>0</v>
      </c>
      <c r="W439" s="49">
        <f>X439-U439+V439</f>
        <v>0</v>
      </c>
      <c r="X439" s="16">
        <v>0</v>
      </c>
    </row>
    <row r="440" spans="2:208" ht="26.25" customHeight="1" thickBot="1" x14ac:dyDescent="0.3">
      <c r="B440" s="376">
        <v>126</v>
      </c>
      <c r="C440" s="188"/>
      <c r="D440" s="173"/>
      <c r="E440" s="174" t="s">
        <v>3</v>
      </c>
      <c r="F440" s="377"/>
      <c r="G440" s="175"/>
      <c r="H440" s="378">
        <f>SUBTOTAL(9,H6:H439)</f>
        <v>562623</v>
      </c>
      <c r="I440" s="378">
        <f>SUBTOTAL(9,I6:I439)</f>
        <v>146265.53</v>
      </c>
      <c r="J440" s="379">
        <f>N136+O136-H136</f>
        <v>0</v>
      </c>
      <c r="K440" s="273"/>
      <c r="L440" s="189">
        <f>SUBTOTAL(9,L6:L439)</f>
        <v>1808</v>
      </c>
      <c r="M440" s="385"/>
      <c r="N440" s="176">
        <f>SUBTOTAL(9,N7:N437)</f>
        <v>115104</v>
      </c>
      <c r="O440" s="356">
        <f>SUBTOTAL(9,O6:O439)</f>
        <v>546996</v>
      </c>
      <c r="P440" s="378">
        <f>SUBTOTAL(9,P6:P439)</f>
        <v>142520.74</v>
      </c>
      <c r="Q440" s="48"/>
      <c r="R440" s="401">
        <v>350</v>
      </c>
      <c r="S440" s="260"/>
      <c r="T440" s="269">
        <f>SUBTOTAL(9,T6:T439)</f>
        <v>60849.07</v>
      </c>
      <c r="U440" s="69">
        <f>SUBTOTAL(9,U5:U439)</f>
        <v>1265501</v>
      </c>
      <c r="V440" s="18"/>
      <c r="W440" s="49"/>
      <c r="X440" s="69">
        <f>SUBTOTAL(9,X5:X439)</f>
        <v>1123549</v>
      </c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  <c r="FG440" s="22"/>
      <c r="FH440" s="22"/>
      <c r="FI440" s="22"/>
      <c r="FJ440" s="22"/>
      <c r="FK440" s="22"/>
      <c r="FL440" s="22"/>
      <c r="FM440" s="22"/>
      <c r="FN440" s="22"/>
      <c r="FO440" s="22"/>
      <c r="FP440" s="22"/>
      <c r="FQ440" s="22"/>
      <c r="FR440" s="22"/>
      <c r="FS440" s="22"/>
      <c r="FT440" s="22"/>
      <c r="FU440" s="22"/>
      <c r="FV440" s="22"/>
      <c r="FW440" s="22"/>
      <c r="FX440" s="22"/>
      <c r="FY440" s="22"/>
      <c r="FZ440" s="22"/>
      <c r="GA440" s="22"/>
      <c r="GB440" s="22"/>
      <c r="GC440" s="22"/>
      <c r="GD440" s="22"/>
      <c r="GE440" s="22"/>
      <c r="GF440" s="22"/>
      <c r="GG440" s="22"/>
      <c r="GH440" s="22"/>
      <c r="GI440" s="22"/>
      <c r="GJ440" s="22"/>
      <c r="GK440" s="22"/>
      <c r="GL440" s="22"/>
      <c r="GM440" s="22"/>
      <c r="GN440" s="22"/>
      <c r="GO440" s="22"/>
      <c r="GP440" s="22"/>
      <c r="GQ440" s="22"/>
      <c r="GR440" s="22"/>
      <c r="GS440" s="22"/>
      <c r="GT440" s="22"/>
      <c r="GU440" s="22"/>
      <c r="GV440" s="22"/>
      <c r="GW440" s="22"/>
      <c r="GX440" s="22"/>
      <c r="GY440" s="22"/>
      <c r="GZ440" s="22"/>
    </row>
    <row r="441" spans="2:208" s="24" customFormat="1" ht="26.25" customHeight="1" x14ac:dyDescent="0.3">
      <c r="B441" s="31">
        <v>127</v>
      </c>
      <c r="C441" s="24" t="s">
        <v>686</v>
      </c>
      <c r="D441" s="76"/>
      <c r="E441" s="100"/>
      <c r="F441" s="365"/>
      <c r="G441" s="46"/>
      <c r="H441" s="41"/>
      <c r="I441" s="227"/>
      <c r="J441" s="41">
        <f>N137+O137-H137</f>
        <v>0</v>
      </c>
      <c r="K441" s="226" t="s">
        <v>34</v>
      </c>
      <c r="L441" s="155"/>
      <c r="M441" s="35"/>
      <c r="N441" s="113"/>
      <c r="O441" s="57"/>
      <c r="P441" s="228"/>
      <c r="Q441" s="172"/>
      <c r="R441" s="210"/>
      <c r="S441" s="261"/>
      <c r="T441" s="270"/>
      <c r="U441" s="106"/>
      <c r="V441" s="120"/>
      <c r="W441" s="105"/>
      <c r="X441" s="106"/>
    </row>
    <row r="442" spans="2:208" s="26" customFormat="1" ht="20.25" x14ac:dyDescent="0.3">
      <c r="B442" s="392">
        <v>128</v>
      </c>
      <c r="D442" s="77"/>
      <c r="E442" s="100"/>
      <c r="F442" s="300"/>
      <c r="H442" s="41"/>
      <c r="I442" s="224"/>
      <c r="J442" s="41"/>
      <c r="K442" s="227"/>
      <c r="L442" s="156"/>
      <c r="M442" s="67"/>
      <c r="N442" s="391"/>
      <c r="O442" s="43"/>
      <c r="P442" s="228"/>
      <c r="Q442" s="34"/>
      <c r="R442" s="210"/>
      <c r="S442" s="261"/>
      <c r="T442" s="389"/>
      <c r="U442" s="106"/>
      <c r="V442" s="120"/>
      <c r="W442" s="105"/>
      <c r="X442" s="106"/>
    </row>
    <row r="443" spans="2:208" s="28" customFormat="1" ht="20.25" x14ac:dyDescent="0.3">
      <c r="B443" s="27">
        <v>1</v>
      </c>
      <c r="D443" s="77"/>
      <c r="E443" s="100"/>
      <c r="F443" s="300"/>
      <c r="G443" s="46"/>
      <c r="H443" s="41"/>
      <c r="I443" s="227"/>
      <c r="J443" s="41"/>
      <c r="K443" s="227"/>
      <c r="L443" s="156"/>
      <c r="M443" s="67"/>
      <c r="N443" s="391"/>
      <c r="O443" s="43"/>
      <c r="P443" s="228"/>
      <c r="Q443" s="34"/>
      <c r="R443" s="210"/>
      <c r="S443" s="261"/>
      <c r="T443" s="270"/>
      <c r="U443" s="106"/>
      <c r="V443" s="120"/>
      <c r="W443" s="105"/>
      <c r="X443" s="106"/>
    </row>
    <row r="444" spans="2:208" s="28" customFormat="1" ht="20.25" x14ac:dyDescent="0.3">
      <c r="B444" s="27">
        <v>1</v>
      </c>
      <c r="D444" s="77"/>
      <c r="E444" s="100"/>
      <c r="F444" s="300"/>
      <c r="H444" s="41"/>
      <c r="I444" s="227"/>
      <c r="J444" s="41"/>
      <c r="K444" s="227"/>
      <c r="L444" s="156"/>
      <c r="M444" s="67"/>
      <c r="N444" s="391"/>
      <c r="O444" s="43"/>
      <c r="P444" s="228"/>
      <c r="Q444" s="34"/>
      <c r="R444" s="210"/>
      <c r="S444" s="261"/>
      <c r="T444" s="270"/>
      <c r="U444" s="106"/>
      <c r="V444" s="120"/>
      <c r="W444" s="105"/>
      <c r="X444" s="106"/>
    </row>
    <row r="445" spans="2:208" s="28" customFormat="1" ht="20.25" x14ac:dyDescent="0.3">
      <c r="B445" s="29"/>
      <c r="C445" s="24"/>
      <c r="D445" s="77"/>
      <c r="E445" s="100"/>
      <c r="F445" s="300"/>
      <c r="G445" s="30"/>
      <c r="H445" s="41"/>
      <c r="I445" s="227"/>
      <c r="J445" s="41"/>
      <c r="K445" s="227"/>
      <c r="L445" s="156"/>
      <c r="M445" s="67"/>
      <c r="N445" s="391"/>
      <c r="O445" s="43"/>
      <c r="P445" s="228"/>
      <c r="Q445" s="34"/>
      <c r="R445" s="210"/>
      <c r="S445" s="261"/>
      <c r="T445" s="270"/>
      <c r="U445" s="106"/>
      <c r="V445" s="120"/>
      <c r="W445" s="105"/>
      <c r="X445" s="106"/>
    </row>
    <row r="446" spans="2:208" s="28" customFormat="1" ht="20.25" x14ac:dyDescent="0.3">
      <c r="B446" s="29"/>
      <c r="D446" s="77"/>
      <c r="E446" s="42"/>
      <c r="F446" s="300"/>
      <c r="G446" s="46"/>
      <c r="H446" s="41"/>
      <c r="I446" s="227"/>
      <c r="J446" s="41"/>
      <c r="K446" s="227"/>
      <c r="L446" s="156"/>
      <c r="M446" s="152"/>
      <c r="N446" s="391"/>
      <c r="O446" s="42"/>
      <c r="P446" s="315"/>
      <c r="Q446" s="34"/>
      <c r="R446" s="210"/>
      <c r="S446" s="261"/>
      <c r="T446" s="270"/>
      <c r="U446" s="106"/>
      <c r="V446" s="120"/>
      <c r="W446" s="105"/>
      <c r="X446" s="106"/>
    </row>
    <row r="447" spans="2:208" s="28" customFormat="1" ht="20.25" x14ac:dyDescent="0.3">
      <c r="B447" s="25"/>
      <c r="D447" s="77"/>
      <c r="E447" s="42"/>
      <c r="F447" s="300"/>
      <c r="G447" s="46"/>
      <c r="H447" s="41"/>
      <c r="I447" s="227"/>
      <c r="J447" s="41"/>
      <c r="K447" s="227"/>
      <c r="L447" s="156"/>
      <c r="M447" s="152"/>
      <c r="N447" s="391"/>
      <c r="O447" s="42"/>
      <c r="P447" s="227"/>
      <c r="Q447" s="117"/>
      <c r="R447" s="210"/>
      <c r="S447" s="261"/>
      <c r="T447" s="270"/>
      <c r="U447" s="106"/>
      <c r="V447" s="120"/>
      <c r="W447" s="105"/>
      <c r="X447" s="106"/>
    </row>
    <row r="448" spans="2:208" s="28" customFormat="1" ht="20.25" x14ac:dyDescent="0.3">
      <c r="B448" s="25"/>
      <c r="D448" s="77"/>
      <c r="E448" s="42"/>
      <c r="F448" s="300"/>
      <c r="G448" s="46"/>
      <c r="H448" s="41"/>
      <c r="I448" s="227"/>
      <c r="J448" s="41"/>
      <c r="K448" s="227"/>
      <c r="L448" s="156"/>
      <c r="M448" s="152"/>
      <c r="N448" s="391"/>
      <c r="O448" s="42"/>
      <c r="P448" s="227"/>
      <c r="Q448" s="117"/>
      <c r="R448" s="210"/>
      <c r="S448" s="261"/>
      <c r="T448" s="270"/>
      <c r="U448" s="106"/>
      <c r="V448" s="120"/>
      <c r="W448" s="105"/>
      <c r="X448" s="106"/>
    </row>
    <row r="449" spans="2:24" s="28" customFormat="1" ht="20.25" x14ac:dyDescent="0.3">
      <c r="B449" s="25"/>
      <c r="D449" s="77"/>
      <c r="E449" s="42"/>
      <c r="F449" s="300"/>
      <c r="G449" s="46"/>
      <c r="H449" s="41"/>
      <c r="I449" s="227"/>
      <c r="J449" s="41"/>
      <c r="K449" s="227"/>
      <c r="L449" s="156"/>
      <c r="M449" s="152"/>
      <c r="N449" s="291"/>
      <c r="O449" s="42"/>
      <c r="P449" s="227"/>
      <c r="Q449" s="117"/>
      <c r="R449" s="210"/>
      <c r="S449" s="261"/>
      <c r="T449" s="270"/>
      <c r="U449" s="106"/>
      <c r="V449" s="120"/>
      <c r="W449" s="105"/>
      <c r="X449" s="106"/>
    </row>
    <row r="450" spans="2:24" s="28" customFormat="1" ht="20.25" x14ac:dyDescent="0.3">
      <c r="B450" s="25"/>
      <c r="D450" s="77"/>
      <c r="E450" s="42"/>
      <c r="F450" s="300"/>
      <c r="G450" s="46"/>
      <c r="H450" s="41"/>
      <c r="I450" s="227"/>
      <c r="J450" s="41"/>
      <c r="K450" s="227"/>
      <c r="L450" s="156"/>
      <c r="M450" s="152"/>
      <c r="N450" s="291"/>
      <c r="O450" s="42"/>
      <c r="P450" s="227"/>
      <c r="Q450" s="117"/>
      <c r="R450" s="210"/>
      <c r="S450" s="261"/>
      <c r="T450" s="270"/>
      <c r="U450" s="106"/>
      <c r="V450" s="120"/>
      <c r="W450" s="105"/>
      <c r="X450" s="106"/>
    </row>
    <row r="451" spans="2:24" s="28" customFormat="1" ht="20.25" x14ac:dyDescent="0.3">
      <c r="B451" s="25"/>
      <c r="D451" s="77"/>
      <c r="E451" s="42"/>
      <c r="F451" s="300"/>
      <c r="G451" s="46"/>
      <c r="H451" s="41"/>
      <c r="I451" s="227"/>
      <c r="J451" s="41"/>
      <c r="K451" s="227"/>
      <c r="L451" s="156"/>
      <c r="M451" s="152"/>
      <c r="N451" s="291"/>
      <c r="O451" s="42"/>
      <c r="P451" s="227"/>
      <c r="Q451" s="117"/>
      <c r="R451" s="210"/>
      <c r="S451" s="261"/>
      <c r="T451" s="270"/>
      <c r="U451" s="106"/>
      <c r="V451" s="120"/>
      <c r="W451" s="105"/>
      <c r="X451" s="106"/>
    </row>
    <row r="452" spans="2:24" s="28" customFormat="1" ht="20.25" x14ac:dyDescent="0.3">
      <c r="B452" s="25"/>
      <c r="D452" s="77"/>
      <c r="E452" s="42"/>
      <c r="F452" s="300"/>
      <c r="G452" s="46"/>
      <c r="H452" s="41"/>
      <c r="I452" s="227"/>
      <c r="J452" s="41"/>
      <c r="K452" s="227"/>
      <c r="L452" s="156"/>
      <c r="M452" s="152"/>
      <c r="N452" s="291"/>
      <c r="O452" s="42"/>
      <c r="P452" s="227"/>
      <c r="Q452" s="117"/>
      <c r="R452" s="210"/>
      <c r="S452" s="261"/>
      <c r="T452" s="270"/>
      <c r="U452" s="106"/>
      <c r="V452" s="120"/>
      <c r="W452" s="105"/>
      <c r="X452" s="106"/>
    </row>
    <row r="453" spans="2:24" s="28" customFormat="1" ht="20.25" x14ac:dyDescent="0.3">
      <c r="B453" s="25"/>
      <c r="D453" s="77"/>
      <c r="E453" s="42"/>
      <c r="F453" s="300"/>
      <c r="G453" s="46"/>
      <c r="H453" s="41"/>
      <c r="I453" s="227"/>
      <c r="J453" s="41"/>
      <c r="K453" s="227"/>
      <c r="L453" s="156"/>
      <c r="M453" s="152"/>
      <c r="N453" s="291"/>
      <c r="O453" s="42"/>
      <c r="P453" s="227"/>
      <c r="Q453" s="117"/>
      <c r="R453" s="210"/>
      <c r="S453" s="261"/>
      <c r="T453" s="270"/>
      <c r="U453" s="106"/>
      <c r="V453" s="120"/>
      <c r="W453" s="105"/>
      <c r="X453" s="106"/>
    </row>
    <row r="454" spans="2:24" s="28" customFormat="1" x14ac:dyDescent="0.25">
      <c r="B454" s="25"/>
      <c r="D454" s="77"/>
      <c r="E454" s="42"/>
      <c r="F454" s="300"/>
      <c r="G454" s="46"/>
      <c r="H454" s="41"/>
      <c r="I454" s="227"/>
      <c r="J454" s="41"/>
      <c r="K454" s="227"/>
      <c r="L454" s="156"/>
      <c r="M454" s="152"/>
      <c r="N454" s="291"/>
      <c r="O454" s="42"/>
      <c r="P454" s="227"/>
      <c r="Q454" s="117"/>
      <c r="R454" s="210"/>
      <c r="S454" s="232"/>
      <c r="T454" s="264"/>
      <c r="U454" s="101"/>
      <c r="V454" s="101"/>
      <c r="X454" s="101"/>
    </row>
    <row r="455" spans="2:24" s="28" customFormat="1" x14ac:dyDescent="0.25">
      <c r="B455" s="25"/>
      <c r="D455" s="77"/>
      <c r="E455" s="42"/>
      <c r="F455" s="300"/>
      <c r="G455" s="46"/>
      <c r="H455" s="41"/>
      <c r="I455" s="227"/>
      <c r="J455" s="41"/>
      <c r="K455" s="227"/>
      <c r="L455" s="156"/>
      <c r="M455" s="152"/>
      <c r="N455" s="291"/>
      <c r="O455" s="42"/>
      <c r="P455" s="227"/>
      <c r="Q455" s="117"/>
      <c r="R455" s="210"/>
      <c r="S455" s="232"/>
      <c r="T455" s="264"/>
      <c r="U455" s="101"/>
      <c r="V455" s="101"/>
      <c r="X455" s="101"/>
    </row>
    <row r="456" spans="2:24" s="28" customFormat="1" x14ac:dyDescent="0.25">
      <c r="B456" s="25"/>
      <c r="D456" s="77"/>
      <c r="E456" s="42"/>
      <c r="F456" s="300"/>
      <c r="G456" s="46"/>
      <c r="H456" s="41"/>
      <c r="I456" s="227"/>
      <c r="J456" s="41"/>
      <c r="K456" s="227"/>
      <c r="L456" s="156"/>
      <c r="M456" s="152"/>
      <c r="N456" s="291"/>
      <c r="O456" s="42"/>
      <c r="P456" s="227"/>
      <c r="Q456" s="117"/>
      <c r="R456" s="210"/>
      <c r="S456" s="232"/>
      <c r="T456" s="270"/>
      <c r="U456" s="101"/>
      <c r="V456" s="101"/>
      <c r="X456" s="101"/>
    </row>
    <row r="457" spans="2:24" s="28" customFormat="1" x14ac:dyDescent="0.25">
      <c r="B457" s="25"/>
      <c r="D457" s="77"/>
      <c r="E457" s="42"/>
      <c r="F457" s="300"/>
      <c r="G457" s="46"/>
      <c r="H457" s="41"/>
      <c r="I457" s="227"/>
      <c r="J457" s="41"/>
      <c r="K457" s="227"/>
      <c r="L457" s="156"/>
      <c r="M457" s="152"/>
      <c r="N457" s="291"/>
      <c r="O457" s="42"/>
      <c r="P457" s="227"/>
      <c r="Q457" s="117"/>
      <c r="R457" s="210"/>
      <c r="S457" s="232"/>
      <c r="T457" s="270"/>
      <c r="U457" s="101"/>
      <c r="V457" s="101"/>
      <c r="X457" s="101"/>
    </row>
    <row r="458" spans="2:24" s="28" customFormat="1" x14ac:dyDescent="0.25">
      <c r="B458" s="25"/>
      <c r="D458" s="77"/>
      <c r="E458" s="42"/>
      <c r="F458" s="300"/>
      <c r="G458" s="46"/>
      <c r="H458" s="41"/>
      <c r="I458" s="227"/>
      <c r="J458" s="41"/>
      <c r="K458" s="227"/>
      <c r="L458" s="156"/>
      <c r="M458" s="152"/>
      <c r="N458" s="291"/>
      <c r="O458" s="42"/>
      <c r="P458" s="227"/>
      <c r="Q458" s="117"/>
      <c r="R458" s="210"/>
      <c r="S458" s="232"/>
      <c r="T458" s="270"/>
      <c r="U458" s="101"/>
      <c r="V458" s="101"/>
      <c r="X458" s="101"/>
    </row>
    <row r="459" spans="2:24" s="28" customFormat="1" x14ac:dyDescent="0.25">
      <c r="B459" s="25"/>
      <c r="D459" s="77"/>
      <c r="E459" s="42"/>
      <c r="F459" s="300"/>
      <c r="G459" s="46"/>
      <c r="H459" s="41"/>
      <c r="I459" s="227"/>
      <c r="J459" s="41"/>
      <c r="K459" s="227"/>
      <c r="L459" s="156"/>
      <c r="M459" s="152"/>
      <c r="N459" s="291"/>
      <c r="O459" s="42"/>
      <c r="P459" s="227"/>
      <c r="Q459" s="117"/>
      <c r="R459" s="210"/>
      <c r="S459" s="232"/>
      <c r="T459" s="270"/>
      <c r="U459" s="101"/>
      <c r="V459" s="101"/>
      <c r="X459" s="101"/>
    </row>
    <row r="460" spans="2:24" s="28" customFormat="1" x14ac:dyDescent="0.25">
      <c r="B460" s="25"/>
      <c r="D460" s="77"/>
      <c r="E460" s="42"/>
      <c r="F460" s="300"/>
      <c r="G460" s="46"/>
      <c r="H460" s="41"/>
      <c r="I460" s="227"/>
      <c r="J460" s="41"/>
      <c r="K460" s="227"/>
      <c r="L460" s="156"/>
      <c r="M460" s="152"/>
      <c r="N460" s="291"/>
      <c r="O460" s="42"/>
      <c r="P460" s="227"/>
      <c r="Q460" s="117"/>
      <c r="R460" s="210"/>
      <c r="S460" s="232"/>
      <c r="T460" s="270"/>
      <c r="U460" s="101"/>
      <c r="V460" s="101"/>
      <c r="X460" s="101"/>
    </row>
    <row r="461" spans="2:24" s="28" customFormat="1" x14ac:dyDescent="0.25">
      <c r="B461" s="25"/>
      <c r="D461" s="77"/>
      <c r="E461" s="42"/>
      <c r="F461" s="300"/>
      <c r="G461" s="46"/>
      <c r="H461" s="41"/>
      <c r="I461" s="227"/>
      <c r="J461" s="41"/>
      <c r="K461" s="227"/>
      <c r="L461" s="156"/>
      <c r="M461" s="152"/>
      <c r="N461" s="291"/>
      <c r="O461" s="42"/>
      <c r="P461" s="227"/>
      <c r="Q461" s="117"/>
      <c r="R461" s="210"/>
      <c r="S461" s="232"/>
      <c r="T461" s="270"/>
      <c r="U461" s="101"/>
      <c r="V461" s="101"/>
      <c r="X461" s="101"/>
    </row>
    <row r="462" spans="2:24" s="28" customFormat="1" x14ac:dyDescent="0.25">
      <c r="B462" s="25"/>
      <c r="D462" s="77"/>
      <c r="E462" s="42"/>
      <c r="F462" s="300"/>
      <c r="G462" s="46"/>
      <c r="H462" s="41"/>
      <c r="I462" s="227"/>
      <c r="J462" s="41"/>
      <c r="K462" s="227"/>
      <c r="L462" s="156"/>
      <c r="M462" s="152"/>
      <c r="N462" s="291"/>
      <c r="O462" s="42"/>
      <c r="P462" s="227"/>
      <c r="Q462" s="117"/>
      <c r="R462" s="210"/>
      <c r="S462" s="232"/>
      <c r="T462" s="270"/>
      <c r="U462" s="101"/>
      <c r="V462" s="101"/>
      <c r="X462" s="101"/>
    </row>
    <row r="463" spans="2:24" s="28" customFormat="1" x14ac:dyDescent="0.25">
      <c r="B463" s="25"/>
      <c r="D463" s="77"/>
      <c r="E463" s="42"/>
      <c r="F463" s="300"/>
      <c r="G463" s="46"/>
      <c r="H463" s="41"/>
      <c r="I463" s="227"/>
      <c r="J463" s="41"/>
      <c r="K463" s="227"/>
      <c r="L463" s="156"/>
      <c r="M463" s="152"/>
      <c r="N463" s="291"/>
      <c r="O463" s="42"/>
      <c r="P463" s="227"/>
      <c r="Q463" s="117"/>
      <c r="R463" s="210"/>
      <c r="S463" s="232"/>
      <c r="T463" s="270"/>
      <c r="U463" s="101"/>
      <c r="V463" s="101"/>
      <c r="X463" s="101"/>
    </row>
    <row r="464" spans="2:24" s="28" customFormat="1" x14ac:dyDescent="0.25">
      <c r="B464" s="25"/>
      <c r="D464" s="77"/>
      <c r="E464" s="42"/>
      <c r="F464" s="300"/>
      <c r="G464" s="46"/>
      <c r="H464" s="41"/>
      <c r="I464" s="227"/>
      <c r="J464" s="41"/>
      <c r="K464" s="227"/>
      <c r="L464" s="156"/>
      <c r="M464" s="152"/>
      <c r="N464" s="291"/>
      <c r="O464" s="42"/>
      <c r="P464" s="227"/>
      <c r="Q464" s="117"/>
      <c r="R464" s="210"/>
      <c r="S464" s="232"/>
      <c r="T464" s="270"/>
      <c r="U464" s="101"/>
      <c r="V464" s="101"/>
      <c r="X464" s="101"/>
    </row>
    <row r="465" spans="2:24" s="28" customFormat="1" x14ac:dyDescent="0.25">
      <c r="B465" s="25"/>
      <c r="D465" s="77"/>
      <c r="E465" s="42"/>
      <c r="F465" s="300"/>
      <c r="G465" s="46"/>
      <c r="H465" s="41"/>
      <c r="I465" s="227"/>
      <c r="J465" s="41"/>
      <c r="K465" s="227"/>
      <c r="L465" s="156"/>
      <c r="M465" s="152"/>
      <c r="N465" s="291"/>
      <c r="O465" s="42"/>
      <c r="P465" s="227"/>
      <c r="Q465" s="117"/>
      <c r="R465" s="210"/>
      <c r="S465" s="232"/>
      <c r="T465" s="270"/>
      <c r="U465" s="101"/>
      <c r="V465" s="101"/>
      <c r="X465" s="101"/>
    </row>
    <row r="466" spans="2:24" s="28" customFormat="1" x14ac:dyDescent="0.25">
      <c r="B466" s="25"/>
      <c r="D466" s="77"/>
      <c r="E466" s="42"/>
      <c r="F466" s="300"/>
      <c r="G466" s="46"/>
      <c r="H466" s="41"/>
      <c r="I466" s="227"/>
      <c r="J466" s="41"/>
      <c r="K466" s="227"/>
      <c r="L466" s="156"/>
      <c r="M466" s="152"/>
      <c r="N466" s="291"/>
      <c r="O466" s="42"/>
      <c r="P466" s="227"/>
      <c r="Q466" s="117"/>
      <c r="R466" s="210"/>
      <c r="S466" s="232"/>
      <c r="T466" s="270"/>
      <c r="U466" s="101"/>
      <c r="V466" s="101"/>
      <c r="X466" s="101"/>
    </row>
    <row r="467" spans="2:24" s="28" customFormat="1" x14ac:dyDescent="0.25">
      <c r="B467" s="25"/>
      <c r="D467" s="77"/>
      <c r="E467" s="42"/>
      <c r="F467" s="300"/>
      <c r="G467" s="46"/>
      <c r="H467" s="41"/>
      <c r="I467" s="227"/>
      <c r="J467" s="41"/>
      <c r="K467" s="227"/>
      <c r="L467" s="156"/>
      <c r="M467" s="152"/>
      <c r="N467" s="291"/>
      <c r="O467" s="42"/>
      <c r="P467" s="227"/>
      <c r="Q467" s="117"/>
      <c r="R467" s="210"/>
      <c r="S467" s="232"/>
      <c r="T467" s="270"/>
      <c r="U467" s="101"/>
      <c r="V467" s="101"/>
      <c r="X467" s="101"/>
    </row>
    <row r="468" spans="2:24" s="28" customFormat="1" x14ac:dyDescent="0.25">
      <c r="B468" s="25"/>
      <c r="D468" s="77"/>
      <c r="E468" s="42"/>
      <c r="F468" s="300"/>
      <c r="G468" s="46"/>
      <c r="H468" s="41"/>
      <c r="I468" s="227"/>
      <c r="J468" s="41"/>
      <c r="K468" s="227"/>
      <c r="L468" s="156"/>
      <c r="M468" s="152"/>
      <c r="N468" s="291"/>
      <c r="O468" s="42"/>
      <c r="P468" s="227"/>
      <c r="Q468" s="117"/>
      <c r="R468" s="210"/>
      <c r="S468" s="232"/>
      <c r="T468" s="270"/>
      <c r="U468" s="101"/>
      <c r="V468" s="101"/>
      <c r="X468" s="101"/>
    </row>
    <row r="469" spans="2:24" s="28" customFormat="1" x14ac:dyDescent="0.25">
      <c r="B469" s="25"/>
      <c r="D469" s="77"/>
      <c r="E469" s="42"/>
      <c r="F469" s="300"/>
      <c r="G469" s="46"/>
      <c r="H469" s="41"/>
      <c r="I469" s="227"/>
      <c r="J469" s="41"/>
      <c r="K469" s="227"/>
      <c r="L469" s="156"/>
      <c r="M469" s="152"/>
      <c r="N469" s="291"/>
      <c r="O469" s="42"/>
      <c r="P469" s="227"/>
      <c r="Q469" s="117"/>
      <c r="R469" s="210"/>
      <c r="S469" s="232"/>
      <c r="T469" s="270"/>
      <c r="U469" s="101"/>
      <c r="V469" s="101"/>
      <c r="X469" s="101"/>
    </row>
    <row r="470" spans="2:24" s="28" customFormat="1" x14ac:dyDescent="0.25">
      <c r="B470" s="25"/>
      <c r="D470" s="77"/>
      <c r="E470" s="42"/>
      <c r="F470" s="300"/>
      <c r="G470" s="46"/>
      <c r="H470" s="41"/>
      <c r="I470" s="227"/>
      <c r="J470" s="41"/>
      <c r="K470" s="227"/>
      <c r="L470" s="156"/>
      <c r="M470" s="152"/>
      <c r="N470" s="291"/>
      <c r="O470" s="42"/>
      <c r="P470" s="227"/>
      <c r="Q470" s="117"/>
      <c r="R470" s="210"/>
      <c r="S470" s="232"/>
      <c r="T470" s="270"/>
      <c r="U470" s="101"/>
      <c r="V470" s="101"/>
      <c r="X470" s="101"/>
    </row>
    <row r="471" spans="2:24" s="28" customFormat="1" x14ac:dyDescent="0.25">
      <c r="B471" s="25"/>
      <c r="D471" s="77"/>
      <c r="E471" s="42"/>
      <c r="F471" s="300"/>
      <c r="G471" s="46"/>
      <c r="H471" s="41"/>
      <c r="I471" s="227"/>
      <c r="J471" s="41"/>
      <c r="K471" s="227"/>
      <c r="L471" s="156"/>
      <c r="M471" s="152"/>
      <c r="N471" s="291"/>
      <c r="O471" s="42"/>
      <c r="P471" s="227"/>
      <c r="Q471" s="117"/>
      <c r="R471" s="210"/>
      <c r="S471" s="232"/>
      <c r="T471" s="270"/>
      <c r="U471" s="101"/>
      <c r="V471" s="101"/>
      <c r="X471" s="101"/>
    </row>
    <row r="472" spans="2:24" s="28" customFormat="1" x14ac:dyDescent="0.25">
      <c r="B472" s="25"/>
      <c r="D472" s="77"/>
      <c r="E472" s="42"/>
      <c r="F472" s="300"/>
      <c r="G472" s="46"/>
      <c r="H472" s="41"/>
      <c r="I472" s="227"/>
      <c r="J472" s="41"/>
      <c r="K472" s="227"/>
      <c r="L472" s="156"/>
      <c r="M472" s="152"/>
      <c r="N472" s="291"/>
      <c r="O472" s="42"/>
      <c r="P472" s="227"/>
      <c r="Q472" s="117"/>
      <c r="R472" s="210"/>
      <c r="S472" s="232"/>
      <c r="T472" s="270"/>
      <c r="U472" s="101"/>
      <c r="V472" s="101"/>
      <c r="X472" s="101"/>
    </row>
    <row r="473" spans="2:24" s="28" customFormat="1" x14ac:dyDescent="0.25">
      <c r="B473" s="25"/>
      <c r="D473" s="77"/>
      <c r="E473" s="42"/>
      <c r="F473" s="300"/>
      <c r="G473" s="46"/>
      <c r="H473" s="41"/>
      <c r="I473" s="227"/>
      <c r="J473" s="41"/>
      <c r="K473" s="227"/>
      <c r="L473" s="156"/>
      <c r="M473" s="152"/>
      <c r="N473" s="291"/>
      <c r="O473" s="42"/>
      <c r="P473" s="227"/>
      <c r="Q473" s="117"/>
      <c r="R473" s="210"/>
      <c r="S473" s="232"/>
      <c r="T473" s="270"/>
      <c r="U473" s="101"/>
      <c r="V473" s="101"/>
      <c r="X473" s="101"/>
    </row>
    <row r="474" spans="2:24" s="28" customFormat="1" x14ac:dyDescent="0.25">
      <c r="B474" s="25"/>
      <c r="D474" s="77"/>
      <c r="E474" s="42"/>
      <c r="F474" s="300"/>
      <c r="G474" s="46"/>
      <c r="H474" s="41"/>
      <c r="I474" s="227"/>
      <c r="J474" s="41"/>
      <c r="K474" s="227"/>
      <c r="L474" s="156"/>
      <c r="M474" s="152"/>
      <c r="N474" s="291"/>
      <c r="O474" s="42"/>
      <c r="P474" s="227"/>
      <c r="Q474" s="117"/>
      <c r="R474" s="210"/>
      <c r="S474" s="232"/>
      <c r="T474" s="270"/>
      <c r="U474" s="101"/>
      <c r="V474" s="101"/>
      <c r="X474" s="101"/>
    </row>
    <row r="475" spans="2:24" s="28" customFormat="1" x14ac:dyDescent="0.25">
      <c r="B475" s="25"/>
      <c r="D475" s="77"/>
      <c r="E475" s="42"/>
      <c r="F475" s="300"/>
      <c r="G475" s="46"/>
      <c r="H475" s="41"/>
      <c r="I475" s="227"/>
      <c r="J475" s="41"/>
      <c r="K475" s="227"/>
      <c r="L475" s="156"/>
      <c r="M475" s="152"/>
      <c r="N475" s="291"/>
      <c r="O475" s="42"/>
      <c r="P475" s="227"/>
      <c r="Q475" s="117"/>
      <c r="R475" s="210"/>
      <c r="S475" s="232"/>
      <c r="T475" s="270"/>
      <c r="U475" s="101"/>
      <c r="V475" s="101"/>
      <c r="X475" s="101"/>
    </row>
    <row r="476" spans="2:24" s="28" customFormat="1" x14ac:dyDescent="0.25">
      <c r="B476" s="25"/>
      <c r="D476" s="77"/>
      <c r="E476" s="42"/>
      <c r="F476" s="300"/>
      <c r="G476" s="46"/>
      <c r="H476" s="41"/>
      <c r="I476" s="227"/>
      <c r="J476" s="41"/>
      <c r="K476" s="227"/>
      <c r="L476" s="156"/>
      <c r="M476" s="152"/>
      <c r="N476" s="291"/>
      <c r="O476" s="42"/>
      <c r="P476" s="227"/>
      <c r="Q476" s="117"/>
      <c r="R476" s="210"/>
      <c r="S476" s="232"/>
      <c r="T476" s="270"/>
      <c r="U476" s="101"/>
      <c r="V476" s="101"/>
      <c r="X476" s="101"/>
    </row>
    <row r="477" spans="2:24" s="28" customFormat="1" x14ac:dyDescent="0.25">
      <c r="B477" s="25"/>
      <c r="D477" s="77"/>
      <c r="E477" s="42"/>
      <c r="F477" s="300"/>
      <c r="G477" s="46"/>
      <c r="H477" s="41"/>
      <c r="I477" s="227"/>
      <c r="J477" s="41"/>
      <c r="K477" s="227"/>
      <c r="L477" s="156"/>
      <c r="M477" s="152"/>
      <c r="N477" s="291"/>
      <c r="O477" s="42"/>
      <c r="P477" s="227"/>
      <c r="Q477" s="117"/>
      <c r="R477" s="210"/>
      <c r="S477" s="232"/>
      <c r="T477" s="270"/>
      <c r="U477" s="101"/>
      <c r="V477" s="101"/>
      <c r="X477" s="101"/>
    </row>
    <row r="478" spans="2:24" s="28" customFormat="1" x14ac:dyDescent="0.25">
      <c r="B478" s="25"/>
      <c r="D478" s="77"/>
      <c r="E478" s="42"/>
      <c r="F478" s="300"/>
      <c r="G478" s="46"/>
      <c r="H478" s="41"/>
      <c r="I478" s="227"/>
      <c r="J478" s="41"/>
      <c r="K478" s="227"/>
      <c r="L478" s="156"/>
      <c r="M478" s="152"/>
      <c r="N478" s="291"/>
      <c r="O478" s="42"/>
      <c r="P478" s="227"/>
      <c r="Q478" s="117"/>
      <c r="R478" s="210"/>
      <c r="S478" s="232"/>
      <c r="T478" s="270"/>
      <c r="U478" s="101"/>
      <c r="V478" s="101"/>
      <c r="X478" s="101"/>
    </row>
    <row r="479" spans="2:24" s="28" customFormat="1" x14ac:dyDescent="0.25">
      <c r="B479" s="25"/>
      <c r="D479" s="77"/>
      <c r="E479" s="42"/>
      <c r="F479" s="300"/>
      <c r="G479" s="46"/>
      <c r="H479" s="41"/>
      <c r="I479" s="227"/>
      <c r="J479" s="41"/>
      <c r="K479" s="227"/>
      <c r="L479" s="156"/>
      <c r="M479" s="152"/>
      <c r="N479" s="291"/>
      <c r="O479" s="42"/>
      <c r="P479" s="227"/>
      <c r="Q479" s="117"/>
      <c r="R479" s="210"/>
      <c r="S479" s="232"/>
      <c r="T479" s="270"/>
      <c r="U479" s="101"/>
      <c r="V479" s="101"/>
      <c r="X479" s="101"/>
    </row>
    <row r="480" spans="2:24" s="28" customFormat="1" x14ac:dyDescent="0.25">
      <c r="B480" s="25"/>
      <c r="D480" s="77"/>
      <c r="E480" s="42"/>
      <c r="F480" s="300"/>
      <c r="G480" s="46"/>
      <c r="H480" s="41"/>
      <c r="I480" s="227"/>
      <c r="J480" s="41"/>
      <c r="K480" s="227"/>
      <c r="L480" s="156"/>
      <c r="M480" s="152"/>
      <c r="N480" s="291"/>
      <c r="O480" s="42"/>
      <c r="P480" s="227"/>
      <c r="Q480" s="117"/>
      <c r="R480" s="210"/>
      <c r="S480" s="232"/>
      <c r="T480" s="270"/>
      <c r="U480" s="101"/>
      <c r="V480" s="101"/>
      <c r="X480" s="101"/>
    </row>
    <row r="481" spans="2:24" s="28" customFormat="1" x14ac:dyDescent="0.25">
      <c r="B481" s="25"/>
      <c r="D481" s="77"/>
      <c r="E481" s="42"/>
      <c r="F481" s="300"/>
      <c r="G481" s="46"/>
      <c r="H481" s="41"/>
      <c r="I481" s="227"/>
      <c r="J481" s="41"/>
      <c r="K481" s="227"/>
      <c r="L481" s="156"/>
      <c r="M481" s="152"/>
      <c r="N481" s="291"/>
      <c r="O481" s="42"/>
      <c r="P481" s="227"/>
      <c r="Q481" s="117"/>
      <c r="R481" s="210"/>
      <c r="S481" s="232"/>
      <c r="T481" s="270"/>
      <c r="U481" s="101"/>
      <c r="V481" s="101"/>
      <c r="X481" s="101"/>
    </row>
    <row r="482" spans="2:24" s="28" customFormat="1" x14ac:dyDescent="0.25">
      <c r="B482" s="25"/>
      <c r="D482" s="77"/>
      <c r="E482" s="42"/>
      <c r="F482" s="300"/>
      <c r="G482" s="46"/>
      <c r="H482" s="41"/>
      <c r="I482" s="227"/>
      <c r="J482" s="41"/>
      <c r="K482" s="227"/>
      <c r="L482" s="156"/>
      <c r="M482" s="152"/>
      <c r="N482" s="291"/>
      <c r="O482" s="42"/>
      <c r="P482" s="227"/>
      <c r="Q482" s="117"/>
      <c r="R482" s="210"/>
      <c r="S482" s="232"/>
      <c r="T482" s="270"/>
      <c r="U482" s="101"/>
      <c r="V482" s="101"/>
      <c r="X482" s="101"/>
    </row>
    <row r="483" spans="2:24" s="28" customFormat="1" x14ac:dyDescent="0.25">
      <c r="B483" s="25"/>
      <c r="D483" s="77"/>
      <c r="E483" s="42"/>
      <c r="F483" s="300"/>
      <c r="G483" s="46"/>
      <c r="H483" s="41"/>
      <c r="I483" s="227"/>
      <c r="J483" s="41"/>
      <c r="K483" s="227"/>
      <c r="L483" s="156"/>
      <c r="M483" s="152"/>
      <c r="N483" s="291"/>
      <c r="O483" s="42"/>
      <c r="P483" s="227"/>
      <c r="Q483" s="117"/>
      <c r="R483" s="210"/>
      <c r="S483" s="232"/>
      <c r="T483" s="270"/>
      <c r="U483" s="101"/>
      <c r="V483" s="101"/>
      <c r="X483" s="101"/>
    </row>
    <row r="484" spans="2:24" s="28" customFormat="1" x14ac:dyDescent="0.25">
      <c r="B484" s="25"/>
      <c r="D484" s="77"/>
      <c r="E484" s="42"/>
      <c r="F484" s="300"/>
      <c r="G484" s="46"/>
      <c r="H484" s="41"/>
      <c r="I484" s="227"/>
      <c r="J484" s="41"/>
      <c r="K484" s="227"/>
      <c r="L484" s="156"/>
      <c r="M484" s="152"/>
      <c r="N484" s="291"/>
      <c r="O484" s="42"/>
      <c r="P484" s="227"/>
      <c r="Q484" s="117"/>
      <c r="R484" s="210"/>
      <c r="S484" s="232"/>
      <c r="T484" s="270"/>
      <c r="U484" s="101"/>
      <c r="V484" s="101"/>
      <c r="X484" s="101"/>
    </row>
    <row r="485" spans="2:24" s="28" customFormat="1" x14ac:dyDescent="0.25">
      <c r="B485" s="25"/>
      <c r="D485" s="77"/>
      <c r="E485" s="42"/>
      <c r="F485" s="300"/>
      <c r="G485" s="46"/>
      <c r="H485" s="41"/>
      <c r="I485" s="227"/>
      <c r="J485" s="41"/>
      <c r="K485" s="227"/>
      <c r="L485" s="156"/>
      <c r="M485" s="152"/>
      <c r="N485" s="291"/>
      <c r="O485" s="42"/>
      <c r="P485" s="227"/>
      <c r="Q485" s="117"/>
      <c r="R485" s="210"/>
      <c r="S485" s="232"/>
      <c r="T485" s="270"/>
      <c r="U485" s="101"/>
      <c r="V485" s="101"/>
      <c r="X485" s="101"/>
    </row>
    <row r="486" spans="2:24" s="28" customFormat="1" x14ac:dyDescent="0.25">
      <c r="B486" s="25"/>
      <c r="D486" s="77"/>
      <c r="E486" s="42"/>
      <c r="F486" s="300"/>
      <c r="G486" s="46"/>
      <c r="H486" s="41"/>
      <c r="I486" s="227"/>
      <c r="J486" s="41"/>
      <c r="K486" s="227"/>
      <c r="L486" s="156"/>
      <c r="M486" s="152"/>
      <c r="N486" s="291"/>
      <c r="O486" s="42"/>
      <c r="P486" s="227"/>
      <c r="Q486" s="117"/>
      <c r="R486" s="210"/>
      <c r="S486" s="232"/>
      <c r="T486" s="270"/>
      <c r="U486" s="101"/>
      <c r="V486" s="101"/>
      <c r="X486" s="101"/>
    </row>
    <row r="487" spans="2:24" s="28" customFormat="1" x14ac:dyDescent="0.25">
      <c r="B487" s="25"/>
      <c r="D487" s="77"/>
      <c r="E487" s="42"/>
      <c r="F487" s="300"/>
      <c r="G487" s="46"/>
      <c r="H487" s="41"/>
      <c r="I487" s="227"/>
      <c r="J487" s="41"/>
      <c r="K487" s="227"/>
      <c r="L487" s="156"/>
      <c r="M487" s="152"/>
      <c r="N487" s="291"/>
      <c r="O487" s="42"/>
      <c r="P487" s="227"/>
      <c r="Q487" s="117"/>
      <c r="R487" s="210"/>
      <c r="S487" s="232"/>
      <c r="T487" s="270"/>
      <c r="U487" s="101"/>
      <c r="V487" s="101"/>
      <c r="X487" s="101"/>
    </row>
    <row r="488" spans="2:24" s="28" customFormat="1" x14ac:dyDescent="0.25">
      <c r="B488" s="25"/>
      <c r="D488" s="77"/>
      <c r="E488" s="42"/>
      <c r="F488" s="300"/>
      <c r="G488" s="46"/>
      <c r="H488" s="41"/>
      <c r="I488" s="227"/>
      <c r="J488" s="41"/>
      <c r="K488" s="227"/>
      <c r="L488" s="156"/>
      <c r="M488" s="152"/>
      <c r="N488" s="291"/>
      <c r="O488" s="42"/>
      <c r="P488" s="227"/>
      <c r="Q488" s="117"/>
      <c r="R488" s="210"/>
      <c r="S488" s="232"/>
      <c r="T488" s="270"/>
      <c r="U488" s="101"/>
      <c r="V488" s="101"/>
      <c r="X488" s="101"/>
    </row>
    <row r="489" spans="2:24" s="28" customFormat="1" x14ac:dyDescent="0.25">
      <c r="B489" s="25"/>
      <c r="D489" s="77"/>
      <c r="E489" s="42"/>
      <c r="F489" s="300"/>
      <c r="G489" s="46"/>
      <c r="H489" s="41"/>
      <c r="I489" s="227"/>
      <c r="J489" s="41"/>
      <c r="K489" s="227"/>
      <c r="L489" s="156"/>
      <c r="M489" s="152"/>
      <c r="N489" s="291"/>
      <c r="O489" s="42"/>
      <c r="P489" s="227"/>
      <c r="Q489" s="117"/>
      <c r="R489" s="210"/>
      <c r="S489" s="232"/>
      <c r="T489" s="270"/>
      <c r="U489" s="101"/>
      <c r="V489" s="101"/>
      <c r="X489" s="101"/>
    </row>
    <row r="490" spans="2:24" s="28" customFormat="1" x14ac:dyDescent="0.25">
      <c r="B490" s="25"/>
      <c r="D490" s="77"/>
      <c r="E490" s="42"/>
      <c r="F490" s="300"/>
      <c r="G490" s="46"/>
      <c r="H490" s="41"/>
      <c r="I490" s="227"/>
      <c r="J490" s="41"/>
      <c r="K490" s="227"/>
      <c r="L490" s="156"/>
      <c r="M490" s="152"/>
      <c r="N490" s="291"/>
      <c r="O490" s="42"/>
      <c r="P490" s="227"/>
      <c r="Q490" s="117"/>
      <c r="R490" s="210"/>
      <c r="S490" s="232"/>
      <c r="T490" s="270"/>
      <c r="U490" s="101"/>
      <c r="V490" s="101"/>
      <c r="X490" s="101"/>
    </row>
    <row r="491" spans="2:24" s="28" customFormat="1" x14ac:dyDescent="0.25">
      <c r="B491" s="25"/>
      <c r="D491" s="77"/>
      <c r="E491" s="42"/>
      <c r="F491" s="300"/>
      <c r="G491" s="46"/>
      <c r="H491" s="41"/>
      <c r="I491" s="227"/>
      <c r="J491" s="41"/>
      <c r="K491" s="227"/>
      <c r="L491" s="156"/>
      <c r="M491" s="152"/>
      <c r="N491" s="291"/>
      <c r="O491" s="42"/>
      <c r="P491" s="227"/>
      <c r="Q491" s="117"/>
      <c r="R491" s="210"/>
      <c r="S491" s="232"/>
      <c r="T491" s="270"/>
      <c r="U491" s="101"/>
      <c r="V491" s="101"/>
      <c r="X491" s="101"/>
    </row>
    <row r="492" spans="2:24" s="28" customFormat="1" x14ac:dyDescent="0.25">
      <c r="B492" s="25"/>
      <c r="D492" s="77"/>
      <c r="E492" s="42"/>
      <c r="F492" s="300"/>
      <c r="G492" s="46"/>
      <c r="H492" s="41"/>
      <c r="I492" s="227"/>
      <c r="J492" s="41"/>
      <c r="K492" s="227"/>
      <c r="L492" s="156"/>
      <c r="M492" s="152"/>
      <c r="N492" s="291"/>
      <c r="O492" s="42"/>
      <c r="P492" s="227"/>
      <c r="Q492" s="117"/>
      <c r="R492" s="210"/>
      <c r="S492" s="232"/>
      <c r="T492" s="270"/>
      <c r="U492" s="101"/>
      <c r="V492" s="101"/>
      <c r="X492" s="101"/>
    </row>
    <row r="493" spans="2:24" s="28" customFormat="1" x14ac:dyDescent="0.25">
      <c r="B493" s="25"/>
      <c r="D493" s="77"/>
      <c r="E493" s="42"/>
      <c r="F493" s="300"/>
      <c r="G493" s="46"/>
      <c r="H493" s="41"/>
      <c r="I493" s="227"/>
      <c r="J493" s="41"/>
      <c r="K493" s="227"/>
      <c r="L493" s="156"/>
      <c r="M493" s="152"/>
      <c r="N493" s="291"/>
      <c r="O493" s="42"/>
      <c r="P493" s="227"/>
      <c r="Q493" s="117"/>
      <c r="R493" s="210"/>
      <c r="S493" s="232"/>
      <c r="T493" s="270"/>
      <c r="U493" s="101"/>
      <c r="V493" s="101"/>
      <c r="X493" s="101"/>
    </row>
    <row r="494" spans="2:24" s="28" customFormat="1" x14ac:dyDescent="0.25">
      <c r="B494" s="25"/>
      <c r="D494" s="77"/>
      <c r="E494" s="42"/>
      <c r="F494" s="300"/>
      <c r="G494" s="46"/>
      <c r="H494" s="41"/>
      <c r="I494" s="227"/>
      <c r="J494" s="41"/>
      <c r="K494" s="227"/>
      <c r="L494" s="156"/>
      <c r="M494" s="152"/>
      <c r="N494" s="291"/>
      <c r="O494" s="42"/>
      <c r="P494" s="227"/>
      <c r="Q494" s="117"/>
      <c r="R494" s="210"/>
      <c r="S494" s="232"/>
      <c r="T494" s="270"/>
      <c r="U494" s="101"/>
      <c r="V494" s="101"/>
      <c r="X494" s="101"/>
    </row>
    <row r="495" spans="2:24" s="28" customFormat="1" x14ac:dyDescent="0.25">
      <c r="B495" s="25"/>
      <c r="D495" s="77"/>
      <c r="E495" s="42"/>
      <c r="F495" s="300"/>
      <c r="G495" s="46"/>
      <c r="H495" s="41"/>
      <c r="I495" s="227"/>
      <c r="J495" s="41"/>
      <c r="K495" s="227"/>
      <c r="L495" s="156"/>
      <c r="M495" s="152"/>
      <c r="N495" s="291"/>
      <c r="O495" s="42"/>
      <c r="P495" s="227"/>
      <c r="Q495" s="117"/>
      <c r="R495" s="210"/>
      <c r="S495" s="232"/>
      <c r="T495" s="270"/>
      <c r="U495" s="101"/>
      <c r="V495" s="101"/>
      <c r="X495" s="101"/>
    </row>
    <row r="496" spans="2:24" s="28" customFormat="1" x14ac:dyDescent="0.25">
      <c r="B496" s="25"/>
      <c r="D496" s="77"/>
      <c r="E496" s="42"/>
      <c r="F496" s="300"/>
      <c r="G496" s="46"/>
      <c r="H496" s="41"/>
      <c r="I496" s="227"/>
      <c r="J496" s="41"/>
      <c r="K496" s="227"/>
      <c r="L496" s="156"/>
      <c r="M496" s="152"/>
      <c r="N496" s="291"/>
      <c r="O496" s="42"/>
      <c r="P496" s="227"/>
      <c r="Q496" s="117"/>
      <c r="R496" s="210"/>
      <c r="S496" s="232"/>
      <c r="T496" s="270"/>
      <c r="U496" s="101"/>
      <c r="V496" s="101"/>
      <c r="X496" s="101"/>
    </row>
    <row r="497" spans="2:24" s="28" customFormat="1" x14ac:dyDescent="0.25">
      <c r="B497" s="25"/>
      <c r="D497" s="77"/>
      <c r="E497" s="42"/>
      <c r="F497" s="300"/>
      <c r="G497" s="46"/>
      <c r="H497" s="41"/>
      <c r="I497" s="227"/>
      <c r="J497" s="41"/>
      <c r="K497" s="227"/>
      <c r="L497" s="156"/>
      <c r="M497" s="152"/>
      <c r="N497" s="291"/>
      <c r="O497" s="42"/>
      <c r="P497" s="227"/>
      <c r="Q497" s="117"/>
      <c r="R497" s="210"/>
      <c r="S497" s="232"/>
      <c r="T497" s="270"/>
      <c r="U497" s="101"/>
      <c r="V497" s="101"/>
      <c r="X497" s="101"/>
    </row>
    <row r="498" spans="2:24" s="28" customFormat="1" x14ac:dyDescent="0.25">
      <c r="B498" s="25"/>
      <c r="D498" s="77"/>
      <c r="E498" s="42"/>
      <c r="F498" s="300"/>
      <c r="G498" s="46"/>
      <c r="H498" s="41"/>
      <c r="I498" s="227"/>
      <c r="J498" s="41"/>
      <c r="K498" s="227"/>
      <c r="L498" s="156"/>
      <c r="M498" s="152"/>
      <c r="N498" s="291"/>
      <c r="O498" s="42"/>
      <c r="P498" s="227"/>
      <c r="Q498" s="117"/>
      <c r="R498" s="210"/>
      <c r="S498" s="232"/>
      <c r="T498" s="270"/>
      <c r="U498" s="101"/>
      <c r="V498" s="101"/>
      <c r="X498" s="101"/>
    </row>
    <row r="499" spans="2:24" s="28" customFormat="1" x14ac:dyDescent="0.25">
      <c r="B499" s="25"/>
      <c r="D499" s="77"/>
      <c r="E499" s="42"/>
      <c r="F499" s="300"/>
      <c r="G499" s="46"/>
      <c r="H499" s="41"/>
      <c r="I499" s="227"/>
      <c r="J499" s="41"/>
      <c r="K499" s="227"/>
      <c r="L499" s="156"/>
      <c r="M499" s="152"/>
      <c r="N499" s="291"/>
      <c r="O499" s="42"/>
      <c r="P499" s="227"/>
      <c r="Q499" s="117"/>
      <c r="R499" s="210"/>
      <c r="S499" s="232"/>
      <c r="T499" s="270"/>
      <c r="U499" s="101"/>
      <c r="V499" s="101"/>
      <c r="X499" s="101"/>
    </row>
    <row r="500" spans="2:24" s="28" customFormat="1" x14ac:dyDescent="0.25">
      <c r="B500" s="25"/>
      <c r="D500" s="77"/>
      <c r="E500" s="42"/>
      <c r="F500" s="300"/>
      <c r="G500" s="46"/>
      <c r="H500" s="41"/>
      <c r="I500" s="227"/>
      <c r="J500" s="41"/>
      <c r="K500" s="227"/>
      <c r="L500" s="156"/>
      <c r="M500" s="152"/>
      <c r="N500" s="291"/>
      <c r="O500" s="42"/>
      <c r="P500" s="227"/>
      <c r="Q500" s="117"/>
      <c r="R500" s="210"/>
      <c r="S500" s="232"/>
      <c r="T500" s="270"/>
      <c r="U500" s="101"/>
      <c r="V500" s="101"/>
      <c r="X500" s="101"/>
    </row>
    <row r="501" spans="2:24" s="28" customFormat="1" x14ac:dyDescent="0.25">
      <c r="B501" s="25"/>
      <c r="D501" s="77"/>
      <c r="E501" s="42"/>
      <c r="F501" s="300"/>
      <c r="G501" s="46"/>
      <c r="H501" s="41"/>
      <c r="I501" s="227"/>
      <c r="J501" s="41"/>
      <c r="K501" s="227"/>
      <c r="L501" s="156"/>
      <c r="M501" s="152"/>
      <c r="N501" s="291"/>
      <c r="O501" s="42"/>
      <c r="P501" s="227"/>
      <c r="Q501" s="117"/>
      <c r="R501" s="210"/>
      <c r="S501" s="232"/>
      <c r="T501" s="270"/>
      <c r="U501" s="101"/>
      <c r="V501" s="101"/>
      <c r="X501" s="101"/>
    </row>
    <row r="502" spans="2:24" s="28" customFormat="1" x14ac:dyDescent="0.25">
      <c r="B502" s="25"/>
      <c r="D502" s="77"/>
      <c r="E502" s="42"/>
      <c r="F502" s="300"/>
      <c r="G502" s="46"/>
      <c r="H502" s="41"/>
      <c r="I502" s="227"/>
      <c r="J502" s="41"/>
      <c r="K502" s="227"/>
      <c r="L502" s="156"/>
      <c r="M502" s="152"/>
      <c r="N502" s="291"/>
      <c r="O502" s="42"/>
      <c r="P502" s="227"/>
      <c r="Q502" s="117"/>
      <c r="R502" s="210"/>
      <c r="S502" s="232"/>
      <c r="T502" s="270"/>
      <c r="U502" s="101"/>
      <c r="V502" s="101"/>
      <c r="X502" s="101"/>
    </row>
    <row r="503" spans="2:24" s="28" customFormat="1" x14ac:dyDescent="0.25">
      <c r="B503" s="25"/>
      <c r="D503" s="77"/>
      <c r="E503" s="42"/>
      <c r="F503" s="300"/>
      <c r="G503" s="46"/>
      <c r="H503" s="41"/>
      <c r="I503" s="227"/>
      <c r="J503" s="41"/>
      <c r="K503" s="227"/>
      <c r="L503" s="156"/>
      <c r="M503" s="152"/>
      <c r="N503" s="291"/>
      <c r="O503" s="42"/>
      <c r="P503" s="227"/>
      <c r="Q503" s="117"/>
      <c r="R503" s="210"/>
      <c r="S503" s="232"/>
      <c r="T503" s="270"/>
      <c r="U503" s="101"/>
      <c r="V503" s="101"/>
      <c r="X503" s="101"/>
    </row>
    <row r="504" spans="2:24" s="28" customFormat="1" x14ac:dyDescent="0.25">
      <c r="B504" s="25"/>
      <c r="D504" s="77"/>
      <c r="E504" s="42"/>
      <c r="F504" s="300"/>
      <c r="G504" s="46"/>
      <c r="H504" s="41"/>
      <c r="I504" s="227"/>
      <c r="J504" s="41"/>
      <c r="K504" s="227"/>
      <c r="L504" s="156"/>
      <c r="M504" s="152"/>
      <c r="N504" s="291"/>
      <c r="O504" s="42"/>
      <c r="P504" s="227"/>
      <c r="Q504" s="117"/>
      <c r="R504" s="210"/>
      <c r="S504" s="232"/>
      <c r="T504" s="270"/>
      <c r="U504" s="101"/>
      <c r="V504" s="101"/>
      <c r="X504" s="101"/>
    </row>
    <row r="505" spans="2:24" s="28" customFormat="1" x14ac:dyDescent="0.25">
      <c r="B505" s="25"/>
      <c r="D505" s="77"/>
      <c r="E505" s="42"/>
      <c r="F505" s="300"/>
      <c r="G505" s="46"/>
      <c r="H505" s="41"/>
      <c r="I505" s="227"/>
      <c r="J505" s="41"/>
      <c r="K505" s="227"/>
      <c r="L505" s="156"/>
      <c r="M505" s="152"/>
      <c r="N505" s="291"/>
      <c r="O505" s="42"/>
      <c r="P505" s="227"/>
      <c r="Q505" s="117"/>
      <c r="R505" s="210"/>
      <c r="S505" s="232"/>
      <c r="T505" s="270"/>
      <c r="U505" s="101"/>
      <c r="V505" s="101"/>
      <c r="X505" s="101"/>
    </row>
    <row r="506" spans="2:24" s="28" customFormat="1" x14ac:dyDescent="0.25">
      <c r="B506" s="25"/>
      <c r="D506" s="77"/>
      <c r="E506" s="42"/>
      <c r="F506" s="300"/>
      <c r="G506" s="46"/>
      <c r="H506" s="41"/>
      <c r="I506" s="227"/>
      <c r="J506" s="41"/>
      <c r="K506" s="227"/>
      <c r="L506" s="156"/>
      <c r="M506" s="152"/>
      <c r="N506" s="291"/>
      <c r="O506" s="42"/>
      <c r="P506" s="227"/>
      <c r="Q506" s="117"/>
      <c r="R506" s="210"/>
      <c r="S506" s="232"/>
      <c r="T506" s="270"/>
      <c r="U506" s="101"/>
      <c r="V506" s="101"/>
      <c r="X506" s="101"/>
    </row>
    <row r="507" spans="2:24" s="28" customFormat="1" x14ac:dyDescent="0.25">
      <c r="B507" s="25"/>
      <c r="D507" s="77"/>
      <c r="E507" s="42"/>
      <c r="F507" s="300"/>
      <c r="G507" s="46"/>
      <c r="H507" s="41"/>
      <c r="I507" s="227"/>
      <c r="J507" s="41"/>
      <c r="K507" s="227"/>
      <c r="L507" s="156"/>
      <c r="M507" s="152"/>
      <c r="N507" s="291"/>
      <c r="O507" s="42"/>
      <c r="P507" s="227"/>
      <c r="Q507" s="117"/>
      <c r="R507" s="210"/>
      <c r="S507" s="232"/>
      <c r="T507" s="270"/>
      <c r="U507" s="101"/>
      <c r="V507" s="101"/>
      <c r="X507" s="101"/>
    </row>
    <row r="508" spans="2:24" s="28" customFormat="1" x14ac:dyDescent="0.25">
      <c r="B508" s="25"/>
      <c r="D508" s="77"/>
      <c r="E508" s="42"/>
      <c r="F508" s="300"/>
      <c r="G508" s="46"/>
      <c r="H508" s="41"/>
      <c r="I508" s="227"/>
      <c r="J508" s="41"/>
      <c r="K508" s="227"/>
      <c r="L508" s="156"/>
      <c r="M508" s="152"/>
      <c r="N508" s="291"/>
      <c r="O508" s="42"/>
      <c r="P508" s="227"/>
      <c r="Q508" s="117"/>
      <c r="R508" s="210"/>
      <c r="S508" s="232"/>
      <c r="T508" s="270"/>
      <c r="U508" s="101"/>
      <c r="V508" s="101"/>
      <c r="X508" s="101"/>
    </row>
    <row r="509" spans="2:24" s="28" customFormat="1" x14ac:dyDescent="0.25">
      <c r="B509" s="25"/>
      <c r="D509" s="77"/>
      <c r="E509" s="42"/>
      <c r="F509" s="300"/>
      <c r="G509" s="46"/>
      <c r="H509" s="41"/>
      <c r="I509" s="227"/>
      <c r="J509" s="41"/>
      <c r="K509" s="227"/>
      <c r="L509" s="156"/>
      <c r="M509" s="152"/>
      <c r="N509" s="291"/>
      <c r="O509" s="42"/>
      <c r="P509" s="227"/>
      <c r="Q509" s="117"/>
      <c r="R509" s="210"/>
      <c r="S509" s="232"/>
      <c r="T509" s="270"/>
      <c r="U509" s="101"/>
      <c r="V509" s="101"/>
      <c r="X509" s="101"/>
    </row>
    <row r="510" spans="2:24" s="28" customFormat="1" x14ac:dyDescent="0.25">
      <c r="B510" s="25"/>
      <c r="D510" s="77"/>
      <c r="E510" s="42"/>
      <c r="F510" s="300"/>
      <c r="G510" s="46"/>
      <c r="H510" s="41"/>
      <c r="I510" s="227"/>
      <c r="J510" s="41"/>
      <c r="K510" s="227"/>
      <c r="L510" s="156"/>
      <c r="M510" s="152"/>
      <c r="N510" s="291"/>
      <c r="O510" s="42"/>
      <c r="P510" s="227"/>
      <c r="Q510" s="117"/>
      <c r="R510" s="210"/>
      <c r="S510" s="232"/>
      <c r="T510" s="270"/>
      <c r="U510" s="101"/>
      <c r="V510" s="101"/>
      <c r="X510" s="101"/>
    </row>
    <row r="511" spans="2:24" s="28" customFormat="1" x14ac:dyDescent="0.25">
      <c r="B511" s="25"/>
      <c r="D511" s="77"/>
      <c r="E511" s="42"/>
      <c r="F511" s="300"/>
      <c r="G511" s="46"/>
      <c r="H511" s="41"/>
      <c r="I511" s="227"/>
      <c r="J511" s="41"/>
      <c r="K511" s="227"/>
      <c r="L511" s="156"/>
      <c r="M511" s="152"/>
      <c r="N511" s="291"/>
      <c r="O511" s="42"/>
      <c r="P511" s="227"/>
      <c r="Q511" s="117"/>
      <c r="R511" s="210"/>
      <c r="S511" s="232"/>
      <c r="T511" s="270"/>
      <c r="U511" s="101"/>
      <c r="V511" s="101"/>
      <c r="X511" s="101"/>
    </row>
    <row r="512" spans="2:24" s="28" customFormat="1" x14ac:dyDescent="0.25">
      <c r="B512" s="25"/>
      <c r="D512" s="77"/>
      <c r="E512" s="42"/>
      <c r="F512" s="300"/>
      <c r="G512" s="46"/>
      <c r="H512" s="41"/>
      <c r="I512" s="227"/>
      <c r="J512" s="41"/>
      <c r="K512" s="227"/>
      <c r="L512" s="156"/>
      <c r="M512" s="152"/>
      <c r="N512" s="291"/>
      <c r="O512" s="42"/>
      <c r="P512" s="227"/>
      <c r="Q512" s="117"/>
      <c r="R512" s="210"/>
      <c r="S512" s="232"/>
      <c r="T512" s="270"/>
      <c r="U512" s="101"/>
      <c r="V512" s="101"/>
      <c r="X512" s="101"/>
    </row>
    <row r="513" spans="2:24" s="28" customFormat="1" x14ac:dyDescent="0.25">
      <c r="B513" s="25"/>
      <c r="D513" s="77"/>
      <c r="E513" s="42"/>
      <c r="F513" s="300"/>
      <c r="G513" s="46"/>
      <c r="H513" s="41"/>
      <c r="I513" s="227"/>
      <c r="J513" s="41"/>
      <c r="K513" s="227"/>
      <c r="L513" s="156"/>
      <c r="M513" s="152"/>
      <c r="N513" s="291"/>
      <c r="O513" s="42"/>
      <c r="P513" s="227"/>
      <c r="Q513" s="117"/>
      <c r="R513" s="210"/>
      <c r="S513" s="232"/>
      <c r="T513" s="270"/>
      <c r="U513" s="101"/>
      <c r="V513" s="101"/>
      <c r="X513" s="101"/>
    </row>
    <row r="514" spans="2:24" s="28" customFormat="1" x14ac:dyDescent="0.25">
      <c r="B514" s="25"/>
      <c r="D514" s="77"/>
      <c r="E514" s="42"/>
      <c r="F514" s="365"/>
      <c r="G514" s="46"/>
      <c r="H514" s="42"/>
      <c r="I514" s="230"/>
      <c r="J514" s="41"/>
      <c r="K514" s="227"/>
      <c r="L514" s="156"/>
      <c r="M514" s="152"/>
      <c r="N514" s="291"/>
      <c r="O514" s="42"/>
      <c r="P514" s="227"/>
      <c r="Q514" s="117"/>
      <c r="R514" s="210"/>
      <c r="S514" s="232"/>
      <c r="T514" s="270"/>
      <c r="V514" s="101"/>
    </row>
    <row r="515" spans="2:24" s="28" customFormat="1" x14ac:dyDescent="0.25">
      <c r="B515" s="25"/>
      <c r="D515" s="77"/>
      <c r="E515" s="42"/>
      <c r="F515" s="365"/>
      <c r="G515" s="46"/>
      <c r="H515" s="42"/>
      <c r="I515" s="230"/>
      <c r="J515" s="41"/>
      <c r="K515" s="227"/>
      <c r="L515" s="156"/>
      <c r="M515" s="152"/>
      <c r="N515" s="291"/>
      <c r="O515" s="42"/>
      <c r="P515" s="227"/>
      <c r="Q515" s="117"/>
      <c r="R515" s="210"/>
      <c r="S515" s="232"/>
      <c r="T515" s="270"/>
      <c r="V515" s="101"/>
    </row>
    <row r="516" spans="2:24" s="28" customFormat="1" x14ac:dyDescent="0.25">
      <c r="B516" s="25"/>
      <c r="D516" s="77"/>
      <c r="E516" s="42"/>
      <c r="F516" s="365"/>
      <c r="G516" s="46"/>
      <c r="H516" s="42"/>
      <c r="I516" s="230"/>
      <c r="J516" s="41"/>
      <c r="K516" s="227"/>
      <c r="L516" s="156"/>
      <c r="M516" s="152"/>
      <c r="N516" s="291"/>
      <c r="O516" s="42"/>
      <c r="P516" s="227"/>
      <c r="Q516" s="117"/>
      <c r="R516" s="210"/>
      <c r="S516" s="232"/>
      <c r="T516" s="270"/>
      <c r="V516" s="101"/>
    </row>
    <row r="517" spans="2:24" s="28" customFormat="1" x14ac:dyDescent="0.25">
      <c r="B517" s="25"/>
      <c r="D517" s="77"/>
      <c r="E517" s="42"/>
      <c r="F517" s="365"/>
      <c r="G517" s="46"/>
      <c r="H517" s="42"/>
      <c r="I517" s="230"/>
      <c r="J517" s="41"/>
      <c r="K517" s="227"/>
      <c r="L517" s="156"/>
      <c r="M517" s="152"/>
      <c r="N517" s="291"/>
      <c r="O517" s="42"/>
      <c r="P517" s="227"/>
      <c r="Q517" s="117"/>
      <c r="R517" s="210"/>
      <c r="S517" s="232"/>
      <c r="T517" s="270"/>
      <c r="V517" s="101"/>
    </row>
    <row r="518" spans="2:24" s="28" customFormat="1" x14ac:dyDescent="0.25">
      <c r="B518" s="25"/>
      <c r="D518" s="77"/>
      <c r="E518" s="42"/>
      <c r="F518" s="365"/>
      <c r="G518" s="46"/>
      <c r="H518" s="42"/>
      <c r="I518" s="230"/>
      <c r="J518" s="41"/>
      <c r="K518" s="227"/>
      <c r="L518" s="156"/>
      <c r="M518" s="152"/>
      <c r="N518" s="291"/>
      <c r="O518" s="42"/>
      <c r="P518" s="227"/>
      <c r="Q518" s="117"/>
      <c r="R518" s="210"/>
      <c r="S518" s="232"/>
      <c r="T518" s="270"/>
      <c r="V518" s="101"/>
    </row>
    <row r="519" spans="2:24" s="28" customFormat="1" x14ac:dyDescent="0.25">
      <c r="B519" s="25"/>
      <c r="D519" s="77"/>
      <c r="E519" s="42"/>
      <c r="F519" s="365"/>
      <c r="G519" s="46"/>
      <c r="H519" s="42"/>
      <c r="I519" s="230"/>
      <c r="J519" s="41"/>
      <c r="K519" s="227"/>
      <c r="L519" s="156"/>
      <c r="M519" s="152"/>
      <c r="N519" s="291"/>
      <c r="O519" s="42"/>
      <c r="P519" s="227"/>
      <c r="Q519" s="117"/>
      <c r="R519" s="210"/>
      <c r="S519" s="232"/>
      <c r="T519" s="270"/>
      <c r="V519" s="101"/>
    </row>
    <row r="520" spans="2:24" s="28" customFormat="1" x14ac:dyDescent="0.25">
      <c r="B520" s="25"/>
      <c r="D520" s="77"/>
      <c r="E520" s="42"/>
      <c r="F520" s="365"/>
      <c r="G520" s="46"/>
      <c r="H520" s="42"/>
      <c r="I520" s="230"/>
      <c r="J520" s="41"/>
      <c r="K520" s="227"/>
      <c r="L520" s="156"/>
      <c r="M520" s="152"/>
      <c r="N520" s="291"/>
      <c r="O520" s="42"/>
      <c r="P520" s="227"/>
      <c r="Q520" s="117"/>
      <c r="R520" s="210"/>
      <c r="S520" s="232"/>
      <c r="T520" s="270"/>
      <c r="V520" s="101"/>
    </row>
    <row r="521" spans="2:24" s="28" customFormat="1" x14ac:dyDescent="0.25">
      <c r="B521" s="25"/>
      <c r="D521" s="77"/>
      <c r="E521" s="42"/>
      <c r="F521" s="365"/>
      <c r="G521" s="46"/>
      <c r="H521" s="41"/>
      <c r="I521" s="230"/>
      <c r="J521" s="41"/>
      <c r="K521" s="227"/>
      <c r="L521" s="156"/>
      <c r="M521" s="152"/>
      <c r="N521" s="291"/>
      <c r="O521" s="42"/>
      <c r="P521" s="227"/>
      <c r="Q521" s="117"/>
      <c r="R521" s="210"/>
      <c r="S521" s="232"/>
      <c r="T521" s="270"/>
      <c r="V521" s="101"/>
    </row>
    <row r="522" spans="2:24" s="28" customFormat="1" x14ac:dyDescent="0.25">
      <c r="B522" s="25"/>
      <c r="D522" s="77"/>
      <c r="E522" s="42"/>
      <c r="F522" s="365"/>
      <c r="G522" s="118"/>
      <c r="H522" s="41"/>
      <c r="I522" s="230"/>
      <c r="J522" s="41"/>
      <c r="K522" s="227"/>
      <c r="L522" s="156"/>
      <c r="M522" s="152"/>
      <c r="N522" s="291"/>
      <c r="O522" s="42"/>
      <c r="P522" s="227"/>
      <c r="Q522" s="117"/>
      <c r="R522" s="210"/>
      <c r="S522" s="232"/>
      <c r="T522" s="270"/>
      <c r="V522" s="101"/>
    </row>
    <row r="523" spans="2:24" s="28" customFormat="1" x14ac:dyDescent="0.25">
      <c r="B523" s="25"/>
      <c r="D523" s="77"/>
      <c r="E523" s="42"/>
      <c r="F523" s="365"/>
      <c r="G523" s="118"/>
      <c r="H523" s="41"/>
      <c r="I523" s="230"/>
      <c r="J523" s="41"/>
      <c r="K523" s="227"/>
      <c r="L523" s="156"/>
      <c r="M523" s="152"/>
      <c r="N523" s="291"/>
      <c r="O523" s="42"/>
      <c r="P523" s="227"/>
      <c r="Q523" s="117"/>
      <c r="R523" s="210"/>
      <c r="S523" s="232"/>
      <c r="T523" s="270"/>
      <c r="V523" s="101"/>
    </row>
    <row r="524" spans="2:24" s="28" customFormat="1" x14ac:dyDescent="0.25">
      <c r="B524" s="25"/>
      <c r="D524" s="77"/>
      <c r="E524" s="42"/>
      <c r="F524" s="365"/>
      <c r="G524" s="46"/>
      <c r="H524" s="41"/>
      <c r="I524" s="230"/>
      <c r="J524" s="41"/>
      <c r="K524" s="227"/>
      <c r="L524" s="156"/>
      <c r="M524" s="152"/>
      <c r="N524" s="291"/>
      <c r="O524" s="42"/>
      <c r="P524" s="227"/>
      <c r="Q524" s="117"/>
      <c r="R524" s="210"/>
      <c r="S524" s="232"/>
      <c r="T524" s="270"/>
      <c r="V524" s="101"/>
    </row>
    <row r="525" spans="2:24" s="28" customFormat="1" x14ac:dyDescent="0.25">
      <c r="B525" s="25"/>
      <c r="D525" s="77"/>
      <c r="E525" s="42"/>
      <c r="F525" s="365"/>
      <c r="G525" s="118"/>
      <c r="H525" s="41"/>
      <c r="I525" s="230"/>
      <c r="J525" s="41"/>
      <c r="K525" s="227"/>
      <c r="L525" s="156"/>
      <c r="M525" s="152"/>
      <c r="N525" s="291"/>
      <c r="O525" s="42"/>
      <c r="P525" s="227"/>
      <c r="Q525" s="117"/>
      <c r="R525" s="210"/>
      <c r="S525" s="232"/>
      <c r="T525" s="270"/>
      <c r="V525" s="101"/>
    </row>
    <row r="526" spans="2:24" s="28" customFormat="1" x14ac:dyDescent="0.25">
      <c r="B526" s="25"/>
      <c r="D526" s="77"/>
      <c r="E526" s="42"/>
      <c r="F526" s="365"/>
      <c r="G526" s="118"/>
      <c r="H526" s="41"/>
      <c r="I526" s="230"/>
      <c r="J526" s="41"/>
      <c r="K526" s="227"/>
      <c r="L526" s="156"/>
      <c r="M526" s="152"/>
      <c r="N526" s="291"/>
      <c r="O526" s="42"/>
      <c r="P526" s="227"/>
      <c r="Q526" s="117"/>
      <c r="R526" s="210"/>
      <c r="S526" s="232"/>
      <c r="T526" s="270"/>
      <c r="V526" s="101"/>
    </row>
    <row r="527" spans="2:24" s="28" customFormat="1" x14ac:dyDescent="0.25">
      <c r="B527" s="25"/>
      <c r="D527" s="77"/>
      <c r="E527" s="42"/>
      <c r="F527" s="365"/>
      <c r="G527" s="46"/>
      <c r="H527" s="41"/>
      <c r="I527" s="230"/>
      <c r="J527" s="41"/>
      <c r="K527" s="227"/>
      <c r="L527" s="156"/>
      <c r="M527" s="152"/>
      <c r="N527" s="291"/>
      <c r="O527" s="42"/>
      <c r="P527" s="227"/>
      <c r="Q527" s="117"/>
      <c r="R527" s="210"/>
      <c r="S527" s="232"/>
      <c r="T527" s="270"/>
      <c r="V527" s="101"/>
    </row>
    <row r="528" spans="2:24" s="28" customFormat="1" x14ac:dyDescent="0.25">
      <c r="B528" s="25"/>
      <c r="D528" s="77"/>
      <c r="E528" s="42"/>
      <c r="F528" s="365"/>
      <c r="G528" s="46"/>
      <c r="H528" s="41"/>
      <c r="I528" s="230"/>
      <c r="J528" s="41"/>
      <c r="K528" s="227"/>
      <c r="L528" s="156"/>
      <c r="M528" s="152"/>
      <c r="N528" s="291"/>
      <c r="O528" s="42"/>
      <c r="P528" s="227"/>
      <c r="Q528" s="117"/>
      <c r="R528" s="210"/>
      <c r="S528" s="232"/>
      <c r="T528" s="270"/>
      <c r="V528" s="101"/>
    </row>
    <row r="529" spans="2:22" s="28" customFormat="1" x14ac:dyDescent="0.25">
      <c r="B529" s="25"/>
      <c r="D529" s="77"/>
      <c r="E529" s="42"/>
      <c r="F529" s="365"/>
      <c r="G529" s="46"/>
      <c r="H529" s="41"/>
      <c r="I529" s="230"/>
      <c r="J529" s="41"/>
      <c r="K529" s="227"/>
      <c r="L529" s="156"/>
      <c r="M529" s="152"/>
      <c r="N529" s="291"/>
      <c r="O529" s="42"/>
      <c r="P529" s="227"/>
      <c r="Q529" s="117"/>
      <c r="R529" s="210"/>
      <c r="S529" s="232"/>
      <c r="T529" s="270"/>
      <c r="V529" s="101"/>
    </row>
    <row r="530" spans="2:22" s="28" customFormat="1" x14ac:dyDescent="0.25">
      <c r="B530" s="25"/>
      <c r="D530" s="77"/>
      <c r="E530" s="42"/>
      <c r="F530" s="365"/>
      <c r="G530" s="118"/>
      <c r="H530" s="41"/>
      <c r="I530" s="230"/>
      <c r="J530" s="41"/>
      <c r="K530" s="227"/>
      <c r="L530" s="156"/>
      <c r="M530" s="152"/>
      <c r="N530" s="291"/>
      <c r="O530" s="42"/>
      <c r="P530" s="227"/>
      <c r="Q530" s="117"/>
      <c r="R530" s="210"/>
      <c r="S530" s="232"/>
      <c r="T530" s="270"/>
      <c r="V530" s="101"/>
    </row>
    <row r="531" spans="2:22" s="28" customFormat="1" x14ac:dyDescent="0.25">
      <c r="B531" s="25"/>
      <c r="D531" s="77"/>
      <c r="E531" s="42"/>
      <c r="F531" s="365"/>
      <c r="G531" s="118"/>
      <c r="H531" s="41"/>
      <c r="I531" s="230"/>
      <c r="J531" s="41"/>
      <c r="K531" s="227"/>
      <c r="L531" s="156"/>
      <c r="M531" s="152"/>
      <c r="N531" s="291"/>
      <c r="O531" s="42"/>
      <c r="P531" s="227"/>
      <c r="Q531" s="117"/>
      <c r="R531" s="210"/>
      <c r="S531" s="232"/>
      <c r="T531" s="270"/>
      <c r="V531" s="101"/>
    </row>
    <row r="532" spans="2:22" s="28" customFormat="1" x14ac:dyDescent="0.25">
      <c r="B532" s="25"/>
      <c r="D532" s="77"/>
      <c r="E532" s="42"/>
      <c r="F532" s="365"/>
      <c r="G532" s="118"/>
      <c r="H532" s="41"/>
      <c r="I532" s="230"/>
      <c r="J532" s="41"/>
      <c r="K532" s="227"/>
      <c r="L532" s="156"/>
      <c r="M532" s="152"/>
      <c r="N532" s="291"/>
      <c r="O532" s="42"/>
      <c r="P532" s="227"/>
      <c r="Q532" s="117"/>
      <c r="R532" s="210"/>
      <c r="S532" s="232"/>
      <c r="T532" s="270"/>
      <c r="V532" s="101"/>
    </row>
    <row r="533" spans="2:22" s="28" customFormat="1" x14ac:dyDescent="0.25">
      <c r="B533" s="25"/>
      <c r="D533" s="77"/>
      <c r="E533" s="42"/>
      <c r="F533" s="365"/>
      <c r="G533" s="46"/>
      <c r="H533" s="41"/>
      <c r="I533" s="230"/>
      <c r="J533" s="41"/>
      <c r="K533" s="227"/>
      <c r="L533" s="156"/>
      <c r="M533" s="152"/>
      <c r="N533" s="291"/>
      <c r="O533" s="42"/>
      <c r="P533" s="227"/>
      <c r="Q533" s="117"/>
      <c r="R533" s="210"/>
      <c r="S533" s="232"/>
      <c r="T533" s="270"/>
      <c r="V533" s="101"/>
    </row>
    <row r="534" spans="2:22" s="28" customFormat="1" x14ac:dyDescent="0.25">
      <c r="B534" s="25"/>
      <c r="D534" s="77"/>
      <c r="E534" s="42"/>
      <c r="F534" s="365"/>
      <c r="G534" s="118"/>
      <c r="H534" s="41"/>
      <c r="I534" s="230"/>
      <c r="J534" s="41"/>
      <c r="K534" s="227"/>
      <c r="L534" s="156"/>
      <c r="M534" s="152"/>
      <c r="N534" s="291"/>
      <c r="O534" s="42"/>
      <c r="P534" s="227"/>
      <c r="Q534" s="117"/>
      <c r="R534" s="210"/>
      <c r="S534" s="232"/>
      <c r="T534" s="270"/>
      <c r="V534" s="101"/>
    </row>
    <row r="535" spans="2:22" s="28" customFormat="1" x14ac:dyDescent="0.25">
      <c r="B535" s="25"/>
      <c r="D535" s="77"/>
      <c r="E535" s="42"/>
      <c r="F535" s="365"/>
      <c r="G535" s="46"/>
      <c r="H535" s="41"/>
      <c r="I535" s="230"/>
      <c r="J535" s="41"/>
      <c r="K535" s="227"/>
      <c r="L535" s="156"/>
      <c r="M535" s="152"/>
      <c r="N535" s="291"/>
      <c r="O535" s="42"/>
      <c r="P535" s="227"/>
      <c r="Q535" s="117"/>
      <c r="R535" s="210"/>
      <c r="S535" s="232"/>
      <c r="T535" s="270"/>
      <c r="V535" s="101"/>
    </row>
    <row r="536" spans="2:22" s="28" customFormat="1" x14ac:dyDescent="0.25">
      <c r="B536" s="25"/>
      <c r="D536" s="77"/>
      <c r="E536" s="42"/>
      <c r="F536" s="365"/>
      <c r="G536" s="46"/>
      <c r="H536" s="41"/>
      <c r="I536" s="230"/>
      <c r="J536" s="41"/>
      <c r="K536" s="227"/>
      <c r="L536" s="156"/>
      <c r="M536" s="152"/>
      <c r="N536" s="291"/>
      <c r="O536" s="42"/>
      <c r="P536" s="227"/>
      <c r="Q536" s="117"/>
      <c r="R536" s="210"/>
      <c r="S536" s="232"/>
      <c r="T536" s="270"/>
      <c r="V536" s="101"/>
    </row>
    <row r="537" spans="2:22" s="28" customFormat="1" x14ac:dyDescent="0.25">
      <c r="B537" s="25"/>
      <c r="D537" s="77"/>
      <c r="E537" s="42"/>
      <c r="F537" s="365"/>
      <c r="G537" s="118"/>
      <c r="H537" s="41"/>
      <c r="I537" s="230"/>
      <c r="J537" s="41"/>
      <c r="K537" s="227"/>
      <c r="L537" s="156"/>
      <c r="M537" s="152"/>
      <c r="N537" s="291"/>
      <c r="O537" s="42"/>
      <c r="P537" s="227"/>
      <c r="Q537" s="117"/>
      <c r="R537" s="210"/>
      <c r="S537" s="232"/>
      <c r="T537" s="270"/>
      <c r="V537" s="101"/>
    </row>
    <row r="538" spans="2:22" s="28" customFormat="1" x14ac:dyDescent="0.25">
      <c r="B538" s="25"/>
      <c r="D538" s="77"/>
      <c r="E538" s="42"/>
      <c r="F538" s="365"/>
      <c r="G538" s="46"/>
      <c r="H538" s="41"/>
      <c r="I538" s="230"/>
      <c r="J538" s="41"/>
      <c r="K538" s="227"/>
      <c r="L538" s="156"/>
      <c r="M538" s="152"/>
      <c r="N538" s="291"/>
      <c r="O538" s="42"/>
      <c r="P538" s="227"/>
      <c r="Q538" s="117"/>
      <c r="R538" s="210"/>
      <c r="S538" s="232"/>
      <c r="T538" s="270"/>
      <c r="V538" s="101"/>
    </row>
    <row r="539" spans="2:22" s="28" customFormat="1" x14ac:dyDescent="0.25">
      <c r="B539" s="25"/>
      <c r="D539" s="77"/>
      <c r="E539" s="42"/>
      <c r="F539" s="365"/>
      <c r="G539" s="46"/>
      <c r="H539" s="41"/>
      <c r="I539" s="230"/>
      <c r="J539" s="41"/>
      <c r="K539" s="227"/>
      <c r="L539" s="156"/>
      <c r="M539" s="152"/>
      <c r="N539" s="291"/>
      <c r="O539" s="42"/>
      <c r="P539" s="227"/>
      <c r="Q539" s="117"/>
      <c r="R539" s="210"/>
      <c r="S539" s="232"/>
      <c r="T539" s="270"/>
      <c r="V539" s="101"/>
    </row>
    <row r="540" spans="2:22" s="28" customFormat="1" x14ac:dyDescent="0.25">
      <c r="B540" s="25"/>
      <c r="D540" s="77"/>
      <c r="E540" s="42"/>
      <c r="F540" s="365"/>
      <c r="G540" s="118"/>
      <c r="H540" s="41"/>
      <c r="I540" s="230"/>
      <c r="J540" s="41"/>
      <c r="K540" s="227"/>
      <c r="L540" s="156"/>
      <c r="M540" s="152"/>
      <c r="N540" s="291"/>
      <c r="O540" s="42"/>
      <c r="P540" s="227"/>
      <c r="Q540" s="117"/>
      <c r="R540" s="210"/>
      <c r="S540" s="232"/>
      <c r="T540" s="270"/>
      <c r="V540" s="101"/>
    </row>
    <row r="541" spans="2:22" s="28" customFormat="1" x14ac:dyDescent="0.25">
      <c r="B541" s="25"/>
      <c r="D541" s="77"/>
      <c r="E541" s="42"/>
      <c r="F541" s="365"/>
      <c r="G541" s="118"/>
      <c r="H541" s="41"/>
      <c r="I541" s="230"/>
      <c r="J541" s="41"/>
      <c r="K541" s="227"/>
      <c r="L541" s="156"/>
      <c r="M541" s="152"/>
      <c r="N541" s="291"/>
      <c r="O541" s="42"/>
      <c r="P541" s="227"/>
      <c r="Q541" s="117"/>
      <c r="R541" s="210"/>
      <c r="S541" s="232"/>
      <c r="T541" s="270"/>
      <c r="V541" s="101"/>
    </row>
    <row r="542" spans="2:22" s="28" customFormat="1" x14ac:dyDescent="0.25">
      <c r="B542" s="25"/>
      <c r="D542" s="77"/>
      <c r="E542" s="42"/>
      <c r="F542" s="365"/>
      <c r="G542" s="46"/>
      <c r="H542" s="41"/>
      <c r="I542" s="230"/>
      <c r="J542" s="41"/>
      <c r="K542" s="227"/>
      <c r="L542" s="156"/>
      <c r="M542" s="152"/>
      <c r="N542" s="291"/>
      <c r="O542" s="42"/>
      <c r="P542" s="227"/>
      <c r="Q542" s="117"/>
      <c r="R542" s="210"/>
      <c r="S542" s="232"/>
      <c r="T542" s="270"/>
      <c r="V542" s="101"/>
    </row>
    <row r="543" spans="2:22" s="28" customFormat="1" x14ac:dyDescent="0.25">
      <c r="B543" s="25"/>
      <c r="D543" s="77"/>
      <c r="E543" s="42"/>
      <c r="F543" s="365"/>
      <c r="G543" s="118"/>
      <c r="H543" s="41"/>
      <c r="I543" s="230"/>
      <c r="J543" s="41"/>
      <c r="K543" s="227"/>
      <c r="L543" s="156"/>
      <c r="M543" s="152"/>
      <c r="N543" s="291"/>
      <c r="O543" s="42"/>
      <c r="P543" s="227"/>
      <c r="Q543" s="117"/>
      <c r="R543" s="210"/>
      <c r="S543" s="232"/>
      <c r="T543" s="270"/>
      <c r="V543" s="101"/>
    </row>
    <row r="544" spans="2:22" s="28" customFormat="1" x14ac:dyDescent="0.25">
      <c r="B544" s="25"/>
      <c r="D544" s="77"/>
      <c r="E544" s="42"/>
      <c r="F544" s="365"/>
      <c r="G544" s="118"/>
      <c r="H544" s="41"/>
      <c r="I544" s="230"/>
      <c r="J544" s="41"/>
      <c r="K544" s="227"/>
      <c r="L544" s="156"/>
      <c r="M544" s="152"/>
      <c r="N544" s="291"/>
      <c r="O544" s="42"/>
      <c r="P544" s="227"/>
      <c r="Q544" s="117"/>
      <c r="R544" s="210"/>
      <c r="S544" s="232"/>
      <c r="T544" s="270"/>
      <c r="V544" s="101"/>
    </row>
    <row r="545" spans="2:22" s="28" customFormat="1" x14ac:dyDescent="0.25">
      <c r="B545" s="25"/>
      <c r="D545" s="77"/>
      <c r="E545" s="42"/>
      <c r="F545" s="365"/>
      <c r="G545" s="118"/>
      <c r="H545" s="41"/>
      <c r="I545" s="230"/>
      <c r="J545" s="41"/>
      <c r="K545" s="227"/>
      <c r="L545" s="156"/>
      <c r="M545" s="152"/>
      <c r="N545" s="291"/>
      <c r="O545" s="42"/>
      <c r="P545" s="227"/>
      <c r="Q545" s="117"/>
      <c r="R545" s="210"/>
      <c r="S545" s="232"/>
      <c r="T545" s="270"/>
      <c r="V545" s="101"/>
    </row>
    <row r="546" spans="2:22" s="28" customFormat="1" x14ac:dyDescent="0.25">
      <c r="B546" s="25"/>
      <c r="D546" s="77"/>
      <c r="E546" s="42"/>
      <c r="F546" s="365"/>
      <c r="G546" s="118"/>
      <c r="H546" s="41"/>
      <c r="I546" s="230"/>
      <c r="J546" s="41"/>
      <c r="K546" s="227"/>
      <c r="L546" s="156"/>
      <c r="M546" s="152"/>
      <c r="N546" s="291"/>
      <c r="O546" s="42"/>
      <c r="P546" s="227"/>
      <c r="Q546" s="117"/>
      <c r="R546" s="210"/>
      <c r="S546" s="232"/>
      <c r="T546" s="270"/>
      <c r="V546" s="101"/>
    </row>
    <row r="547" spans="2:22" s="28" customFormat="1" x14ac:dyDescent="0.25">
      <c r="B547" s="25"/>
      <c r="D547" s="77"/>
      <c r="E547" s="42"/>
      <c r="F547" s="365"/>
      <c r="G547" s="118"/>
      <c r="H547" s="41"/>
      <c r="I547" s="230"/>
      <c r="J547" s="41"/>
      <c r="K547" s="227"/>
      <c r="L547" s="156"/>
      <c r="M547" s="152"/>
      <c r="N547" s="291"/>
      <c r="O547" s="42"/>
      <c r="P547" s="227"/>
      <c r="Q547" s="117"/>
      <c r="R547" s="210"/>
      <c r="S547" s="232"/>
      <c r="T547" s="270"/>
      <c r="V547" s="101"/>
    </row>
    <row r="548" spans="2:22" s="28" customFormat="1" x14ac:dyDescent="0.25">
      <c r="B548" s="25"/>
      <c r="D548" s="77"/>
      <c r="E548" s="42"/>
      <c r="F548" s="365"/>
      <c r="G548" s="118"/>
      <c r="H548" s="41"/>
      <c r="I548" s="230"/>
      <c r="J548" s="41"/>
      <c r="K548" s="227"/>
      <c r="L548" s="156"/>
      <c r="M548" s="152"/>
      <c r="N548" s="291"/>
      <c r="O548" s="42"/>
      <c r="P548" s="227"/>
      <c r="Q548" s="117"/>
      <c r="R548" s="210"/>
      <c r="S548" s="232"/>
      <c r="T548" s="270"/>
      <c r="V548" s="101"/>
    </row>
    <row r="549" spans="2:22" s="28" customFormat="1" x14ac:dyDescent="0.25">
      <c r="B549" s="25"/>
      <c r="D549" s="77"/>
      <c r="E549" s="42"/>
      <c r="F549" s="365"/>
      <c r="G549" s="118"/>
      <c r="H549" s="41"/>
      <c r="I549" s="230"/>
      <c r="J549" s="41"/>
      <c r="K549" s="227"/>
      <c r="L549" s="156"/>
      <c r="M549" s="152"/>
      <c r="N549" s="291"/>
      <c r="O549" s="42"/>
      <c r="P549" s="227"/>
      <c r="Q549" s="117"/>
      <c r="R549" s="210"/>
      <c r="S549" s="232"/>
      <c r="T549" s="270"/>
      <c r="V549" s="101"/>
    </row>
    <row r="550" spans="2:22" s="28" customFormat="1" x14ac:dyDescent="0.25">
      <c r="B550" s="25"/>
      <c r="D550" s="77"/>
      <c r="E550" s="42"/>
      <c r="F550" s="365"/>
      <c r="G550" s="118"/>
      <c r="H550" s="41"/>
      <c r="I550" s="230"/>
      <c r="J550" s="41"/>
      <c r="K550" s="227"/>
      <c r="L550" s="156"/>
      <c r="M550" s="152"/>
      <c r="N550" s="291"/>
      <c r="O550" s="42"/>
      <c r="P550" s="227"/>
      <c r="Q550" s="117"/>
      <c r="R550" s="210"/>
      <c r="S550" s="232"/>
      <c r="T550" s="270"/>
      <c r="V550" s="101"/>
    </row>
    <row r="551" spans="2:22" s="28" customFormat="1" x14ac:dyDescent="0.25">
      <c r="B551" s="25"/>
      <c r="D551" s="77"/>
      <c r="E551" s="42"/>
      <c r="F551" s="365"/>
      <c r="G551" s="118"/>
      <c r="H551" s="41"/>
      <c r="I551" s="230"/>
      <c r="J551" s="41"/>
      <c r="K551" s="227"/>
      <c r="L551" s="156"/>
      <c r="M551" s="152"/>
      <c r="N551" s="291"/>
      <c r="O551" s="42"/>
      <c r="P551" s="227"/>
      <c r="Q551" s="117"/>
      <c r="R551" s="210"/>
      <c r="S551" s="232"/>
      <c r="T551" s="270"/>
      <c r="V551" s="101"/>
    </row>
    <row r="552" spans="2:22" s="28" customFormat="1" x14ac:dyDescent="0.25">
      <c r="B552" s="25"/>
      <c r="D552" s="77"/>
      <c r="E552" s="42"/>
      <c r="F552" s="365"/>
      <c r="G552" s="118"/>
      <c r="H552" s="41"/>
      <c r="I552" s="230"/>
      <c r="J552" s="41"/>
      <c r="K552" s="227"/>
      <c r="L552" s="156"/>
      <c r="M552" s="152"/>
      <c r="N552" s="291"/>
      <c r="O552" s="42"/>
      <c r="P552" s="227"/>
      <c r="Q552" s="117"/>
      <c r="R552" s="210"/>
      <c r="S552" s="232"/>
      <c r="T552" s="270"/>
      <c r="V552" s="101"/>
    </row>
    <row r="553" spans="2:22" s="28" customFormat="1" x14ac:dyDescent="0.25">
      <c r="B553" s="25"/>
      <c r="D553" s="77"/>
      <c r="E553" s="42"/>
      <c r="F553" s="365"/>
      <c r="G553" s="118"/>
      <c r="H553" s="41"/>
      <c r="I553" s="230"/>
      <c r="J553" s="41"/>
      <c r="K553" s="227"/>
      <c r="L553" s="156"/>
      <c r="M553" s="152"/>
      <c r="N553" s="291"/>
      <c r="O553" s="42"/>
      <c r="P553" s="227"/>
      <c r="Q553" s="117"/>
      <c r="R553" s="210"/>
      <c r="S553" s="232"/>
      <c r="T553" s="270"/>
      <c r="V553" s="101"/>
    </row>
    <row r="554" spans="2:22" s="28" customFormat="1" x14ac:dyDescent="0.25">
      <c r="B554" s="25"/>
      <c r="D554" s="77"/>
      <c r="E554" s="42"/>
      <c r="F554" s="365"/>
      <c r="G554" s="118"/>
      <c r="H554" s="41"/>
      <c r="I554" s="230"/>
      <c r="J554" s="41"/>
      <c r="K554" s="227"/>
      <c r="L554" s="156"/>
      <c r="M554" s="152"/>
      <c r="N554" s="291"/>
      <c r="O554" s="42"/>
      <c r="P554" s="227"/>
      <c r="Q554" s="117"/>
      <c r="R554" s="210"/>
      <c r="S554" s="232"/>
      <c r="T554" s="270"/>
      <c r="V554" s="101"/>
    </row>
    <row r="555" spans="2:22" s="28" customFormat="1" x14ac:dyDescent="0.25">
      <c r="B555" s="25"/>
      <c r="D555" s="77"/>
      <c r="E555" s="42"/>
      <c r="F555" s="365"/>
      <c r="G555" s="118"/>
      <c r="H555" s="41"/>
      <c r="I555" s="230"/>
      <c r="J555" s="41"/>
      <c r="K555" s="227"/>
      <c r="L555" s="156"/>
      <c r="M555" s="152"/>
      <c r="N555" s="291"/>
      <c r="O555" s="42"/>
      <c r="P555" s="227"/>
      <c r="Q555" s="117"/>
      <c r="R555" s="210"/>
      <c r="S555" s="232"/>
      <c r="T555" s="270"/>
      <c r="V555" s="101"/>
    </row>
    <row r="556" spans="2:22" s="28" customFormat="1" x14ac:dyDescent="0.25">
      <c r="B556" s="25"/>
      <c r="D556" s="77"/>
      <c r="E556" s="42"/>
      <c r="F556" s="365"/>
      <c r="G556" s="118"/>
      <c r="H556" s="41"/>
      <c r="I556" s="230"/>
      <c r="J556" s="41"/>
      <c r="K556" s="227"/>
      <c r="L556" s="156"/>
      <c r="M556" s="152"/>
      <c r="N556" s="291"/>
      <c r="O556" s="42"/>
      <c r="P556" s="227"/>
      <c r="Q556" s="117"/>
      <c r="R556" s="210"/>
      <c r="S556" s="232"/>
      <c r="T556" s="270"/>
      <c r="V556" s="101"/>
    </row>
    <row r="557" spans="2:22" s="28" customFormat="1" x14ac:dyDescent="0.25">
      <c r="B557" s="25"/>
      <c r="D557" s="77"/>
      <c r="E557" s="42"/>
      <c r="F557" s="365"/>
      <c r="G557" s="118"/>
      <c r="H557" s="41"/>
      <c r="I557" s="230"/>
      <c r="J557" s="41"/>
      <c r="K557" s="227"/>
      <c r="L557" s="156"/>
      <c r="M557" s="152"/>
      <c r="N557" s="291"/>
      <c r="O557" s="42"/>
      <c r="P557" s="227"/>
      <c r="Q557" s="117"/>
      <c r="R557" s="210"/>
      <c r="S557" s="232"/>
      <c r="T557" s="270"/>
      <c r="V557" s="101"/>
    </row>
    <row r="558" spans="2:22" s="28" customFormat="1" x14ac:dyDescent="0.25">
      <c r="B558" s="25"/>
      <c r="D558" s="77"/>
      <c r="E558" s="42"/>
      <c r="F558" s="365"/>
      <c r="G558" s="118"/>
      <c r="H558" s="41"/>
      <c r="I558" s="230"/>
      <c r="J558" s="41"/>
      <c r="K558" s="227"/>
      <c r="L558" s="156"/>
      <c r="M558" s="152"/>
      <c r="N558" s="291"/>
      <c r="O558" s="42"/>
      <c r="P558" s="227"/>
      <c r="Q558" s="117"/>
      <c r="R558" s="210"/>
      <c r="S558" s="232"/>
      <c r="T558" s="270"/>
      <c r="V558" s="101"/>
    </row>
    <row r="559" spans="2:22" s="28" customFormat="1" x14ac:dyDescent="0.25">
      <c r="B559" s="25"/>
      <c r="D559" s="77"/>
      <c r="E559" s="42"/>
      <c r="F559" s="365"/>
      <c r="G559" s="118"/>
      <c r="H559" s="41"/>
      <c r="I559" s="230"/>
      <c r="J559" s="41"/>
      <c r="K559" s="227"/>
      <c r="L559" s="156"/>
      <c r="M559" s="152"/>
      <c r="N559" s="291"/>
      <c r="O559" s="42"/>
      <c r="P559" s="227"/>
      <c r="Q559" s="117"/>
      <c r="R559" s="210"/>
      <c r="S559" s="232"/>
      <c r="T559" s="270"/>
      <c r="V559" s="101"/>
    </row>
    <row r="560" spans="2:22" s="28" customFormat="1" x14ac:dyDescent="0.25">
      <c r="B560" s="25"/>
      <c r="D560" s="77"/>
      <c r="E560" s="42"/>
      <c r="F560" s="365"/>
      <c r="G560" s="46"/>
      <c r="H560" s="41"/>
      <c r="I560" s="230"/>
      <c r="J560" s="41"/>
      <c r="K560" s="227"/>
      <c r="L560" s="156"/>
      <c r="M560" s="152"/>
      <c r="N560" s="291"/>
      <c r="O560" s="42"/>
      <c r="P560" s="227"/>
      <c r="Q560" s="117"/>
      <c r="R560" s="210"/>
      <c r="S560" s="232"/>
      <c r="T560" s="270"/>
      <c r="V560" s="101"/>
    </row>
    <row r="561" spans="2:22" s="28" customFormat="1" x14ac:dyDescent="0.25">
      <c r="B561" s="25"/>
      <c r="D561" s="77"/>
      <c r="E561" s="42"/>
      <c r="F561" s="365"/>
      <c r="G561" s="46"/>
      <c r="H561" s="41"/>
      <c r="I561" s="230"/>
      <c r="J561" s="41"/>
      <c r="K561" s="227"/>
      <c r="L561" s="156"/>
      <c r="M561" s="152"/>
      <c r="N561" s="291"/>
      <c r="O561" s="42"/>
      <c r="P561" s="227"/>
      <c r="Q561" s="117"/>
      <c r="R561" s="210"/>
      <c r="S561" s="232"/>
      <c r="T561" s="270"/>
      <c r="V561" s="101"/>
    </row>
    <row r="562" spans="2:22" s="28" customFormat="1" x14ac:dyDescent="0.25">
      <c r="B562" s="25"/>
      <c r="D562" s="77"/>
      <c r="E562" s="42"/>
      <c r="F562" s="365"/>
      <c r="G562" s="46"/>
      <c r="H562" s="42"/>
      <c r="I562" s="230"/>
      <c r="J562" s="41"/>
      <c r="K562" s="227"/>
      <c r="L562" s="156"/>
      <c r="M562" s="152"/>
      <c r="N562" s="291"/>
      <c r="O562" s="42"/>
      <c r="P562" s="227"/>
      <c r="Q562" s="117"/>
      <c r="R562" s="210"/>
      <c r="S562" s="232"/>
      <c r="T562" s="270"/>
      <c r="V562" s="101"/>
    </row>
    <row r="563" spans="2:22" s="28" customFormat="1" x14ac:dyDescent="0.25">
      <c r="B563" s="25"/>
      <c r="D563" s="77"/>
      <c r="E563" s="42"/>
      <c r="F563" s="365"/>
      <c r="G563" s="46"/>
      <c r="H563" s="42"/>
      <c r="I563" s="230"/>
      <c r="J563" s="41"/>
      <c r="K563" s="227"/>
      <c r="L563" s="156"/>
      <c r="M563" s="152"/>
      <c r="N563" s="291"/>
      <c r="O563" s="42"/>
      <c r="P563" s="227"/>
      <c r="Q563" s="117"/>
      <c r="R563" s="210"/>
      <c r="S563" s="232"/>
      <c r="T563" s="270"/>
      <c r="V563" s="101"/>
    </row>
    <row r="564" spans="2:22" s="28" customFormat="1" x14ac:dyDescent="0.25">
      <c r="B564" s="25"/>
      <c r="D564" s="77"/>
      <c r="E564" s="42"/>
      <c r="F564" s="365"/>
      <c r="G564" s="46"/>
      <c r="H564" s="42"/>
      <c r="I564" s="230"/>
      <c r="J564" s="41"/>
      <c r="K564" s="227"/>
      <c r="L564" s="156"/>
      <c r="M564" s="152"/>
      <c r="N564" s="291"/>
      <c r="O564" s="42"/>
      <c r="P564" s="227"/>
      <c r="Q564" s="117"/>
      <c r="R564" s="210"/>
      <c r="S564" s="232"/>
      <c r="T564" s="270"/>
      <c r="V564" s="101"/>
    </row>
    <row r="565" spans="2:22" s="28" customFormat="1" x14ac:dyDescent="0.25">
      <c r="B565" s="25"/>
      <c r="D565" s="77"/>
      <c r="E565" s="42"/>
      <c r="F565" s="365"/>
      <c r="G565" s="46"/>
      <c r="H565" s="42"/>
      <c r="I565" s="230"/>
      <c r="J565" s="41"/>
      <c r="K565" s="227"/>
      <c r="L565" s="156"/>
      <c r="M565" s="152"/>
      <c r="N565" s="291"/>
      <c r="O565" s="42"/>
      <c r="P565" s="227"/>
      <c r="Q565" s="117"/>
      <c r="R565" s="210"/>
      <c r="S565" s="232"/>
      <c r="T565" s="270"/>
      <c r="V565" s="101"/>
    </row>
    <row r="566" spans="2:22" s="28" customFormat="1" x14ac:dyDescent="0.25">
      <c r="B566" s="25"/>
      <c r="D566" s="77"/>
      <c r="E566" s="42"/>
      <c r="F566" s="365"/>
      <c r="G566" s="46"/>
      <c r="H566" s="42"/>
      <c r="I566" s="230"/>
      <c r="J566" s="41"/>
      <c r="K566" s="227"/>
      <c r="L566" s="156"/>
      <c r="M566" s="152"/>
      <c r="N566" s="291"/>
      <c r="O566" s="42"/>
      <c r="P566" s="227"/>
      <c r="Q566" s="117"/>
      <c r="R566" s="210"/>
      <c r="S566" s="232"/>
      <c r="T566" s="270"/>
      <c r="V566" s="101"/>
    </row>
    <row r="567" spans="2:22" s="28" customFormat="1" x14ac:dyDescent="0.25">
      <c r="B567" s="25"/>
      <c r="D567" s="77"/>
      <c r="E567" s="42"/>
      <c r="F567" s="365"/>
      <c r="G567" s="46"/>
      <c r="H567" s="42"/>
      <c r="I567" s="230"/>
      <c r="J567" s="41"/>
      <c r="K567" s="227"/>
      <c r="L567" s="156"/>
      <c r="M567" s="152"/>
      <c r="N567" s="291"/>
      <c r="O567" s="42"/>
      <c r="P567" s="227"/>
      <c r="Q567" s="117"/>
      <c r="R567" s="210"/>
      <c r="S567" s="232"/>
      <c r="T567" s="270"/>
      <c r="V567" s="101"/>
    </row>
    <row r="568" spans="2:22" s="28" customFormat="1" x14ac:dyDescent="0.25">
      <c r="B568" s="25"/>
      <c r="D568" s="77"/>
      <c r="E568" s="42"/>
      <c r="F568" s="365"/>
      <c r="G568" s="46"/>
      <c r="H568" s="42"/>
      <c r="I568" s="230"/>
      <c r="J568" s="41"/>
      <c r="K568" s="227"/>
      <c r="L568" s="156"/>
      <c r="M568" s="152"/>
      <c r="N568" s="291"/>
      <c r="O568" s="42"/>
      <c r="P568" s="227"/>
      <c r="Q568" s="117"/>
      <c r="R568" s="210"/>
      <c r="S568" s="232"/>
      <c r="T568" s="270"/>
      <c r="V568" s="101"/>
    </row>
    <row r="569" spans="2:22" s="28" customFormat="1" x14ac:dyDescent="0.25">
      <c r="B569" s="25"/>
      <c r="D569" s="77"/>
      <c r="E569" s="42"/>
      <c r="F569" s="365"/>
      <c r="G569" s="46"/>
      <c r="H569" s="42"/>
      <c r="I569" s="230"/>
      <c r="J569" s="41"/>
      <c r="K569" s="227"/>
      <c r="L569" s="156"/>
      <c r="M569" s="152"/>
      <c r="N569" s="291"/>
      <c r="O569" s="42"/>
      <c r="P569" s="227"/>
      <c r="Q569" s="117"/>
      <c r="R569" s="210"/>
      <c r="S569" s="232"/>
      <c r="T569" s="270"/>
      <c r="V569" s="101"/>
    </row>
    <row r="570" spans="2:22" s="28" customFormat="1" x14ac:dyDescent="0.25">
      <c r="B570" s="25"/>
      <c r="D570" s="77"/>
      <c r="E570" s="42"/>
      <c r="F570" s="365"/>
      <c r="G570" s="46"/>
      <c r="H570" s="42"/>
      <c r="I570" s="230"/>
      <c r="J570" s="41"/>
      <c r="K570" s="227"/>
      <c r="L570" s="156"/>
      <c r="M570" s="152"/>
      <c r="N570" s="291"/>
      <c r="O570" s="42"/>
      <c r="P570" s="227"/>
      <c r="Q570" s="117"/>
      <c r="R570" s="210"/>
      <c r="S570" s="232"/>
      <c r="T570" s="270"/>
      <c r="V570" s="101"/>
    </row>
    <row r="571" spans="2:22" s="28" customFormat="1" x14ac:dyDescent="0.25">
      <c r="B571" s="25"/>
      <c r="D571" s="77"/>
      <c r="E571" s="42"/>
      <c r="F571" s="365"/>
      <c r="G571" s="46"/>
      <c r="H571" s="42"/>
      <c r="I571" s="230"/>
      <c r="J571" s="41"/>
      <c r="K571" s="227"/>
      <c r="L571" s="156"/>
      <c r="M571" s="152"/>
      <c r="N571" s="291"/>
      <c r="O571" s="42"/>
      <c r="P571" s="227"/>
      <c r="Q571" s="117"/>
      <c r="R571" s="210"/>
      <c r="S571" s="232"/>
      <c r="T571" s="270"/>
      <c r="V571" s="101"/>
    </row>
    <row r="572" spans="2:22" s="28" customFormat="1" x14ac:dyDescent="0.25">
      <c r="B572" s="25"/>
      <c r="D572" s="77"/>
      <c r="E572" s="42"/>
      <c r="F572" s="365"/>
      <c r="G572" s="46"/>
      <c r="H572" s="42"/>
      <c r="I572" s="230"/>
      <c r="J572" s="41"/>
      <c r="K572" s="227"/>
      <c r="L572" s="156"/>
      <c r="M572" s="152"/>
      <c r="N572" s="291"/>
      <c r="O572" s="42"/>
      <c r="P572" s="227"/>
      <c r="Q572" s="117"/>
      <c r="R572" s="210"/>
      <c r="S572" s="232"/>
      <c r="T572" s="270"/>
      <c r="V572" s="101"/>
    </row>
    <row r="573" spans="2:22" s="28" customFormat="1" x14ac:dyDescent="0.25">
      <c r="B573" s="25"/>
      <c r="D573" s="77"/>
      <c r="E573" s="42"/>
      <c r="F573" s="365"/>
      <c r="G573" s="46"/>
      <c r="H573" s="42"/>
      <c r="I573" s="230"/>
      <c r="J573" s="41"/>
      <c r="K573" s="227"/>
      <c r="L573" s="156"/>
      <c r="M573" s="152"/>
      <c r="N573" s="291"/>
      <c r="O573" s="42"/>
      <c r="P573" s="227"/>
      <c r="Q573" s="117"/>
      <c r="R573" s="210"/>
      <c r="S573" s="232"/>
      <c r="T573" s="270"/>
      <c r="V573" s="101"/>
    </row>
    <row r="574" spans="2:22" s="28" customFormat="1" x14ac:dyDescent="0.25">
      <c r="B574" s="25"/>
      <c r="D574" s="77"/>
      <c r="E574" s="42"/>
      <c r="F574" s="365"/>
      <c r="G574" s="46"/>
      <c r="H574" s="42"/>
      <c r="I574" s="230"/>
      <c r="J574" s="41"/>
      <c r="K574" s="227"/>
      <c r="L574" s="156"/>
      <c r="M574" s="152"/>
      <c r="N574" s="291"/>
      <c r="O574" s="42"/>
      <c r="P574" s="227"/>
      <c r="Q574" s="117"/>
      <c r="R574" s="210"/>
      <c r="S574" s="232"/>
      <c r="T574" s="270"/>
      <c r="V574" s="101"/>
    </row>
    <row r="575" spans="2:22" s="28" customFormat="1" x14ac:dyDescent="0.25">
      <c r="B575" s="25"/>
      <c r="D575" s="77"/>
      <c r="E575" s="42"/>
      <c r="F575" s="365"/>
      <c r="G575" s="46"/>
      <c r="H575" s="42"/>
      <c r="I575" s="230"/>
      <c r="J575" s="41"/>
      <c r="K575" s="227"/>
      <c r="L575" s="156"/>
      <c r="M575" s="152"/>
      <c r="N575" s="291"/>
      <c r="O575" s="42"/>
      <c r="P575" s="227"/>
      <c r="Q575" s="117"/>
      <c r="R575" s="210"/>
      <c r="S575" s="232"/>
      <c r="T575" s="270"/>
      <c r="V575" s="101"/>
    </row>
    <row r="576" spans="2:22" s="28" customFormat="1" x14ac:dyDescent="0.25">
      <c r="B576" s="25"/>
      <c r="D576" s="77"/>
      <c r="E576" s="42"/>
      <c r="F576" s="365"/>
      <c r="G576" s="46"/>
      <c r="H576" s="42"/>
      <c r="I576" s="230"/>
      <c r="J576" s="41"/>
      <c r="K576" s="227"/>
      <c r="L576" s="156"/>
      <c r="M576" s="152"/>
      <c r="N576" s="291"/>
      <c r="O576" s="42"/>
      <c r="P576" s="227"/>
      <c r="Q576" s="117"/>
      <c r="R576" s="210"/>
      <c r="S576" s="232"/>
      <c r="T576" s="270"/>
      <c r="V576" s="101"/>
    </row>
    <row r="577" spans="2:22" s="28" customFormat="1" x14ac:dyDescent="0.25">
      <c r="B577" s="25"/>
      <c r="D577" s="77"/>
      <c r="E577" s="42"/>
      <c r="F577" s="365"/>
      <c r="G577" s="46"/>
      <c r="H577" s="42"/>
      <c r="I577" s="230"/>
      <c r="J577" s="41"/>
      <c r="K577" s="227"/>
      <c r="L577" s="156"/>
      <c r="M577" s="152"/>
      <c r="N577" s="291"/>
      <c r="O577" s="42"/>
      <c r="P577" s="227"/>
      <c r="Q577" s="117"/>
      <c r="R577" s="210"/>
      <c r="S577" s="232"/>
      <c r="T577" s="270"/>
      <c r="V577" s="101"/>
    </row>
    <row r="578" spans="2:22" s="28" customFormat="1" x14ac:dyDescent="0.25">
      <c r="B578" s="25"/>
      <c r="D578" s="77"/>
      <c r="E578" s="42"/>
      <c r="F578" s="365"/>
      <c r="G578" s="46"/>
      <c r="H578" s="42"/>
      <c r="I578" s="230"/>
      <c r="J578" s="41"/>
      <c r="K578" s="227"/>
      <c r="L578" s="156"/>
      <c r="M578" s="152"/>
      <c r="N578" s="291"/>
      <c r="O578" s="42"/>
      <c r="P578" s="227"/>
      <c r="Q578" s="117"/>
      <c r="R578" s="210"/>
      <c r="S578" s="232"/>
      <c r="T578" s="270"/>
      <c r="V578" s="101"/>
    </row>
    <row r="579" spans="2:22" s="28" customFormat="1" x14ac:dyDescent="0.25">
      <c r="B579" s="25"/>
      <c r="D579" s="77"/>
      <c r="E579" s="42"/>
      <c r="F579" s="365"/>
      <c r="G579" s="46"/>
      <c r="H579" s="42"/>
      <c r="I579" s="230"/>
      <c r="J579" s="41"/>
      <c r="K579" s="227"/>
      <c r="L579" s="156"/>
      <c r="M579" s="152"/>
      <c r="N579" s="291"/>
      <c r="O579" s="42"/>
      <c r="P579" s="227"/>
      <c r="Q579" s="117"/>
      <c r="R579" s="210"/>
      <c r="S579" s="232"/>
      <c r="T579" s="270"/>
      <c r="V579" s="101"/>
    </row>
    <row r="580" spans="2:22" s="28" customFormat="1" x14ac:dyDescent="0.25">
      <c r="B580" s="25"/>
      <c r="D580" s="77"/>
      <c r="E580" s="42"/>
      <c r="F580" s="365"/>
      <c r="G580" s="46"/>
      <c r="H580" s="42"/>
      <c r="I580" s="230"/>
      <c r="J580" s="41"/>
      <c r="K580" s="227"/>
      <c r="L580" s="156"/>
      <c r="M580" s="152"/>
      <c r="N580" s="291"/>
      <c r="O580" s="42"/>
      <c r="P580" s="227"/>
      <c r="Q580" s="117"/>
      <c r="R580" s="210"/>
      <c r="S580" s="232"/>
      <c r="T580" s="270"/>
      <c r="V580" s="101"/>
    </row>
    <row r="581" spans="2:22" s="28" customFormat="1" x14ac:dyDescent="0.25">
      <c r="B581" s="25"/>
      <c r="D581" s="77"/>
      <c r="E581" s="42"/>
      <c r="F581" s="365"/>
      <c r="G581" s="46"/>
      <c r="H581" s="42"/>
      <c r="I581" s="230"/>
      <c r="J581" s="41"/>
      <c r="K581" s="227"/>
      <c r="L581" s="156"/>
      <c r="M581" s="152"/>
      <c r="N581" s="291"/>
      <c r="O581" s="42"/>
      <c r="P581" s="227"/>
      <c r="Q581" s="117"/>
      <c r="R581" s="210"/>
      <c r="S581" s="232"/>
      <c r="T581" s="270"/>
      <c r="V581" s="101"/>
    </row>
    <row r="582" spans="2:22" s="28" customFormat="1" x14ac:dyDescent="0.25">
      <c r="B582" s="25"/>
      <c r="D582" s="77"/>
      <c r="E582" s="42"/>
      <c r="F582" s="365"/>
      <c r="G582" s="46"/>
      <c r="H582" s="42"/>
      <c r="I582" s="230"/>
      <c r="J582" s="41"/>
      <c r="K582" s="227"/>
      <c r="L582" s="156"/>
      <c r="M582" s="152"/>
      <c r="N582" s="291"/>
      <c r="O582" s="42"/>
      <c r="P582" s="227"/>
      <c r="Q582" s="117"/>
      <c r="R582" s="210"/>
      <c r="S582" s="232"/>
      <c r="T582" s="270"/>
      <c r="V582" s="101"/>
    </row>
    <row r="583" spans="2:22" s="28" customFormat="1" x14ac:dyDescent="0.25">
      <c r="B583" s="25"/>
      <c r="D583" s="77"/>
      <c r="E583" s="42"/>
      <c r="F583" s="365"/>
      <c r="G583" s="46"/>
      <c r="H583" s="42"/>
      <c r="I583" s="230"/>
      <c r="J583" s="41"/>
      <c r="K583" s="227"/>
      <c r="L583" s="156"/>
      <c r="M583" s="152"/>
      <c r="N583" s="291"/>
      <c r="O583" s="42"/>
      <c r="P583" s="227"/>
      <c r="Q583" s="117"/>
      <c r="R583" s="210"/>
      <c r="S583" s="232"/>
      <c r="T583" s="270"/>
      <c r="V583" s="101"/>
    </row>
    <row r="584" spans="2:22" s="28" customFormat="1" x14ac:dyDescent="0.25">
      <c r="B584" s="25"/>
      <c r="D584" s="77"/>
      <c r="E584" s="42"/>
      <c r="F584" s="365"/>
      <c r="G584" s="46"/>
      <c r="H584" s="42"/>
      <c r="I584" s="230"/>
      <c r="J584" s="41"/>
      <c r="K584" s="227"/>
      <c r="L584" s="156"/>
      <c r="M584" s="152"/>
      <c r="N584" s="291"/>
      <c r="O584" s="42"/>
      <c r="P584" s="227"/>
      <c r="Q584" s="117"/>
      <c r="R584" s="210"/>
      <c r="S584" s="232"/>
      <c r="T584" s="270"/>
      <c r="V584" s="101"/>
    </row>
    <row r="585" spans="2:22" s="28" customFormat="1" x14ac:dyDescent="0.25">
      <c r="B585" s="25"/>
      <c r="D585" s="77"/>
      <c r="E585" s="42"/>
      <c r="F585" s="365"/>
      <c r="G585" s="46"/>
      <c r="H585" s="42"/>
      <c r="I585" s="230"/>
      <c r="J585" s="41"/>
      <c r="K585" s="227"/>
      <c r="L585" s="156"/>
      <c r="M585" s="152"/>
      <c r="N585" s="291"/>
      <c r="O585" s="42"/>
      <c r="P585" s="227"/>
      <c r="Q585" s="117"/>
      <c r="R585" s="210"/>
      <c r="S585" s="232"/>
      <c r="T585" s="270"/>
      <c r="V585" s="101"/>
    </row>
    <row r="586" spans="2:22" s="28" customFormat="1" x14ac:dyDescent="0.25">
      <c r="B586" s="25"/>
      <c r="D586" s="77"/>
      <c r="E586" s="42"/>
      <c r="F586" s="365"/>
      <c r="G586" s="46"/>
      <c r="H586" s="42"/>
      <c r="I586" s="230"/>
      <c r="J586" s="41"/>
      <c r="K586" s="227"/>
      <c r="L586" s="156"/>
      <c r="M586" s="152"/>
      <c r="N586" s="291"/>
      <c r="O586" s="42"/>
      <c r="P586" s="227"/>
      <c r="Q586" s="117"/>
      <c r="R586" s="210"/>
      <c r="S586" s="232"/>
      <c r="T586" s="270"/>
      <c r="V586" s="101"/>
    </row>
    <row r="587" spans="2:22" s="28" customFormat="1" x14ac:dyDescent="0.25">
      <c r="B587" s="25"/>
      <c r="D587" s="77"/>
      <c r="E587" s="42"/>
      <c r="F587" s="365"/>
      <c r="G587" s="46"/>
      <c r="H587" s="42"/>
      <c r="I587" s="230"/>
      <c r="J587" s="41"/>
      <c r="K587" s="227"/>
      <c r="L587" s="156"/>
      <c r="M587" s="152"/>
      <c r="N587" s="291"/>
      <c r="O587" s="42"/>
      <c r="P587" s="227"/>
      <c r="Q587" s="117"/>
      <c r="R587" s="210"/>
      <c r="S587" s="232"/>
      <c r="T587" s="270"/>
      <c r="V587" s="101"/>
    </row>
    <row r="588" spans="2:22" s="28" customFormat="1" x14ac:dyDescent="0.25">
      <c r="B588" s="25"/>
      <c r="D588" s="77"/>
      <c r="E588" s="42"/>
      <c r="F588" s="365"/>
      <c r="G588" s="46"/>
      <c r="H588" s="42"/>
      <c r="I588" s="230"/>
      <c r="J588" s="41"/>
      <c r="K588" s="227"/>
      <c r="L588" s="156"/>
      <c r="M588" s="152"/>
      <c r="N588" s="291"/>
      <c r="O588" s="42"/>
      <c r="P588" s="227"/>
      <c r="Q588" s="117"/>
      <c r="R588" s="210"/>
      <c r="S588" s="232"/>
      <c r="T588" s="270"/>
      <c r="V588" s="101"/>
    </row>
    <row r="589" spans="2:22" s="28" customFormat="1" x14ac:dyDescent="0.25">
      <c r="B589" s="25"/>
      <c r="D589" s="77"/>
      <c r="E589" s="42"/>
      <c r="F589" s="365"/>
      <c r="G589" s="46"/>
      <c r="H589" s="42"/>
      <c r="I589" s="230"/>
      <c r="J589" s="41"/>
      <c r="K589" s="227"/>
      <c r="L589" s="156"/>
      <c r="M589" s="152"/>
      <c r="N589" s="291"/>
      <c r="O589" s="42"/>
      <c r="P589" s="227"/>
      <c r="Q589" s="117"/>
      <c r="R589" s="210"/>
      <c r="S589" s="232"/>
      <c r="T589" s="270"/>
      <c r="V589" s="101"/>
    </row>
    <row r="590" spans="2:22" s="28" customFormat="1" x14ac:dyDescent="0.25">
      <c r="B590" s="25"/>
      <c r="D590" s="77"/>
      <c r="E590" s="42"/>
      <c r="F590" s="365"/>
      <c r="G590" s="46"/>
      <c r="H590" s="42"/>
      <c r="I590" s="230"/>
      <c r="J590" s="41"/>
      <c r="K590" s="227"/>
      <c r="L590" s="156"/>
      <c r="M590" s="152"/>
      <c r="N590" s="291"/>
      <c r="O590" s="42"/>
      <c r="P590" s="227"/>
      <c r="Q590" s="117"/>
      <c r="R590" s="210"/>
      <c r="S590" s="232"/>
      <c r="T590" s="270"/>
      <c r="V590" s="101"/>
    </row>
    <row r="591" spans="2:22" s="28" customFormat="1" x14ac:dyDescent="0.25">
      <c r="B591" s="25"/>
      <c r="D591" s="77"/>
      <c r="E591" s="42"/>
      <c r="F591" s="365"/>
      <c r="G591" s="46"/>
      <c r="H591" s="42"/>
      <c r="I591" s="230"/>
      <c r="J591" s="41"/>
      <c r="K591" s="227"/>
      <c r="L591" s="156"/>
      <c r="M591" s="152"/>
      <c r="N591" s="291"/>
      <c r="O591" s="42"/>
      <c r="P591" s="227"/>
      <c r="Q591" s="117"/>
      <c r="R591" s="210"/>
      <c r="S591" s="232"/>
      <c r="T591" s="270"/>
      <c r="V591" s="101"/>
    </row>
    <row r="592" spans="2:22" s="28" customFormat="1" x14ac:dyDescent="0.25">
      <c r="B592" s="25"/>
      <c r="D592" s="77"/>
      <c r="E592" s="42"/>
      <c r="F592" s="365"/>
      <c r="G592" s="46"/>
      <c r="H592" s="42"/>
      <c r="I592" s="230"/>
      <c r="J592" s="41"/>
      <c r="K592" s="227"/>
      <c r="L592" s="156"/>
      <c r="M592" s="152"/>
      <c r="N592" s="291"/>
      <c r="O592" s="42"/>
      <c r="P592" s="227"/>
      <c r="Q592" s="117"/>
      <c r="R592" s="210"/>
      <c r="S592" s="232"/>
      <c r="T592" s="270"/>
      <c r="V592" s="101"/>
    </row>
    <row r="593" spans="2:22" s="28" customFormat="1" x14ac:dyDescent="0.25">
      <c r="B593" s="25"/>
      <c r="D593" s="77"/>
      <c r="E593" s="42"/>
      <c r="F593" s="365"/>
      <c r="G593" s="46"/>
      <c r="H593" s="42"/>
      <c r="I593" s="230"/>
      <c r="J593" s="41"/>
      <c r="K593" s="227"/>
      <c r="L593" s="156"/>
      <c r="M593" s="152"/>
      <c r="N593" s="291"/>
      <c r="O593" s="42"/>
      <c r="P593" s="227"/>
      <c r="Q593" s="117"/>
      <c r="R593" s="210"/>
      <c r="S593" s="232"/>
      <c r="T593" s="270"/>
      <c r="V593" s="101"/>
    </row>
    <row r="594" spans="2:22" s="28" customFormat="1" x14ac:dyDescent="0.25">
      <c r="B594" s="25"/>
      <c r="D594" s="77"/>
      <c r="E594" s="42"/>
      <c r="F594" s="365"/>
      <c r="G594" s="46"/>
      <c r="H594" s="42"/>
      <c r="I594" s="230"/>
      <c r="J594" s="41"/>
      <c r="K594" s="227"/>
      <c r="L594" s="156"/>
      <c r="M594" s="152"/>
      <c r="N594" s="291"/>
      <c r="O594" s="42"/>
      <c r="P594" s="227"/>
      <c r="Q594" s="117"/>
      <c r="R594" s="210"/>
      <c r="S594" s="232"/>
      <c r="T594" s="270"/>
      <c r="V594" s="101"/>
    </row>
    <row r="595" spans="2:22" s="28" customFormat="1" x14ac:dyDescent="0.25">
      <c r="B595" s="25"/>
      <c r="D595" s="77"/>
      <c r="E595" s="42"/>
      <c r="F595" s="365"/>
      <c r="G595" s="46"/>
      <c r="H595" s="42"/>
      <c r="I595" s="230"/>
      <c r="J595" s="41"/>
      <c r="K595" s="227"/>
      <c r="L595" s="156"/>
      <c r="M595" s="152"/>
      <c r="N595" s="291"/>
      <c r="O595" s="42"/>
      <c r="P595" s="227"/>
      <c r="Q595" s="117"/>
      <c r="R595" s="210"/>
      <c r="S595" s="232"/>
      <c r="T595" s="270"/>
      <c r="V595" s="101"/>
    </row>
    <row r="596" spans="2:22" s="28" customFormat="1" x14ac:dyDescent="0.25">
      <c r="B596" s="25"/>
      <c r="D596" s="77"/>
      <c r="E596" s="42"/>
      <c r="F596" s="365"/>
      <c r="G596" s="46"/>
      <c r="H596" s="42"/>
      <c r="I596" s="230"/>
      <c r="J596" s="41"/>
      <c r="K596" s="227"/>
      <c r="L596" s="156"/>
      <c r="M596" s="152"/>
      <c r="N596" s="291"/>
      <c r="O596" s="42"/>
      <c r="P596" s="227"/>
      <c r="Q596" s="117"/>
      <c r="R596" s="210"/>
      <c r="S596" s="232"/>
      <c r="T596" s="270"/>
      <c r="V596" s="101"/>
    </row>
    <row r="597" spans="2:22" s="28" customFormat="1" x14ac:dyDescent="0.25">
      <c r="B597" s="25"/>
      <c r="D597" s="77"/>
      <c r="E597" s="42"/>
      <c r="F597" s="365"/>
      <c r="G597" s="46"/>
      <c r="H597" s="42"/>
      <c r="I597" s="230"/>
      <c r="J597" s="41"/>
      <c r="K597" s="227"/>
      <c r="L597" s="156"/>
      <c r="M597" s="152"/>
      <c r="N597" s="291"/>
      <c r="O597" s="42"/>
      <c r="P597" s="227"/>
      <c r="Q597" s="117"/>
      <c r="R597" s="210"/>
      <c r="S597" s="232"/>
      <c r="T597" s="270"/>
      <c r="V597" s="101"/>
    </row>
    <row r="598" spans="2:22" s="28" customFormat="1" x14ac:dyDescent="0.25">
      <c r="B598" s="25"/>
      <c r="D598" s="77"/>
      <c r="E598" s="42"/>
      <c r="F598" s="365"/>
      <c r="G598" s="46"/>
      <c r="H598" s="42"/>
      <c r="I598" s="230"/>
      <c r="J598" s="41"/>
      <c r="K598" s="227"/>
      <c r="L598" s="156"/>
      <c r="M598" s="152"/>
      <c r="N598" s="291"/>
      <c r="O598" s="42"/>
      <c r="P598" s="227"/>
      <c r="Q598" s="117"/>
      <c r="R598" s="210"/>
      <c r="S598" s="232"/>
      <c r="T598" s="270"/>
      <c r="V598" s="101"/>
    </row>
    <row r="599" spans="2:22" s="28" customFormat="1" x14ac:dyDescent="0.25">
      <c r="B599" s="25"/>
      <c r="D599" s="77"/>
      <c r="E599" s="42"/>
      <c r="F599" s="365"/>
      <c r="G599" s="46"/>
      <c r="H599" s="42"/>
      <c r="I599" s="230"/>
      <c r="J599" s="41"/>
      <c r="K599" s="227"/>
      <c r="L599" s="156"/>
      <c r="M599" s="152"/>
      <c r="N599" s="291"/>
      <c r="O599" s="42"/>
      <c r="P599" s="227"/>
      <c r="Q599" s="117"/>
      <c r="R599" s="210"/>
      <c r="S599" s="232"/>
      <c r="T599" s="270"/>
      <c r="V599" s="101"/>
    </row>
    <row r="600" spans="2:22" s="28" customFormat="1" x14ac:dyDescent="0.25">
      <c r="B600" s="25"/>
      <c r="D600" s="77"/>
      <c r="E600" s="42"/>
      <c r="F600" s="365"/>
      <c r="G600" s="46"/>
      <c r="H600" s="42"/>
      <c r="I600" s="230"/>
      <c r="J600" s="41"/>
      <c r="K600" s="227"/>
      <c r="L600" s="156"/>
      <c r="M600" s="152"/>
      <c r="N600" s="291"/>
      <c r="O600" s="42"/>
      <c r="P600" s="227"/>
      <c r="Q600" s="117"/>
      <c r="R600" s="210"/>
      <c r="S600" s="232"/>
      <c r="T600" s="270"/>
      <c r="V600" s="101"/>
    </row>
    <row r="601" spans="2:22" s="28" customFormat="1" x14ac:dyDescent="0.25">
      <c r="B601" s="25"/>
      <c r="D601" s="77"/>
      <c r="E601" s="42"/>
      <c r="F601" s="365"/>
      <c r="G601" s="46"/>
      <c r="H601" s="42"/>
      <c r="I601" s="230"/>
      <c r="J601" s="41"/>
      <c r="K601" s="227"/>
      <c r="L601" s="156"/>
      <c r="M601" s="152"/>
      <c r="N601" s="291"/>
      <c r="O601" s="42"/>
      <c r="P601" s="227"/>
      <c r="Q601" s="117"/>
      <c r="R601" s="210"/>
      <c r="S601" s="232"/>
      <c r="T601" s="270"/>
      <c r="V601" s="101"/>
    </row>
    <row r="602" spans="2:22" s="28" customFormat="1" x14ac:dyDescent="0.25">
      <c r="B602" s="25"/>
      <c r="D602" s="77"/>
      <c r="E602" s="42"/>
      <c r="F602" s="365"/>
      <c r="G602" s="46"/>
      <c r="H602" s="42"/>
      <c r="I602" s="230"/>
      <c r="J602" s="41"/>
      <c r="K602" s="227"/>
      <c r="L602" s="156"/>
      <c r="M602" s="152"/>
      <c r="N602" s="291"/>
      <c r="O602" s="42"/>
      <c r="P602" s="227"/>
      <c r="Q602" s="117"/>
      <c r="R602" s="210"/>
      <c r="S602" s="232"/>
      <c r="T602" s="270"/>
      <c r="V602" s="101"/>
    </row>
    <row r="603" spans="2:22" s="28" customFormat="1" x14ac:dyDescent="0.25">
      <c r="B603" s="25"/>
      <c r="D603" s="77"/>
      <c r="E603" s="42"/>
      <c r="F603" s="365"/>
      <c r="G603" s="46"/>
      <c r="H603" s="42"/>
      <c r="I603" s="230"/>
      <c r="J603" s="41"/>
      <c r="K603" s="227"/>
      <c r="L603" s="156"/>
      <c r="M603" s="152"/>
      <c r="N603" s="291"/>
      <c r="O603" s="42"/>
      <c r="P603" s="227"/>
      <c r="Q603" s="117"/>
      <c r="R603" s="210"/>
      <c r="S603" s="232"/>
      <c r="T603" s="270"/>
      <c r="V603" s="101"/>
    </row>
    <row r="604" spans="2:22" s="28" customFormat="1" x14ac:dyDescent="0.25">
      <c r="B604" s="25"/>
      <c r="D604" s="77"/>
      <c r="E604" s="42"/>
      <c r="F604" s="365"/>
      <c r="G604" s="46"/>
      <c r="H604" s="42"/>
      <c r="I604" s="230"/>
      <c r="J604" s="41"/>
      <c r="K604" s="227"/>
      <c r="L604" s="156"/>
      <c r="M604" s="152"/>
      <c r="N604" s="291"/>
      <c r="O604" s="42"/>
      <c r="P604" s="227"/>
      <c r="Q604" s="117"/>
      <c r="R604" s="210"/>
      <c r="S604" s="232"/>
      <c r="T604" s="270"/>
      <c r="V604" s="101"/>
    </row>
    <row r="605" spans="2:22" s="28" customFormat="1" x14ac:dyDescent="0.25">
      <c r="B605" s="25"/>
      <c r="D605" s="77"/>
      <c r="E605" s="42"/>
      <c r="F605" s="365"/>
      <c r="G605" s="46"/>
      <c r="H605" s="42"/>
      <c r="I605" s="230"/>
      <c r="J605" s="41"/>
      <c r="K605" s="227"/>
      <c r="L605" s="156"/>
      <c r="M605" s="152"/>
      <c r="N605" s="291"/>
      <c r="O605" s="42"/>
      <c r="P605" s="227"/>
      <c r="Q605" s="117"/>
      <c r="R605" s="210"/>
      <c r="S605" s="232"/>
      <c r="T605" s="270"/>
      <c r="V605" s="101"/>
    </row>
    <row r="606" spans="2:22" s="28" customFormat="1" x14ac:dyDescent="0.25">
      <c r="B606" s="25"/>
      <c r="D606" s="77"/>
      <c r="E606" s="42"/>
      <c r="F606" s="365"/>
      <c r="G606" s="46"/>
      <c r="H606" s="42"/>
      <c r="I606" s="230"/>
      <c r="J606" s="41"/>
      <c r="K606" s="227"/>
      <c r="L606" s="156"/>
      <c r="M606" s="152"/>
      <c r="N606" s="291"/>
      <c r="O606" s="42"/>
      <c r="P606" s="227"/>
      <c r="Q606" s="117"/>
      <c r="R606" s="210"/>
      <c r="S606" s="232"/>
      <c r="T606" s="270"/>
      <c r="V606" s="101"/>
    </row>
    <row r="607" spans="2:22" s="28" customFormat="1" x14ac:dyDescent="0.25">
      <c r="B607" s="25"/>
      <c r="D607" s="77"/>
      <c r="E607" s="42"/>
      <c r="F607" s="365"/>
      <c r="G607" s="46"/>
      <c r="H607" s="42"/>
      <c r="I607" s="230"/>
      <c r="J607" s="41"/>
      <c r="K607" s="227"/>
      <c r="L607" s="156"/>
      <c r="M607" s="152"/>
      <c r="N607" s="291"/>
      <c r="O607" s="42"/>
      <c r="P607" s="227"/>
      <c r="Q607" s="117"/>
      <c r="R607" s="210"/>
      <c r="S607" s="232"/>
      <c r="T607" s="270"/>
      <c r="V607" s="101"/>
    </row>
    <row r="608" spans="2:22" s="28" customFormat="1" x14ac:dyDescent="0.25">
      <c r="B608" s="25"/>
      <c r="D608" s="77"/>
      <c r="E608" s="42"/>
      <c r="F608" s="365"/>
      <c r="G608" s="46"/>
      <c r="H608" s="42"/>
      <c r="I608" s="230"/>
      <c r="J608" s="41"/>
      <c r="K608" s="227"/>
      <c r="L608" s="156"/>
      <c r="M608" s="152"/>
      <c r="N608" s="291"/>
      <c r="O608" s="42"/>
      <c r="P608" s="227"/>
      <c r="Q608" s="117"/>
      <c r="R608" s="210"/>
      <c r="S608" s="232"/>
      <c r="T608" s="270"/>
      <c r="V608" s="101"/>
    </row>
    <row r="609" spans="2:22" s="28" customFormat="1" x14ac:dyDescent="0.25">
      <c r="B609" s="25"/>
      <c r="D609" s="77"/>
      <c r="E609" s="42"/>
      <c r="F609" s="365"/>
      <c r="G609" s="46"/>
      <c r="H609" s="42"/>
      <c r="I609" s="230"/>
      <c r="J609" s="41"/>
      <c r="K609" s="227"/>
      <c r="L609" s="156"/>
      <c r="M609" s="152"/>
      <c r="N609" s="291"/>
      <c r="O609" s="42"/>
      <c r="P609" s="227"/>
      <c r="Q609" s="117"/>
      <c r="R609" s="210"/>
      <c r="S609" s="232"/>
      <c r="T609" s="270"/>
      <c r="V609" s="101"/>
    </row>
    <row r="610" spans="2:22" s="28" customFormat="1" x14ac:dyDescent="0.25">
      <c r="B610" s="25"/>
      <c r="D610" s="77"/>
      <c r="E610" s="42"/>
      <c r="F610" s="365"/>
      <c r="G610" s="46"/>
      <c r="H610" s="42"/>
      <c r="I610" s="230"/>
      <c r="J610" s="41"/>
      <c r="K610" s="227"/>
      <c r="L610" s="156"/>
      <c r="M610" s="152"/>
      <c r="N610" s="291"/>
      <c r="O610" s="42"/>
      <c r="P610" s="227"/>
      <c r="Q610" s="117"/>
      <c r="R610" s="210"/>
      <c r="S610" s="232"/>
      <c r="T610" s="270"/>
      <c r="V610" s="101"/>
    </row>
    <row r="611" spans="2:22" s="28" customFormat="1" x14ac:dyDescent="0.25">
      <c r="B611" s="25"/>
      <c r="D611" s="77"/>
      <c r="E611" s="42"/>
      <c r="F611" s="365"/>
      <c r="G611" s="46"/>
      <c r="H611" s="42"/>
      <c r="I611" s="230"/>
      <c r="J611" s="41"/>
      <c r="K611" s="227"/>
      <c r="L611" s="156"/>
      <c r="M611" s="152"/>
      <c r="N611" s="291"/>
      <c r="O611" s="42"/>
      <c r="P611" s="227"/>
      <c r="Q611" s="117"/>
      <c r="R611" s="210"/>
      <c r="S611" s="232"/>
      <c r="T611" s="270"/>
      <c r="V611" s="101"/>
    </row>
    <row r="612" spans="2:22" s="28" customFormat="1" x14ac:dyDescent="0.25">
      <c r="B612" s="25"/>
      <c r="D612" s="77"/>
      <c r="E612" s="42"/>
      <c r="F612" s="365"/>
      <c r="G612" s="46"/>
      <c r="H612" s="42"/>
      <c r="I612" s="230"/>
      <c r="J612" s="41"/>
      <c r="K612" s="227"/>
      <c r="L612" s="156"/>
      <c r="M612" s="152"/>
      <c r="N612" s="291"/>
      <c r="O612" s="42"/>
      <c r="P612" s="227"/>
      <c r="Q612" s="117"/>
      <c r="R612" s="210"/>
      <c r="S612" s="232"/>
      <c r="T612" s="270"/>
      <c r="V612" s="101"/>
    </row>
    <row r="613" spans="2:22" s="28" customFormat="1" x14ac:dyDescent="0.25">
      <c r="B613" s="25"/>
      <c r="D613" s="77"/>
      <c r="E613" s="42"/>
      <c r="F613" s="365"/>
      <c r="G613" s="46"/>
      <c r="H613" s="42"/>
      <c r="I613" s="230"/>
      <c r="J613" s="41"/>
      <c r="K613" s="227"/>
      <c r="L613" s="156"/>
      <c r="M613" s="152"/>
      <c r="N613" s="291"/>
      <c r="O613" s="42"/>
      <c r="P613" s="227"/>
      <c r="Q613" s="117"/>
      <c r="R613" s="210"/>
      <c r="S613" s="232"/>
      <c r="T613" s="270"/>
      <c r="V613" s="101"/>
    </row>
    <row r="614" spans="2:22" s="28" customFormat="1" x14ac:dyDescent="0.25">
      <c r="B614" s="25"/>
      <c r="D614" s="77"/>
      <c r="E614" s="42"/>
      <c r="F614" s="365"/>
      <c r="G614" s="46"/>
      <c r="H614" s="42"/>
      <c r="I614" s="230"/>
      <c r="J614" s="41"/>
      <c r="K614" s="227"/>
      <c r="L614" s="156"/>
      <c r="M614" s="152"/>
      <c r="N614" s="291"/>
      <c r="O614" s="42"/>
      <c r="P614" s="227"/>
      <c r="Q614" s="117"/>
      <c r="R614" s="210"/>
      <c r="S614" s="232"/>
      <c r="T614" s="270"/>
      <c r="V614" s="101"/>
    </row>
    <row r="615" spans="2:22" s="28" customFormat="1" x14ac:dyDescent="0.25">
      <c r="B615" s="25"/>
      <c r="D615" s="77"/>
      <c r="E615" s="42"/>
      <c r="F615" s="365"/>
      <c r="G615" s="46"/>
      <c r="H615" s="42"/>
      <c r="I615" s="230"/>
      <c r="J615" s="41"/>
      <c r="K615" s="227"/>
      <c r="L615" s="156"/>
      <c r="M615" s="152"/>
      <c r="N615" s="291"/>
      <c r="O615" s="42"/>
      <c r="P615" s="227"/>
      <c r="Q615" s="117"/>
      <c r="R615" s="210"/>
      <c r="S615" s="232"/>
      <c r="T615" s="270"/>
      <c r="V615" s="101"/>
    </row>
    <row r="616" spans="2:22" s="28" customFormat="1" x14ac:dyDescent="0.25">
      <c r="B616" s="25"/>
      <c r="D616" s="77"/>
      <c r="E616" s="42"/>
      <c r="F616" s="365"/>
      <c r="G616" s="46"/>
      <c r="H616" s="42"/>
      <c r="I616" s="230"/>
      <c r="J616" s="41"/>
      <c r="K616" s="227"/>
      <c r="L616" s="156"/>
      <c r="M616" s="152"/>
      <c r="N616" s="291"/>
      <c r="O616" s="42"/>
      <c r="P616" s="227"/>
      <c r="Q616" s="117"/>
      <c r="R616" s="210"/>
      <c r="S616" s="232"/>
      <c r="T616" s="270"/>
      <c r="V616" s="101"/>
    </row>
    <row r="617" spans="2:22" s="28" customFormat="1" x14ac:dyDescent="0.25">
      <c r="B617" s="25"/>
      <c r="D617" s="77"/>
      <c r="E617" s="42"/>
      <c r="F617" s="365"/>
      <c r="G617" s="46"/>
      <c r="H617" s="42"/>
      <c r="I617" s="230"/>
      <c r="J617" s="41"/>
      <c r="K617" s="227"/>
      <c r="L617" s="156"/>
      <c r="M617" s="152"/>
      <c r="N617" s="291"/>
      <c r="O617" s="42"/>
      <c r="P617" s="227"/>
      <c r="Q617" s="117"/>
      <c r="R617" s="210"/>
      <c r="S617" s="232"/>
      <c r="T617" s="270"/>
      <c r="V617" s="101"/>
    </row>
    <row r="618" spans="2:22" s="28" customFormat="1" x14ac:dyDescent="0.25">
      <c r="B618" s="25"/>
      <c r="D618" s="77"/>
      <c r="E618" s="42"/>
      <c r="F618" s="365"/>
      <c r="G618" s="46"/>
      <c r="H618" s="42"/>
      <c r="I618" s="230"/>
      <c r="J618" s="41"/>
      <c r="K618" s="227"/>
      <c r="L618" s="156"/>
      <c r="M618" s="152"/>
      <c r="N618" s="291"/>
      <c r="O618" s="42"/>
      <c r="P618" s="227"/>
      <c r="Q618" s="117"/>
      <c r="R618" s="210"/>
      <c r="S618" s="232"/>
      <c r="T618" s="270"/>
      <c r="V618" s="101"/>
    </row>
    <row r="619" spans="2:22" s="28" customFormat="1" x14ac:dyDescent="0.25">
      <c r="B619" s="25"/>
      <c r="D619" s="77"/>
      <c r="E619" s="42"/>
      <c r="F619" s="365"/>
      <c r="G619" s="46"/>
      <c r="H619" s="42"/>
      <c r="I619" s="230"/>
      <c r="J619" s="41"/>
      <c r="K619" s="227"/>
      <c r="L619" s="156"/>
      <c r="M619" s="152"/>
      <c r="N619" s="291"/>
      <c r="O619" s="42"/>
      <c r="P619" s="227"/>
      <c r="Q619" s="117"/>
      <c r="R619" s="210"/>
      <c r="S619" s="232"/>
      <c r="T619" s="270"/>
      <c r="V619" s="101"/>
    </row>
    <row r="620" spans="2:22" s="28" customFormat="1" x14ac:dyDescent="0.25">
      <c r="B620" s="25"/>
      <c r="D620" s="77"/>
      <c r="E620" s="42"/>
      <c r="F620" s="365"/>
      <c r="G620" s="46"/>
      <c r="H620" s="42"/>
      <c r="I620" s="230"/>
      <c r="J620" s="41"/>
      <c r="K620" s="227"/>
      <c r="L620" s="156"/>
      <c r="M620" s="152"/>
      <c r="N620" s="291"/>
      <c r="O620" s="42"/>
      <c r="P620" s="227"/>
      <c r="Q620" s="117"/>
      <c r="R620" s="210"/>
      <c r="S620" s="232"/>
      <c r="T620" s="270"/>
      <c r="V620" s="101"/>
    </row>
    <row r="621" spans="2:22" s="28" customFormat="1" x14ac:dyDescent="0.25">
      <c r="B621" s="25"/>
      <c r="D621" s="77"/>
      <c r="E621" s="42"/>
      <c r="F621" s="365"/>
      <c r="G621" s="46"/>
      <c r="H621" s="42"/>
      <c r="I621" s="230"/>
      <c r="J621" s="41"/>
      <c r="K621" s="227"/>
      <c r="L621" s="156"/>
      <c r="M621" s="152"/>
      <c r="N621" s="291"/>
      <c r="O621" s="42"/>
      <c r="P621" s="227"/>
      <c r="Q621" s="117"/>
      <c r="R621" s="210"/>
      <c r="S621" s="232"/>
      <c r="T621" s="270"/>
      <c r="V621" s="101"/>
    </row>
    <row r="622" spans="2:22" s="28" customFormat="1" x14ac:dyDescent="0.25">
      <c r="B622" s="25"/>
      <c r="D622" s="77"/>
      <c r="E622" s="42"/>
      <c r="F622" s="365"/>
      <c r="G622" s="46"/>
      <c r="H622" s="42"/>
      <c r="I622" s="230"/>
      <c r="J622" s="41"/>
      <c r="K622" s="227"/>
      <c r="L622" s="156"/>
      <c r="M622" s="152"/>
      <c r="N622" s="291"/>
      <c r="O622" s="42"/>
      <c r="P622" s="227"/>
      <c r="Q622" s="117"/>
      <c r="R622" s="210"/>
      <c r="S622" s="232"/>
      <c r="T622" s="270"/>
      <c r="V622" s="101"/>
    </row>
    <row r="623" spans="2:22" s="28" customFormat="1" x14ac:dyDescent="0.25">
      <c r="B623" s="25"/>
      <c r="D623" s="77"/>
      <c r="E623" s="42"/>
      <c r="F623" s="365"/>
      <c r="G623" s="46"/>
      <c r="H623" s="42"/>
      <c r="I623" s="230"/>
      <c r="J623" s="41"/>
      <c r="K623" s="227"/>
      <c r="L623" s="156"/>
      <c r="M623" s="152"/>
      <c r="N623" s="291"/>
      <c r="O623" s="42"/>
      <c r="P623" s="227"/>
      <c r="Q623" s="117"/>
      <c r="R623" s="210"/>
      <c r="S623" s="232"/>
      <c r="T623" s="270"/>
      <c r="V623" s="101"/>
    </row>
    <row r="624" spans="2:22" s="28" customFormat="1" x14ac:dyDescent="0.25">
      <c r="B624" s="25"/>
      <c r="D624" s="77"/>
      <c r="E624" s="42"/>
      <c r="F624" s="365"/>
      <c r="G624" s="46"/>
      <c r="H624" s="42"/>
      <c r="I624" s="230"/>
      <c r="J624" s="41"/>
      <c r="K624" s="227"/>
      <c r="L624" s="156"/>
      <c r="M624" s="152"/>
      <c r="N624" s="291"/>
      <c r="O624" s="42"/>
      <c r="P624" s="227"/>
      <c r="Q624" s="117"/>
      <c r="R624" s="210"/>
      <c r="S624" s="232"/>
      <c r="T624" s="270"/>
      <c r="V624" s="101"/>
    </row>
    <row r="625" spans="2:22" s="28" customFormat="1" x14ac:dyDescent="0.25">
      <c r="B625" s="25"/>
      <c r="D625" s="77"/>
      <c r="E625" s="42"/>
      <c r="F625" s="365"/>
      <c r="G625" s="46"/>
      <c r="H625" s="42"/>
      <c r="I625" s="230"/>
      <c r="J625" s="41"/>
      <c r="K625" s="227"/>
      <c r="L625" s="156"/>
      <c r="M625" s="152"/>
      <c r="N625" s="291"/>
      <c r="O625" s="42"/>
      <c r="P625" s="227"/>
      <c r="Q625" s="117"/>
      <c r="R625" s="210"/>
      <c r="S625" s="232"/>
      <c r="T625" s="270"/>
      <c r="V625" s="101"/>
    </row>
    <row r="626" spans="2:22" s="28" customFormat="1" x14ac:dyDescent="0.25">
      <c r="B626" s="25"/>
      <c r="D626" s="77"/>
      <c r="E626" s="42"/>
      <c r="F626" s="365"/>
      <c r="G626" s="46"/>
      <c r="H626" s="42"/>
      <c r="I626" s="230"/>
      <c r="J626" s="41"/>
      <c r="K626" s="227"/>
      <c r="L626" s="156"/>
      <c r="M626" s="152"/>
      <c r="N626" s="291"/>
      <c r="O626" s="42"/>
      <c r="P626" s="227"/>
      <c r="Q626" s="117"/>
      <c r="R626" s="210"/>
      <c r="S626" s="232"/>
      <c r="T626" s="270"/>
      <c r="V626" s="101"/>
    </row>
    <row r="627" spans="2:22" s="28" customFormat="1" x14ac:dyDescent="0.25">
      <c r="B627" s="25"/>
      <c r="D627" s="77"/>
      <c r="E627" s="42"/>
      <c r="F627" s="365"/>
      <c r="G627" s="46"/>
      <c r="H627" s="42"/>
      <c r="I627" s="230"/>
      <c r="J627" s="41"/>
      <c r="K627" s="227"/>
      <c r="L627" s="156"/>
      <c r="M627" s="152"/>
      <c r="N627" s="291"/>
      <c r="O627" s="42"/>
      <c r="P627" s="227"/>
      <c r="Q627" s="117"/>
      <c r="R627" s="210"/>
      <c r="S627" s="232"/>
      <c r="T627" s="270"/>
      <c r="V627" s="101"/>
    </row>
    <row r="628" spans="2:22" s="28" customFormat="1" x14ac:dyDescent="0.25">
      <c r="B628" s="25"/>
      <c r="D628" s="77"/>
      <c r="E628" s="42"/>
      <c r="F628" s="365"/>
      <c r="G628" s="46"/>
      <c r="H628" s="42"/>
      <c r="I628" s="230"/>
      <c r="J628" s="41"/>
      <c r="K628" s="227"/>
      <c r="L628" s="156"/>
      <c r="M628" s="152"/>
      <c r="N628" s="291"/>
      <c r="O628" s="42"/>
      <c r="P628" s="227"/>
      <c r="Q628" s="117"/>
      <c r="R628" s="210"/>
      <c r="S628" s="232"/>
      <c r="T628" s="270"/>
      <c r="V628" s="101"/>
    </row>
    <row r="629" spans="2:22" s="28" customFormat="1" x14ac:dyDescent="0.25">
      <c r="B629" s="25"/>
      <c r="D629" s="77"/>
      <c r="E629" s="42"/>
      <c r="F629" s="365"/>
      <c r="G629" s="46"/>
      <c r="H629" s="42"/>
      <c r="I629" s="230"/>
      <c r="J629" s="41"/>
      <c r="K629" s="227"/>
      <c r="L629" s="156"/>
      <c r="M629" s="152"/>
      <c r="N629" s="291"/>
      <c r="O629" s="42"/>
      <c r="P629" s="227"/>
      <c r="Q629" s="117"/>
      <c r="R629" s="210"/>
      <c r="S629" s="232"/>
      <c r="T629" s="270"/>
      <c r="V629" s="101"/>
    </row>
    <row r="630" spans="2:22" s="28" customFormat="1" x14ac:dyDescent="0.25">
      <c r="B630" s="25"/>
      <c r="D630" s="77"/>
      <c r="E630" s="42"/>
      <c r="F630" s="365"/>
      <c r="G630" s="46"/>
      <c r="H630" s="42"/>
      <c r="I630" s="230"/>
      <c r="J630" s="41"/>
      <c r="K630" s="227"/>
      <c r="L630" s="156"/>
      <c r="M630" s="152"/>
      <c r="N630" s="291"/>
      <c r="O630" s="42"/>
      <c r="P630" s="227"/>
      <c r="Q630" s="117"/>
      <c r="R630" s="210"/>
      <c r="S630" s="232"/>
      <c r="T630" s="270"/>
      <c r="V630" s="101"/>
    </row>
    <row r="631" spans="2:22" s="28" customFormat="1" x14ac:dyDescent="0.25">
      <c r="B631" s="25"/>
      <c r="D631" s="77"/>
      <c r="E631" s="42"/>
      <c r="F631" s="365"/>
      <c r="G631" s="46"/>
      <c r="H631" s="42"/>
      <c r="I631" s="230"/>
      <c r="J631" s="41"/>
      <c r="K631" s="227"/>
      <c r="L631" s="156"/>
      <c r="M631" s="152"/>
      <c r="N631" s="291"/>
      <c r="O631" s="42"/>
      <c r="P631" s="227"/>
      <c r="Q631" s="117"/>
      <c r="R631" s="210"/>
      <c r="S631" s="232"/>
      <c r="T631" s="270"/>
      <c r="V631" s="101"/>
    </row>
    <row r="632" spans="2:22" s="28" customFormat="1" x14ac:dyDescent="0.25">
      <c r="B632" s="25"/>
      <c r="D632" s="77"/>
      <c r="E632" s="42"/>
      <c r="F632" s="365"/>
      <c r="G632" s="46"/>
      <c r="H632" s="42"/>
      <c r="I632" s="230"/>
      <c r="J632" s="41"/>
      <c r="K632" s="227"/>
      <c r="L632" s="156"/>
      <c r="M632" s="152"/>
      <c r="N632" s="291"/>
      <c r="O632" s="42"/>
      <c r="P632" s="227"/>
      <c r="Q632" s="117"/>
      <c r="R632" s="210"/>
      <c r="S632" s="232"/>
      <c r="T632" s="270"/>
      <c r="V632" s="101"/>
    </row>
    <row r="633" spans="2:22" s="28" customFormat="1" x14ac:dyDescent="0.25">
      <c r="B633" s="25"/>
      <c r="D633" s="77"/>
      <c r="E633" s="42"/>
      <c r="F633" s="365"/>
      <c r="G633" s="46"/>
      <c r="H633" s="42"/>
      <c r="I633" s="230"/>
      <c r="J633" s="41"/>
      <c r="K633" s="227"/>
      <c r="L633" s="156"/>
      <c r="M633" s="152"/>
      <c r="N633" s="291"/>
      <c r="O633" s="42"/>
      <c r="P633" s="227"/>
      <c r="Q633" s="117"/>
      <c r="R633" s="210"/>
      <c r="S633" s="232"/>
      <c r="T633" s="270"/>
      <c r="V633" s="101"/>
    </row>
    <row r="634" spans="2:22" s="28" customFormat="1" x14ac:dyDescent="0.25">
      <c r="B634" s="25"/>
      <c r="D634" s="77"/>
      <c r="E634" s="42"/>
      <c r="F634" s="365"/>
      <c r="G634" s="46"/>
      <c r="H634" s="42"/>
      <c r="I634" s="230"/>
      <c r="J634" s="41"/>
      <c r="K634" s="227"/>
      <c r="L634" s="156"/>
      <c r="M634" s="152"/>
      <c r="N634" s="291"/>
      <c r="O634" s="42"/>
      <c r="P634" s="227"/>
      <c r="Q634" s="117"/>
      <c r="R634" s="210"/>
      <c r="S634" s="232"/>
      <c r="T634" s="270"/>
      <c r="V634" s="101"/>
    </row>
    <row r="635" spans="2:22" s="28" customFormat="1" x14ac:dyDescent="0.25">
      <c r="B635" s="25"/>
      <c r="D635" s="77"/>
      <c r="E635" s="42"/>
      <c r="F635" s="365"/>
      <c r="G635" s="46"/>
      <c r="H635" s="42"/>
      <c r="I635" s="230"/>
      <c r="J635" s="41"/>
      <c r="K635" s="227"/>
      <c r="L635" s="156"/>
      <c r="M635" s="152"/>
      <c r="N635" s="291"/>
      <c r="O635" s="42"/>
      <c r="P635" s="227"/>
      <c r="Q635" s="117"/>
      <c r="R635" s="210"/>
      <c r="S635" s="232"/>
      <c r="T635" s="270"/>
      <c r="V635" s="101"/>
    </row>
    <row r="636" spans="2:22" s="28" customFormat="1" x14ac:dyDescent="0.25">
      <c r="B636" s="25"/>
      <c r="D636" s="77"/>
      <c r="E636" s="42"/>
      <c r="F636" s="365"/>
      <c r="G636" s="46"/>
      <c r="H636" s="42"/>
      <c r="I636" s="230"/>
      <c r="J636" s="41"/>
      <c r="K636" s="227"/>
      <c r="L636" s="156"/>
      <c r="M636" s="152"/>
      <c r="N636" s="291"/>
      <c r="O636" s="42"/>
      <c r="P636" s="227"/>
      <c r="Q636" s="117"/>
      <c r="R636" s="210"/>
      <c r="S636" s="232"/>
      <c r="T636" s="270"/>
      <c r="V636" s="101"/>
    </row>
    <row r="637" spans="2:22" s="28" customFormat="1" x14ac:dyDescent="0.25">
      <c r="B637" s="25"/>
      <c r="D637" s="77"/>
      <c r="E637" s="42"/>
      <c r="F637" s="365"/>
      <c r="G637" s="46"/>
      <c r="H637" s="42"/>
      <c r="I637" s="230"/>
      <c r="J637" s="41"/>
      <c r="K637" s="227"/>
      <c r="L637" s="156"/>
      <c r="M637" s="152"/>
      <c r="N637" s="291"/>
      <c r="O637" s="42"/>
      <c r="P637" s="227"/>
      <c r="Q637" s="117"/>
      <c r="R637" s="210"/>
      <c r="S637" s="232"/>
      <c r="T637" s="270"/>
      <c r="V637" s="101"/>
    </row>
    <row r="638" spans="2:22" s="28" customFormat="1" x14ac:dyDescent="0.25">
      <c r="B638" s="25"/>
      <c r="D638" s="77"/>
      <c r="E638" s="42"/>
      <c r="F638" s="365"/>
      <c r="G638" s="46"/>
      <c r="H638" s="42"/>
      <c r="I638" s="230"/>
      <c r="J638" s="41"/>
      <c r="K638" s="227"/>
      <c r="L638" s="156"/>
      <c r="M638" s="152"/>
      <c r="N638" s="291"/>
      <c r="O638" s="42"/>
      <c r="P638" s="227"/>
      <c r="Q638" s="117"/>
      <c r="R638" s="210"/>
      <c r="S638" s="232"/>
      <c r="T638" s="270"/>
      <c r="V638" s="101"/>
    </row>
    <row r="639" spans="2:22" s="28" customFormat="1" x14ac:dyDescent="0.25">
      <c r="B639" s="25"/>
      <c r="D639" s="77"/>
      <c r="E639" s="42"/>
      <c r="F639" s="365"/>
      <c r="G639" s="46"/>
      <c r="H639" s="42"/>
      <c r="I639" s="230"/>
      <c r="J639" s="41"/>
      <c r="K639" s="227"/>
      <c r="L639" s="156"/>
      <c r="M639" s="152"/>
      <c r="N639" s="291"/>
      <c r="O639" s="42"/>
      <c r="P639" s="227"/>
      <c r="Q639" s="117"/>
      <c r="R639" s="210"/>
      <c r="S639" s="232"/>
      <c r="T639" s="270"/>
      <c r="V639" s="101"/>
    </row>
    <row r="640" spans="2:22" s="28" customFormat="1" x14ac:dyDescent="0.25">
      <c r="B640" s="25"/>
      <c r="D640" s="77"/>
      <c r="E640" s="42"/>
      <c r="F640" s="365"/>
      <c r="G640" s="46"/>
      <c r="H640" s="42"/>
      <c r="I640" s="230"/>
      <c r="J640" s="41"/>
      <c r="K640" s="227"/>
      <c r="L640" s="156"/>
      <c r="M640" s="152"/>
      <c r="N640" s="291"/>
      <c r="O640" s="42"/>
      <c r="P640" s="227"/>
      <c r="Q640" s="117"/>
      <c r="R640" s="210"/>
      <c r="S640" s="232"/>
      <c r="T640" s="270"/>
      <c r="V640" s="101"/>
    </row>
    <row r="641" spans="2:22" s="28" customFormat="1" x14ac:dyDescent="0.25">
      <c r="B641" s="25"/>
      <c r="D641" s="77"/>
      <c r="E641" s="42"/>
      <c r="F641" s="365"/>
      <c r="G641" s="46"/>
      <c r="H641" s="42"/>
      <c r="I641" s="230"/>
      <c r="J641" s="41"/>
      <c r="K641" s="227"/>
      <c r="L641" s="156"/>
      <c r="M641" s="152"/>
      <c r="N641" s="291"/>
      <c r="O641" s="42"/>
      <c r="P641" s="227"/>
      <c r="Q641" s="117"/>
      <c r="R641" s="210"/>
      <c r="S641" s="232"/>
      <c r="T641" s="270"/>
      <c r="V641" s="101"/>
    </row>
    <row r="642" spans="2:22" s="28" customFormat="1" x14ac:dyDescent="0.25">
      <c r="B642" s="25"/>
      <c r="D642" s="77"/>
      <c r="E642" s="42"/>
      <c r="F642" s="365"/>
      <c r="G642" s="46"/>
      <c r="H642" s="42"/>
      <c r="I642" s="230"/>
      <c r="J642" s="41"/>
      <c r="K642" s="227"/>
      <c r="L642" s="156"/>
      <c r="M642" s="152"/>
      <c r="N642" s="291"/>
      <c r="O642" s="42"/>
      <c r="P642" s="227"/>
      <c r="Q642" s="117"/>
      <c r="R642" s="210"/>
      <c r="S642" s="232"/>
      <c r="T642" s="270"/>
      <c r="V642" s="101"/>
    </row>
    <row r="643" spans="2:22" s="28" customFormat="1" x14ac:dyDescent="0.25">
      <c r="B643" s="25"/>
      <c r="D643" s="77"/>
      <c r="E643" s="42"/>
      <c r="F643" s="365"/>
      <c r="G643" s="46"/>
      <c r="H643" s="42"/>
      <c r="I643" s="230"/>
      <c r="J643" s="41"/>
      <c r="K643" s="227"/>
      <c r="L643" s="156"/>
      <c r="M643" s="152"/>
      <c r="N643" s="291"/>
      <c r="O643" s="42"/>
      <c r="P643" s="227"/>
      <c r="Q643" s="117"/>
      <c r="R643" s="210"/>
      <c r="S643" s="232"/>
      <c r="T643" s="270"/>
      <c r="V643" s="101"/>
    </row>
    <row r="644" spans="2:22" s="28" customFormat="1" x14ac:dyDescent="0.25">
      <c r="B644" s="25"/>
      <c r="D644" s="77"/>
      <c r="E644" s="42"/>
      <c r="F644" s="365"/>
      <c r="G644" s="46"/>
      <c r="H644" s="42"/>
      <c r="I644" s="230"/>
      <c r="J644" s="41"/>
      <c r="K644" s="227"/>
      <c r="L644" s="156"/>
      <c r="M644" s="152"/>
      <c r="N644" s="291"/>
      <c r="O644" s="42"/>
      <c r="P644" s="227"/>
      <c r="Q644" s="117"/>
      <c r="R644" s="210"/>
      <c r="S644" s="232"/>
      <c r="T644" s="270"/>
      <c r="V644" s="101"/>
    </row>
    <row r="645" spans="2:22" s="28" customFormat="1" x14ac:dyDescent="0.25">
      <c r="B645" s="25"/>
      <c r="D645" s="77"/>
      <c r="E645" s="42"/>
      <c r="F645" s="365"/>
      <c r="G645" s="46"/>
      <c r="H645" s="42"/>
      <c r="I645" s="230"/>
      <c r="J645" s="41"/>
      <c r="K645" s="227"/>
      <c r="L645" s="156"/>
      <c r="M645" s="152"/>
      <c r="N645" s="291"/>
      <c r="O645" s="42"/>
      <c r="P645" s="227"/>
      <c r="Q645" s="117"/>
      <c r="R645" s="210"/>
      <c r="S645" s="232"/>
      <c r="T645" s="270"/>
      <c r="V645" s="101"/>
    </row>
    <row r="646" spans="2:22" s="28" customFormat="1" x14ac:dyDescent="0.25">
      <c r="B646" s="25"/>
      <c r="D646" s="77"/>
      <c r="E646" s="42"/>
      <c r="F646" s="365"/>
      <c r="G646" s="46"/>
      <c r="H646" s="42"/>
      <c r="I646" s="230"/>
      <c r="J646" s="41"/>
      <c r="K646" s="227"/>
      <c r="L646" s="156"/>
      <c r="M646" s="152"/>
      <c r="N646" s="291"/>
      <c r="O646" s="42"/>
      <c r="P646" s="227"/>
      <c r="Q646" s="117"/>
      <c r="R646" s="210"/>
      <c r="S646" s="232"/>
      <c r="T646" s="270"/>
      <c r="V646" s="101"/>
    </row>
    <row r="647" spans="2:22" s="28" customFormat="1" x14ac:dyDescent="0.25">
      <c r="B647" s="25"/>
      <c r="D647" s="77"/>
      <c r="E647" s="42"/>
      <c r="F647" s="365"/>
      <c r="G647" s="46"/>
      <c r="H647" s="42"/>
      <c r="I647" s="230"/>
      <c r="J647" s="41"/>
      <c r="K647" s="227"/>
      <c r="L647" s="156"/>
      <c r="M647" s="152"/>
      <c r="N647" s="291"/>
      <c r="O647" s="42"/>
      <c r="P647" s="227"/>
      <c r="Q647" s="117"/>
      <c r="R647" s="210"/>
      <c r="S647" s="232"/>
      <c r="T647" s="270"/>
      <c r="V647" s="101"/>
    </row>
    <row r="648" spans="2:22" s="28" customFormat="1" x14ac:dyDescent="0.25">
      <c r="B648" s="25"/>
      <c r="D648" s="77"/>
      <c r="E648" s="42"/>
      <c r="F648" s="365"/>
      <c r="G648" s="46"/>
      <c r="H648" s="42"/>
      <c r="I648" s="230"/>
      <c r="J648" s="41"/>
      <c r="K648" s="227"/>
      <c r="L648" s="156"/>
      <c r="M648" s="152"/>
      <c r="N648" s="291"/>
      <c r="O648" s="42"/>
      <c r="P648" s="227"/>
      <c r="Q648" s="117"/>
      <c r="R648" s="210"/>
      <c r="S648" s="232"/>
      <c r="T648" s="270"/>
      <c r="V648" s="101"/>
    </row>
    <row r="649" spans="2:22" s="28" customFormat="1" x14ac:dyDescent="0.25">
      <c r="B649" s="25"/>
      <c r="D649" s="77"/>
      <c r="E649" s="42"/>
      <c r="F649" s="365"/>
      <c r="G649" s="46"/>
      <c r="H649" s="42"/>
      <c r="I649" s="230"/>
      <c r="J649" s="41"/>
      <c r="K649" s="227"/>
      <c r="L649" s="156"/>
      <c r="M649" s="152"/>
      <c r="N649" s="291"/>
      <c r="O649" s="42"/>
      <c r="P649" s="227"/>
      <c r="Q649" s="117"/>
      <c r="R649" s="210"/>
      <c r="S649" s="232"/>
      <c r="T649" s="270"/>
      <c r="V649" s="101"/>
    </row>
    <row r="650" spans="2:22" s="28" customFormat="1" x14ac:dyDescent="0.25">
      <c r="B650" s="25"/>
      <c r="D650" s="77"/>
      <c r="E650" s="42"/>
      <c r="F650" s="365"/>
      <c r="G650" s="46"/>
      <c r="H650" s="42"/>
      <c r="I650" s="230"/>
      <c r="J650" s="41"/>
      <c r="K650" s="227"/>
      <c r="L650" s="156"/>
      <c r="M650" s="152"/>
      <c r="N650" s="291"/>
      <c r="O650" s="42"/>
      <c r="P650" s="227"/>
      <c r="Q650" s="117"/>
      <c r="R650" s="210"/>
      <c r="S650" s="232"/>
      <c r="T650" s="270"/>
      <c r="V650" s="101"/>
    </row>
    <row r="651" spans="2:22" s="28" customFormat="1" x14ac:dyDescent="0.25">
      <c r="B651" s="25"/>
      <c r="D651" s="77"/>
      <c r="E651" s="42"/>
      <c r="F651" s="365"/>
      <c r="G651" s="46"/>
      <c r="H651" s="42"/>
      <c r="I651" s="230"/>
      <c r="J651" s="41"/>
      <c r="K651" s="227"/>
      <c r="L651" s="156"/>
      <c r="M651" s="152"/>
      <c r="N651" s="291"/>
      <c r="O651" s="42"/>
      <c r="P651" s="227"/>
      <c r="Q651" s="117"/>
      <c r="R651" s="210"/>
      <c r="S651" s="232"/>
      <c r="T651" s="270"/>
      <c r="V651" s="101"/>
    </row>
    <row r="652" spans="2:22" s="28" customFormat="1" x14ac:dyDescent="0.25">
      <c r="B652" s="25"/>
      <c r="D652" s="77"/>
      <c r="E652" s="42"/>
      <c r="F652" s="365"/>
      <c r="G652" s="46"/>
      <c r="H652" s="42"/>
      <c r="I652" s="230"/>
      <c r="J652" s="41"/>
      <c r="K652" s="227"/>
      <c r="L652" s="156"/>
      <c r="M652" s="152"/>
      <c r="N652" s="291"/>
      <c r="O652" s="42"/>
      <c r="P652" s="227"/>
      <c r="Q652" s="117"/>
      <c r="R652" s="210"/>
      <c r="S652" s="232"/>
      <c r="T652" s="270"/>
      <c r="V652" s="101"/>
    </row>
    <row r="653" spans="2:22" s="28" customFormat="1" x14ac:dyDescent="0.25">
      <c r="B653" s="25"/>
      <c r="D653" s="77"/>
      <c r="E653" s="42"/>
      <c r="F653" s="365"/>
      <c r="G653" s="46"/>
      <c r="H653" s="42"/>
      <c r="I653" s="230"/>
      <c r="J653" s="41"/>
      <c r="K653" s="227"/>
      <c r="L653" s="156"/>
      <c r="M653" s="152"/>
      <c r="N653" s="291"/>
      <c r="O653" s="42"/>
      <c r="P653" s="227"/>
      <c r="Q653" s="117"/>
      <c r="R653" s="210"/>
      <c r="S653" s="232"/>
      <c r="T653" s="270"/>
      <c r="V653" s="101"/>
    </row>
    <row r="654" spans="2:22" s="28" customFormat="1" x14ac:dyDescent="0.25">
      <c r="B654" s="25"/>
      <c r="D654" s="77"/>
      <c r="E654" s="42"/>
      <c r="F654" s="365"/>
      <c r="G654" s="46"/>
      <c r="H654" s="42"/>
      <c r="I654" s="230"/>
      <c r="J654" s="41"/>
      <c r="K654" s="227"/>
      <c r="L654" s="156"/>
      <c r="M654" s="152"/>
      <c r="N654" s="291"/>
      <c r="O654" s="42"/>
      <c r="P654" s="227"/>
      <c r="Q654" s="117"/>
      <c r="R654" s="210"/>
      <c r="S654" s="232"/>
      <c r="T654" s="270"/>
      <c r="V654" s="101"/>
    </row>
    <row r="655" spans="2:22" s="28" customFormat="1" x14ac:dyDescent="0.25">
      <c r="B655" s="25"/>
      <c r="D655" s="77"/>
      <c r="E655" s="42"/>
      <c r="F655" s="365"/>
      <c r="G655" s="46"/>
      <c r="H655" s="42"/>
      <c r="I655" s="230"/>
      <c r="J655" s="41"/>
      <c r="K655" s="227"/>
      <c r="L655" s="156"/>
      <c r="M655" s="152"/>
      <c r="N655" s="291"/>
      <c r="O655" s="42"/>
      <c r="P655" s="227"/>
      <c r="Q655" s="117"/>
      <c r="R655" s="210"/>
      <c r="S655" s="232"/>
      <c r="T655" s="270"/>
      <c r="V655" s="101"/>
    </row>
    <row r="656" spans="2:22" s="28" customFormat="1" x14ac:dyDescent="0.25">
      <c r="B656" s="25"/>
      <c r="D656" s="77"/>
      <c r="E656" s="42"/>
      <c r="F656" s="365"/>
      <c r="G656" s="46"/>
      <c r="H656" s="42"/>
      <c r="I656" s="230"/>
      <c r="J656" s="41"/>
      <c r="K656" s="227"/>
      <c r="L656" s="156"/>
      <c r="M656" s="152"/>
      <c r="N656" s="291"/>
      <c r="O656" s="42"/>
      <c r="P656" s="227"/>
      <c r="Q656" s="117"/>
      <c r="R656" s="210"/>
      <c r="S656" s="232"/>
      <c r="T656" s="270"/>
      <c r="V656" s="101"/>
    </row>
    <row r="657" spans="2:22" s="28" customFormat="1" x14ac:dyDescent="0.25">
      <c r="B657" s="25"/>
      <c r="D657" s="77"/>
      <c r="E657" s="42"/>
      <c r="F657" s="365"/>
      <c r="G657" s="46"/>
      <c r="H657" s="42"/>
      <c r="I657" s="230"/>
      <c r="J657" s="41"/>
      <c r="K657" s="227"/>
      <c r="L657" s="156"/>
      <c r="M657" s="152"/>
      <c r="N657" s="291"/>
      <c r="O657" s="42"/>
      <c r="P657" s="227"/>
      <c r="Q657" s="117"/>
      <c r="R657" s="210"/>
      <c r="S657" s="232"/>
      <c r="T657" s="270"/>
      <c r="V657" s="101"/>
    </row>
    <row r="658" spans="2:22" s="28" customFormat="1" x14ac:dyDescent="0.25">
      <c r="B658" s="25"/>
      <c r="D658" s="77"/>
      <c r="E658" s="42"/>
      <c r="F658" s="365"/>
      <c r="G658" s="46"/>
      <c r="H658" s="42"/>
      <c r="I658" s="230"/>
      <c r="J658" s="41"/>
      <c r="K658" s="227"/>
      <c r="L658" s="156"/>
      <c r="M658" s="152"/>
      <c r="N658" s="291"/>
      <c r="O658" s="42"/>
      <c r="P658" s="227"/>
      <c r="Q658" s="117"/>
      <c r="R658" s="210"/>
      <c r="S658" s="232"/>
      <c r="T658" s="270"/>
      <c r="V658" s="101"/>
    </row>
    <row r="659" spans="2:22" s="28" customFormat="1" x14ac:dyDescent="0.25">
      <c r="B659" s="25"/>
      <c r="D659" s="77"/>
      <c r="E659" s="42"/>
      <c r="F659" s="365"/>
      <c r="G659" s="46"/>
      <c r="H659" s="42"/>
      <c r="I659" s="230"/>
      <c r="J659" s="41"/>
      <c r="K659" s="227"/>
      <c r="L659" s="156"/>
      <c r="M659" s="152"/>
      <c r="N659" s="291"/>
      <c r="O659" s="42"/>
      <c r="P659" s="227"/>
      <c r="Q659" s="117"/>
      <c r="R659" s="210"/>
      <c r="S659" s="232"/>
      <c r="T659" s="270"/>
      <c r="V659" s="101"/>
    </row>
    <row r="660" spans="2:22" s="28" customFormat="1" x14ac:dyDescent="0.25">
      <c r="B660" s="25"/>
      <c r="D660" s="77"/>
      <c r="E660" s="42"/>
      <c r="F660" s="365"/>
      <c r="G660" s="46"/>
      <c r="H660" s="42"/>
      <c r="I660" s="230"/>
      <c r="J660" s="41"/>
      <c r="K660" s="227"/>
      <c r="L660" s="156"/>
      <c r="M660" s="152"/>
      <c r="N660" s="291"/>
      <c r="O660" s="42"/>
      <c r="P660" s="227"/>
      <c r="Q660" s="117"/>
      <c r="R660" s="210"/>
      <c r="S660" s="232"/>
      <c r="T660" s="270"/>
      <c r="V660" s="101"/>
    </row>
    <row r="661" spans="2:22" s="28" customFormat="1" x14ac:dyDescent="0.25">
      <c r="B661" s="25"/>
      <c r="D661" s="77"/>
      <c r="E661" s="42"/>
      <c r="F661" s="365"/>
      <c r="G661" s="46"/>
      <c r="H661" s="42"/>
      <c r="I661" s="230"/>
      <c r="J661" s="41"/>
      <c r="K661" s="227"/>
      <c r="L661" s="156"/>
      <c r="M661" s="152"/>
      <c r="N661" s="291"/>
      <c r="O661" s="42"/>
      <c r="P661" s="227"/>
      <c r="Q661" s="117"/>
      <c r="R661" s="210"/>
      <c r="S661" s="232"/>
      <c r="T661" s="270"/>
      <c r="V661" s="101"/>
    </row>
    <row r="662" spans="2:22" s="28" customFormat="1" x14ac:dyDescent="0.25">
      <c r="B662" s="25"/>
      <c r="D662" s="77"/>
      <c r="E662" s="42"/>
      <c r="F662" s="365"/>
      <c r="G662" s="46"/>
      <c r="H662" s="42"/>
      <c r="I662" s="230"/>
      <c r="J662" s="41"/>
      <c r="K662" s="227"/>
      <c r="L662" s="156"/>
      <c r="M662" s="152"/>
      <c r="N662" s="291"/>
      <c r="O662" s="42"/>
      <c r="P662" s="227"/>
      <c r="Q662" s="117"/>
      <c r="R662" s="210"/>
      <c r="S662" s="232"/>
      <c r="T662" s="270"/>
      <c r="V662" s="101"/>
    </row>
    <row r="663" spans="2:22" s="28" customFormat="1" x14ac:dyDescent="0.25">
      <c r="B663" s="25"/>
      <c r="D663" s="77"/>
      <c r="E663" s="42"/>
      <c r="F663" s="365"/>
      <c r="G663" s="46"/>
      <c r="H663" s="42"/>
      <c r="I663" s="230"/>
      <c r="J663" s="41"/>
      <c r="K663" s="227"/>
      <c r="L663" s="156"/>
      <c r="M663" s="152"/>
      <c r="N663" s="291"/>
      <c r="O663" s="42"/>
      <c r="P663" s="227"/>
      <c r="Q663" s="117"/>
      <c r="R663" s="210"/>
      <c r="S663" s="232"/>
      <c r="T663" s="270"/>
      <c r="V663" s="101"/>
    </row>
    <row r="664" spans="2:22" s="28" customFormat="1" x14ac:dyDescent="0.25">
      <c r="B664" s="25"/>
      <c r="D664" s="77"/>
      <c r="E664" s="42"/>
      <c r="F664" s="365"/>
      <c r="G664" s="46"/>
      <c r="H664" s="42"/>
      <c r="I664" s="230"/>
      <c r="J664" s="41"/>
      <c r="K664" s="227"/>
      <c r="L664" s="156"/>
      <c r="M664" s="152"/>
      <c r="N664" s="291"/>
      <c r="O664" s="42"/>
      <c r="P664" s="227"/>
      <c r="Q664" s="117"/>
      <c r="R664" s="210"/>
      <c r="S664" s="232"/>
      <c r="T664" s="270"/>
      <c r="V664" s="101"/>
    </row>
    <row r="665" spans="2:22" s="28" customFormat="1" x14ac:dyDescent="0.25">
      <c r="B665" s="25"/>
      <c r="D665" s="77"/>
      <c r="E665" s="42"/>
      <c r="F665" s="365"/>
      <c r="G665" s="46"/>
      <c r="H665" s="42"/>
      <c r="I665" s="230"/>
      <c r="J665" s="41"/>
      <c r="K665" s="227"/>
      <c r="L665" s="156"/>
      <c r="M665" s="152"/>
      <c r="N665" s="291"/>
      <c r="O665" s="42"/>
      <c r="P665" s="227"/>
      <c r="Q665" s="117"/>
      <c r="R665" s="210"/>
      <c r="S665" s="232"/>
      <c r="T665" s="270"/>
      <c r="V665" s="101"/>
    </row>
    <row r="666" spans="2:22" s="28" customFormat="1" x14ac:dyDescent="0.25">
      <c r="B666" s="25"/>
      <c r="D666" s="77"/>
      <c r="E666" s="42"/>
      <c r="F666" s="365"/>
      <c r="G666" s="46"/>
      <c r="H666" s="42"/>
      <c r="I666" s="230"/>
      <c r="J666" s="41"/>
      <c r="K666" s="227"/>
      <c r="L666" s="156"/>
      <c r="M666" s="152"/>
      <c r="N666" s="291"/>
      <c r="O666" s="42"/>
      <c r="P666" s="227"/>
      <c r="Q666" s="117"/>
      <c r="R666" s="210"/>
      <c r="S666" s="232"/>
      <c r="T666" s="270"/>
      <c r="V666" s="101"/>
    </row>
    <row r="667" spans="2:22" s="28" customFormat="1" x14ac:dyDescent="0.25">
      <c r="B667" s="25"/>
      <c r="D667" s="77"/>
      <c r="E667" s="42"/>
      <c r="F667" s="365"/>
      <c r="G667" s="46"/>
      <c r="H667" s="42"/>
      <c r="I667" s="230"/>
      <c r="J667" s="41"/>
      <c r="K667" s="227"/>
      <c r="L667" s="156"/>
      <c r="M667" s="152"/>
      <c r="N667" s="291"/>
      <c r="O667" s="42"/>
      <c r="P667" s="227"/>
      <c r="Q667" s="117"/>
      <c r="R667" s="210"/>
      <c r="S667" s="232"/>
      <c r="T667" s="270"/>
      <c r="V667" s="101"/>
    </row>
    <row r="668" spans="2:22" s="28" customFormat="1" x14ac:dyDescent="0.25">
      <c r="B668" s="25"/>
      <c r="D668" s="77"/>
      <c r="E668" s="42"/>
      <c r="F668" s="365"/>
      <c r="G668" s="46"/>
      <c r="H668" s="42"/>
      <c r="I668" s="230"/>
      <c r="J668" s="41"/>
      <c r="K668" s="227"/>
      <c r="L668" s="156"/>
      <c r="M668" s="152"/>
      <c r="N668" s="291"/>
      <c r="O668" s="42"/>
      <c r="P668" s="227"/>
      <c r="Q668" s="117"/>
      <c r="R668" s="210"/>
      <c r="S668" s="232"/>
      <c r="T668" s="270"/>
      <c r="V668" s="101"/>
    </row>
    <row r="669" spans="2:22" s="28" customFormat="1" x14ac:dyDescent="0.25">
      <c r="B669" s="25"/>
      <c r="D669" s="77"/>
      <c r="E669" s="42"/>
      <c r="F669" s="365"/>
      <c r="G669" s="46"/>
      <c r="H669" s="42"/>
      <c r="I669" s="230"/>
      <c r="J669" s="41"/>
      <c r="K669" s="227"/>
      <c r="L669" s="156"/>
      <c r="M669" s="152"/>
      <c r="N669" s="291"/>
      <c r="O669" s="42"/>
      <c r="P669" s="227"/>
      <c r="Q669" s="117"/>
      <c r="R669" s="210"/>
      <c r="S669" s="232"/>
      <c r="T669" s="270"/>
      <c r="V669" s="101"/>
    </row>
    <row r="670" spans="2:22" s="28" customFormat="1" x14ac:dyDescent="0.25">
      <c r="B670" s="25"/>
      <c r="D670" s="77"/>
      <c r="E670" s="42"/>
      <c r="F670" s="365"/>
      <c r="G670" s="46"/>
      <c r="H670" s="42"/>
      <c r="I670" s="230"/>
      <c r="J670" s="41"/>
      <c r="K670" s="227"/>
      <c r="L670" s="156"/>
      <c r="M670" s="152"/>
      <c r="N670" s="291"/>
      <c r="O670" s="42"/>
      <c r="P670" s="227"/>
      <c r="Q670" s="117"/>
      <c r="R670" s="210"/>
      <c r="S670" s="232"/>
      <c r="T670" s="270"/>
      <c r="V670" s="101"/>
    </row>
    <row r="671" spans="2:22" s="28" customFormat="1" x14ac:dyDescent="0.25">
      <c r="B671" s="25"/>
      <c r="D671" s="77"/>
      <c r="E671" s="42"/>
      <c r="F671" s="365"/>
      <c r="G671" s="46"/>
      <c r="H671" s="42"/>
      <c r="I671" s="230"/>
      <c r="J671" s="41"/>
      <c r="K671" s="227"/>
      <c r="L671" s="156"/>
      <c r="M671" s="152"/>
      <c r="N671" s="291"/>
      <c r="O671" s="42"/>
      <c r="P671" s="227"/>
      <c r="Q671" s="117"/>
      <c r="R671" s="210"/>
      <c r="S671" s="232"/>
      <c r="T671" s="270"/>
      <c r="V671" s="101"/>
    </row>
    <row r="672" spans="2:22" s="28" customFormat="1" x14ac:dyDescent="0.25">
      <c r="B672" s="25"/>
      <c r="D672" s="77"/>
      <c r="E672" s="42"/>
      <c r="F672" s="365"/>
      <c r="G672" s="46"/>
      <c r="H672" s="42"/>
      <c r="I672" s="230"/>
      <c r="J672" s="41"/>
      <c r="K672" s="227"/>
      <c r="L672" s="156"/>
      <c r="M672" s="152"/>
      <c r="N672" s="291"/>
      <c r="O672" s="42"/>
      <c r="P672" s="227"/>
      <c r="Q672" s="117"/>
      <c r="R672" s="210"/>
      <c r="S672" s="232"/>
      <c r="T672" s="270"/>
      <c r="V672" s="101"/>
    </row>
    <row r="673" spans="2:22" s="28" customFormat="1" x14ac:dyDescent="0.25">
      <c r="B673" s="25"/>
      <c r="D673" s="77"/>
      <c r="E673" s="42"/>
      <c r="F673" s="365"/>
      <c r="G673" s="46"/>
      <c r="H673" s="42"/>
      <c r="I673" s="230"/>
      <c r="J673" s="41"/>
      <c r="K673" s="227"/>
      <c r="L673" s="156"/>
      <c r="M673" s="152"/>
      <c r="N673" s="291"/>
      <c r="O673" s="42"/>
      <c r="P673" s="227"/>
      <c r="Q673" s="117"/>
      <c r="R673" s="210"/>
      <c r="S673" s="232"/>
      <c r="T673" s="270"/>
      <c r="V673" s="101"/>
    </row>
    <row r="674" spans="2:22" s="28" customFormat="1" x14ac:dyDescent="0.25">
      <c r="B674" s="25"/>
      <c r="D674" s="77"/>
      <c r="E674" s="42"/>
      <c r="F674" s="365"/>
      <c r="G674" s="46"/>
      <c r="H674" s="42"/>
      <c r="I674" s="230"/>
      <c r="J674" s="41"/>
      <c r="K674" s="227"/>
      <c r="L674" s="156"/>
      <c r="M674" s="152"/>
      <c r="N674" s="291"/>
      <c r="O674" s="42"/>
      <c r="P674" s="227"/>
      <c r="Q674" s="117"/>
      <c r="R674" s="210"/>
      <c r="S674" s="232"/>
      <c r="T674" s="270"/>
      <c r="V674" s="101"/>
    </row>
    <row r="675" spans="2:22" s="28" customFormat="1" x14ac:dyDescent="0.25">
      <c r="B675" s="25"/>
      <c r="D675" s="77"/>
      <c r="E675" s="42"/>
      <c r="F675" s="365"/>
      <c r="G675" s="46"/>
      <c r="H675" s="42"/>
      <c r="I675" s="230"/>
      <c r="J675" s="41"/>
      <c r="K675" s="227"/>
      <c r="L675" s="156"/>
      <c r="M675" s="152"/>
      <c r="N675" s="291"/>
      <c r="O675" s="42"/>
      <c r="P675" s="227"/>
      <c r="Q675" s="117"/>
      <c r="R675" s="210"/>
      <c r="S675" s="232"/>
      <c r="T675" s="270"/>
      <c r="V675" s="101"/>
    </row>
    <row r="676" spans="2:22" s="28" customFormat="1" x14ac:dyDescent="0.25">
      <c r="B676" s="25"/>
      <c r="D676" s="77"/>
      <c r="E676" s="42"/>
      <c r="F676" s="365"/>
      <c r="G676" s="46"/>
      <c r="H676" s="42"/>
      <c r="I676" s="230"/>
      <c r="J676" s="41"/>
      <c r="K676" s="227"/>
      <c r="L676" s="156"/>
      <c r="M676" s="152"/>
      <c r="N676" s="291"/>
      <c r="O676" s="42"/>
      <c r="P676" s="227"/>
      <c r="Q676" s="117"/>
      <c r="R676" s="210"/>
      <c r="S676" s="232"/>
      <c r="T676" s="270"/>
      <c r="V676" s="101"/>
    </row>
    <row r="677" spans="2:22" s="28" customFormat="1" x14ac:dyDescent="0.25">
      <c r="B677" s="25"/>
      <c r="D677" s="77"/>
      <c r="E677" s="42"/>
      <c r="F677" s="365"/>
      <c r="G677" s="46"/>
      <c r="H677" s="42"/>
      <c r="I677" s="230"/>
      <c r="J677" s="41"/>
      <c r="K677" s="227"/>
      <c r="L677" s="156"/>
      <c r="M677" s="152"/>
      <c r="N677" s="291"/>
      <c r="O677" s="42"/>
      <c r="P677" s="227"/>
      <c r="Q677" s="117"/>
      <c r="R677" s="210"/>
      <c r="S677" s="232"/>
      <c r="T677" s="270"/>
      <c r="V677" s="101"/>
    </row>
    <row r="678" spans="2:22" s="28" customFormat="1" x14ac:dyDescent="0.25">
      <c r="B678" s="25"/>
      <c r="D678" s="77"/>
      <c r="E678" s="42"/>
      <c r="F678" s="365"/>
      <c r="G678" s="46"/>
      <c r="H678" s="42"/>
      <c r="I678" s="230"/>
      <c r="J678" s="41"/>
      <c r="K678" s="227"/>
      <c r="L678" s="156"/>
      <c r="M678" s="152"/>
      <c r="N678" s="291"/>
      <c r="O678" s="42"/>
      <c r="P678" s="227"/>
      <c r="Q678" s="117"/>
      <c r="R678" s="210"/>
      <c r="S678" s="232"/>
      <c r="T678" s="270"/>
      <c r="V678" s="101"/>
    </row>
    <row r="679" spans="2:22" s="28" customFormat="1" x14ac:dyDescent="0.25">
      <c r="B679" s="25"/>
      <c r="D679" s="77"/>
      <c r="E679" s="42"/>
      <c r="F679" s="365"/>
      <c r="G679" s="46"/>
      <c r="H679" s="42"/>
      <c r="I679" s="230"/>
      <c r="J679" s="41"/>
      <c r="K679" s="227"/>
      <c r="L679" s="156"/>
      <c r="M679" s="152"/>
      <c r="N679" s="291"/>
      <c r="O679" s="42"/>
      <c r="P679" s="227"/>
      <c r="Q679" s="117"/>
      <c r="R679" s="210"/>
      <c r="S679" s="232"/>
      <c r="T679" s="270"/>
      <c r="V679" s="101"/>
    </row>
    <row r="680" spans="2:22" s="28" customFormat="1" x14ac:dyDescent="0.25">
      <c r="B680" s="25"/>
      <c r="D680" s="77"/>
      <c r="E680" s="42"/>
      <c r="F680" s="365"/>
      <c r="G680" s="46"/>
      <c r="H680" s="42"/>
      <c r="I680" s="230"/>
      <c r="J680" s="41"/>
      <c r="K680" s="227"/>
      <c r="L680" s="156"/>
      <c r="M680" s="152"/>
      <c r="N680" s="291"/>
      <c r="O680" s="42"/>
      <c r="P680" s="227"/>
      <c r="Q680" s="117"/>
      <c r="R680" s="210"/>
      <c r="S680" s="232"/>
      <c r="T680" s="270"/>
      <c r="V680" s="101"/>
    </row>
    <row r="681" spans="2:22" s="28" customFormat="1" x14ac:dyDescent="0.25">
      <c r="B681" s="25"/>
      <c r="D681" s="77"/>
      <c r="E681" s="42"/>
      <c r="F681" s="365"/>
      <c r="G681" s="46"/>
      <c r="H681" s="42"/>
      <c r="I681" s="230"/>
      <c r="J681" s="41"/>
      <c r="K681" s="227"/>
      <c r="L681" s="156"/>
      <c r="M681" s="152"/>
      <c r="N681" s="291"/>
      <c r="O681" s="42"/>
      <c r="P681" s="227"/>
      <c r="Q681" s="117"/>
      <c r="R681" s="210"/>
      <c r="S681" s="232"/>
      <c r="T681" s="270"/>
      <c r="V681" s="101"/>
    </row>
    <row r="682" spans="2:22" s="28" customFormat="1" x14ac:dyDescent="0.25">
      <c r="B682" s="25"/>
      <c r="D682" s="77"/>
      <c r="E682" s="42"/>
      <c r="F682" s="365"/>
      <c r="G682" s="46"/>
      <c r="H682" s="42"/>
      <c r="I682" s="230"/>
      <c r="J682" s="41"/>
      <c r="K682" s="227"/>
      <c r="L682" s="156"/>
      <c r="M682" s="152"/>
      <c r="N682" s="291"/>
      <c r="O682" s="42"/>
      <c r="P682" s="227"/>
      <c r="Q682" s="117"/>
      <c r="R682" s="210"/>
      <c r="S682" s="232"/>
      <c r="T682" s="270"/>
      <c r="V682" s="101"/>
    </row>
    <row r="683" spans="2:22" s="28" customFormat="1" x14ac:dyDescent="0.25">
      <c r="B683" s="25"/>
      <c r="D683" s="77"/>
      <c r="E683" s="42"/>
      <c r="F683" s="365"/>
      <c r="G683" s="46"/>
      <c r="H683" s="42"/>
      <c r="I683" s="230"/>
      <c r="J683" s="41"/>
      <c r="K683" s="227"/>
      <c r="L683" s="156"/>
      <c r="M683" s="152"/>
      <c r="N683" s="291"/>
      <c r="O683" s="42"/>
      <c r="P683" s="227"/>
      <c r="Q683" s="117"/>
      <c r="R683" s="210"/>
      <c r="S683" s="232"/>
      <c r="T683" s="270"/>
      <c r="V683" s="101"/>
    </row>
    <row r="684" spans="2:22" s="28" customFormat="1" x14ac:dyDescent="0.25">
      <c r="B684" s="25"/>
      <c r="D684" s="77"/>
      <c r="E684" s="42"/>
      <c r="F684" s="365"/>
      <c r="G684" s="46"/>
      <c r="H684" s="42"/>
      <c r="I684" s="230"/>
      <c r="J684" s="41"/>
      <c r="K684" s="227"/>
      <c r="L684" s="156"/>
      <c r="M684" s="152"/>
      <c r="N684" s="291"/>
      <c r="O684" s="42"/>
      <c r="P684" s="227"/>
      <c r="Q684" s="117"/>
      <c r="R684" s="210"/>
      <c r="S684" s="232"/>
      <c r="T684" s="270"/>
      <c r="V684" s="101"/>
    </row>
    <row r="685" spans="2:22" s="28" customFormat="1" x14ac:dyDescent="0.25">
      <c r="B685" s="25"/>
      <c r="D685" s="77"/>
      <c r="E685" s="42"/>
      <c r="F685" s="365"/>
      <c r="G685" s="46"/>
      <c r="H685" s="42"/>
      <c r="I685" s="230"/>
      <c r="J685" s="41"/>
      <c r="K685" s="227"/>
      <c r="L685" s="156"/>
      <c r="M685" s="152"/>
      <c r="N685" s="291"/>
      <c r="O685" s="42"/>
      <c r="P685" s="227"/>
      <c r="Q685" s="117"/>
      <c r="R685" s="210"/>
      <c r="S685" s="232"/>
      <c r="T685" s="270"/>
      <c r="V685" s="101"/>
    </row>
    <row r="686" spans="2:22" s="28" customFormat="1" x14ac:dyDescent="0.25">
      <c r="B686" s="25"/>
      <c r="D686" s="77"/>
      <c r="E686" s="42"/>
      <c r="F686" s="365"/>
      <c r="G686" s="46"/>
      <c r="H686" s="42"/>
      <c r="I686" s="230"/>
      <c r="J686" s="41"/>
      <c r="K686" s="227"/>
      <c r="L686" s="156"/>
      <c r="M686" s="152"/>
      <c r="N686" s="291"/>
      <c r="O686" s="42"/>
      <c r="P686" s="227"/>
      <c r="Q686" s="117"/>
      <c r="R686" s="210"/>
      <c r="S686" s="232"/>
      <c r="T686" s="270"/>
      <c r="V686" s="101"/>
    </row>
    <row r="687" spans="2:22" s="28" customFormat="1" x14ac:dyDescent="0.25">
      <c r="B687" s="25"/>
      <c r="D687" s="77"/>
      <c r="E687" s="42"/>
      <c r="F687" s="365"/>
      <c r="G687" s="46"/>
      <c r="H687" s="42"/>
      <c r="I687" s="230"/>
      <c r="J687" s="41"/>
      <c r="K687" s="227"/>
      <c r="L687" s="156"/>
      <c r="M687" s="152"/>
      <c r="N687" s="291"/>
      <c r="O687" s="42"/>
      <c r="P687" s="227"/>
      <c r="Q687" s="117"/>
      <c r="R687" s="210"/>
      <c r="S687" s="232"/>
      <c r="T687" s="270"/>
      <c r="V687" s="101"/>
    </row>
    <row r="688" spans="2:22" s="28" customFormat="1" x14ac:dyDescent="0.25">
      <c r="B688" s="25"/>
      <c r="D688" s="77"/>
      <c r="E688" s="42"/>
      <c r="F688" s="365"/>
      <c r="G688" s="46"/>
      <c r="H688" s="42"/>
      <c r="I688" s="230"/>
      <c r="J688" s="41"/>
      <c r="K688" s="227"/>
      <c r="L688" s="156"/>
      <c r="M688" s="152"/>
      <c r="N688" s="291"/>
      <c r="O688" s="42"/>
      <c r="P688" s="227"/>
      <c r="Q688" s="117"/>
      <c r="R688" s="210"/>
      <c r="S688" s="232"/>
      <c r="T688" s="270"/>
      <c r="V688" s="101"/>
    </row>
    <row r="689" spans="2:22" s="28" customFormat="1" x14ac:dyDescent="0.25">
      <c r="B689" s="25"/>
      <c r="D689" s="77"/>
      <c r="E689" s="42"/>
      <c r="F689" s="365"/>
      <c r="G689" s="46"/>
      <c r="H689" s="42"/>
      <c r="I689" s="230"/>
      <c r="J689" s="41"/>
      <c r="K689" s="227"/>
      <c r="L689" s="156"/>
      <c r="M689" s="152"/>
      <c r="N689" s="291"/>
      <c r="O689" s="42"/>
      <c r="P689" s="227"/>
      <c r="Q689" s="117"/>
      <c r="R689" s="210"/>
      <c r="S689" s="232"/>
      <c r="T689" s="270"/>
      <c r="V689" s="101"/>
    </row>
    <row r="690" spans="2:22" s="28" customFormat="1" x14ac:dyDescent="0.25">
      <c r="B690" s="25"/>
      <c r="D690" s="77"/>
      <c r="E690" s="42"/>
      <c r="F690" s="365"/>
      <c r="G690" s="46"/>
      <c r="H690" s="42"/>
      <c r="I690" s="230"/>
      <c r="J690" s="41"/>
      <c r="K690" s="227"/>
      <c r="L690" s="156"/>
      <c r="M690" s="152"/>
      <c r="N690" s="291"/>
      <c r="O690" s="42"/>
      <c r="P690" s="227"/>
      <c r="Q690" s="117"/>
      <c r="R690" s="210"/>
      <c r="S690" s="232"/>
      <c r="T690" s="270"/>
      <c r="V690" s="101"/>
    </row>
    <row r="691" spans="2:22" s="28" customFormat="1" x14ac:dyDescent="0.25">
      <c r="B691" s="25"/>
      <c r="D691" s="77"/>
      <c r="E691" s="42"/>
      <c r="F691" s="365"/>
      <c r="G691" s="46"/>
      <c r="H691" s="42"/>
      <c r="I691" s="230"/>
      <c r="J691" s="41"/>
      <c r="K691" s="227"/>
      <c r="L691" s="156"/>
      <c r="M691" s="152"/>
      <c r="N691" s="291"/>
      <c r="O691" s="42"/>
      <c r="P691" s="227"/>
      <c r="Q691" s="117"/>
      <c r="R691" s="210"/>
      <c r="S691" s="232"/>
      <c r="T691" s="270"/>
      <c r="V691" s="101"/>
    </row>
    <row r="692" spans="2:22" s="28" customFormat="1" x14ac:dyDescent="0.25">
      <c r="B692" s="25"/>
      <c r="D692" s="77"/>
      <c r="E692" s="42"/>
      <c r="F692" s="365"/>
      <c r="G692" s="46"/>
      <c r="H692" s="42"/>
      <c r="I692" s="230"/>
      <c r="J692" s="41"/>
      <c r="K692" s="227"/>
      <c r="L692" s="156"/>
      <c r="M692" s="152"/>
      <c r="N692" s="291"/>
      <c r="O692" s="42"/>
      <c r="P692" s="227"/>
      <c r="Q692" s="117"/>
      <c r="R692" s="210"/>
      <c r="S692" s="232"/>
      <c r="T692" s="270"/>
      <c r="V692" s="101"/>
    </row>
    <row r="693" spans="2:22" s="28" customFormat="1" x14ac:dyDescent="0.25">
      <c r="B693" s="25"/>
      <c r="D693" s="77"/>
      <c r="E693" s="42"/>
      <c r="F693" s="365"/>
      <c r="G693" s="46"/>
      <c r="H693" s="42"/>
      <c r="I693" s="230"/>
      <c r="J693" s="41"/>
      <c r="K693" s="227"/>
      <c r="L693" s="156"/>
      <c r="M693" s="152"/>
      <c r="N693" s="291"/>
      <c r="O693" s="42"/>
      <c r="P693" s="227"/>
      <c r="Q693" s="117"/>
      <c r="R693" s="210"/>
      <c r="S693" s="232"/>
      <c r="T693" s="270"/>
      <c r="V693" s="101"/>
    </row>
    <row r="694" spans="2:22" s="28" customFormat="1" x14ac:dyDescent="0.25">
      <c r="B694" s="25"/>
      <c r="D694" s="77"/>
      <c r="E694" s="42"/>
      <c r="F694" s="365"/>
      <c r="G694" s="46"/>
      <c r="H694" s="42"/>
      <c r="I694" s="230"/>
      <c r="J694" s="41"/>
      <c r="K694" s="227"/>
      <c r="L694" s="156"/>
      <c r="M694" s="152"/>
      <c r="N694" s="291"/>
      <c r="O694" s="42"/>
      <c r="P694" s="227"/>
      <c r="Q694" s="117"/>
      <c r="R694" s="210"/>
      <c r="S694" s="232"/>
      <c r="T694" s="270"/>
      <c r="V694" s="101"/>
    </row>
    <row r="695" spans="2:22" s="28" customFormat="1" x14ac:dyDescent="0.25">
      <c r="B695" s="25"/>
      <c r="D695" s="77"/>
      <c r="E695" s="42"/>
      <c r="F695" s="365"/>
      <c r="G695" s="46"/>
      <c r="H695" s="42"/>
      <c r="I695" s="230"/>
      <c r="J695" s="41"/>
      <c r="K695" s="227"/>
      <c r="L695" s="156"/>
      <c r="M695" s="152"/>
      <c r="N695" s="291"/>
      <c r="O695" s="42"/>
      <c r="P695" s="227"/>
      <c r="Q695" s="117"/>
      <c r="R695" s="210"/>
      <c r="S695" s="232"/>
      <c r="T695" s="270"/>
      <c r="V695" s="101"/>
    </row>
    <row r="696" spans="2:22" s="28" customFormat="1" x14ac:dyDescent="0.25">
      <c r="B696" s="25"/>
      <c r="D696" s="77"/>
      <c r="E696" s="42"/>
      <c r="F696" s="365"/>
      <c r="G696" s="46"/>
      <c r="H696" s="42"/>
      <c r="I696" s="230"/>
      <c r="J696" s="41"/>
      <c r="K696" s="227"/>
      <c r="L696" s="156"/>
      <c r="M696" s="152"/>
      <c r="N696" s="291"/>
      <c r="O696" s="42"/>
      <c r="P696" s="227"/>
      <c r="Q696" s="117"/>
      <c r="R696" s="210"/>
      <c r="S696" s="232"/>
      <c r="T696" s="270"/>
      <c r="V696" s="101"/>
    </row>
    <row r="697" spans="2:22" s="28" customFormat="1" x14ac:dyDescent="0.25">
      <c r="B697" s="25"/>
      <c r="D697" s="77"/>
      <c r="E697" s="42"/>
      <c r="F697" s="365"/>
      <c r="G697" s="46"/>
      <c r="H697" s="42"/>
      <c r="I697" s="230"/>
      <c r="J697" s="41"/>
      <c r="K697" s="227"/>
      <c r="L697" s="156"/>
      <c r="M697" s="152"/>
      <c r="N697" s="291"/>
      <c r="O697" s="42"/>
      <c r="P697" s="227"/>
      <c r="Q697" s="117"/>
      <c r="R697" s="210"/>
      <c r="S697" s="232"/>
      <c r="T697" s="270"/>
      <c r="V697" s="101"/>
    </row>
    <row r="698" spans="2:22" s="28" customFormat="1" x14ac:dyDescent="0.25">
      <c r="B698" s="25"/>
      <c r="D698" s="77"/>
      <c r="E698" s="42"/>
      <c r="F698" s="365"/>
      <c r="G698" s="46"/>
      <c r="H698" s="42"/>
      <c r="I698" s="230"/>
      <c r="J698" s="41"/>
      <c r="K698" s="227"/>
      <c r="L698" s="156"/>
      <c r="M698" s="152"/>
      <c r="N698" s="291"/>
      <c r="O698" s="42"/>
      <c r="P698" s="227"/>
      <c r="Q698" s="117"/>
      <c r="R698" s="210"/>
      <c r="S698" s="232"/>
      <c r="T698" s="270"/>
      <c r="V698" s="101"/>
    </row>
    <row r="699" spans="2:22" s="28" customFormat="1" x14ac:dyDescent="0.25">
      <c r="B699" s="25"/>
      <c r="D699" s="77"/>
      <c r="E699" s="42"/>
      <c r="F699" s="365"/>
      <c r="G699" s="46"/>
      <c r="H699" s="42"/>
      <c r="I699" s="230"/>
      <c r="J699" s="41"/>
      <c r="K699" s="227"/>
      <c r="L699" s="156"/>
      <c r="M699" s="152"/>
      <c r="N699" s="291"/>
      <c r="O699" s="42"/>
      <c r="P699" s="227"/>
      <c r="Q699" s="117"/>
      <c r="R699" s="210"/>
      <c r="S699" s="232"/>
      <c r="T699" s="270"/>
      <c r="V699" s="101"/>
    </row>
    <row r="700" spans="2:22" s="28" customFormat="1" x14ac:dyDescent="0.25">
      <c r="B700" s="25"/>
      <c r="D700" s="77"/>
      <c r="E700" s="42"/>
      <c r="F700" s="365"/>
      <c r="G700" s="46"/>
      <c r="H700" s="42"/>
      <c r="I700" s="230"/>
      <c r="J700" s="41"/>
      <c r="K700" s="227"/>
      <c r="L700" s="156"/>
      <c r="M700" s="152"/>
      <c r="N700" s="291"/>
      <c r="O700" s="42"/>
      <c r="P700" s="227"/>
      <c r="Q700" s="117"/>
      <c r="R700" s="210"/>
      <c r="S700" s="232"/>
      <c r="T700" s="270"/>
      <c r="V700" s="101"/>
    </row>
    <row r="701" spans="2:22" s="28" customFormat="1" x14ac:dyDescent="0.25">
      <c r="B701" s="25"/>
      <c r="D701" s="77"/>
      <c r="E701" s="42"/>
      <c r="F701" s="365"/>
      <c r="G701" s="46"/>
      <c r="H701" s="42"/>
      <c r="I701" s="230"/>
      <c r="J701" s="41"/>
      <c r="K701" s="227"/>
      <c r="L701" s="156"/>
      <c r="M701" s="152"/>
      <c r="N701" s="291"/>
      <c r="O701" s="42"/>
      <c r="P701" s="227"/>
      <c r="Q701" s="117"/>
      <c r="R701" s="210"/>
      <c r="S701" s="232"/>
      <c r="T701" s="270"/>
      <c r="V701" s="101"/>
    </row>
    <row r="702" spans="2:22" s="28" customFormat="1" x14ac:dyDescent="0.25">
      <c r="B702" s="25"/>
      <c r="D702" s="77"/>
      <c r="E702" s="42"/>
      <c r="F702" s="365"/>
      <c r="G702" s="46"/>
      <c r="H702" s="42"/>
      <c r="I702" s="230"/>
      <c r="J702" s="41"/>
      <c r="K702" s="227"/>
      <c r="L702" s="156"/>
      <c r="M702" s="152"/>
      <c r="N702" s="291"/>
      <c r="O702" s="42"/>
      <c r="P702" s="227"/>
      <c r="Q702" s="117"/>
      <c r="R702" s="210"/>
      <c r="S702" s="232"/>
      <c r="T702" s="270"/>
      <c r="V702" s="101"/>
    </row>
    <row r="703" spans="2:22" s="28" customFormat="1" x14ac:dyDescent="0.25">
      <c r="B703" s="25"/>
      <c r="D703" s="77"/>
      <c r="E703" s="42"/>
      <c r="F703" s="365"/>
      <c r="G703" s="46"/>
      <c r="H703" s="42"/>
      <c r="I703" s="230"/>
      <c r="J703" s="41"/>
      <c r="K703" s="227"/>
      <c r="L703" s="156"/>
      <c r="M703" s="152"/>
      <c r="N703" s="291"/>
      <c r="O703" s="42"/>
      <c r="P703" s="227"/>
      <c r="Q703" s="117"/>
      <c r="R703" s="210"/>
      <c r="S703" s="232"/>
      <c r="T703" s="270"/>
      <c r="V703" s="101"/>
    </row>
    <row r="704" spans="2:22" s="28" customFormat="1" x14ac:dyDescent="0.25">
      <c r="B704" s="25"/>
      <c r="D704" s="77"/>
      <c r="E704" s="42"/>
      <c r="F704" s="365"/>
      <c r="G704" s="46"/>
      <c r="H704" s="42"/>
      <c r="I704" s="230"/>
      <c r="J704" s="41"/>
      <c r="K704" s="227"/>
      <c r="L704" s="156"/>
      <c r="M704" s="152"/>
      <c r="N704" s="291"/>
      <c r="O704" s="42"/>
      <c r="P704" s="227"/>
      <c r="Q704" s="117"/>
      <c r="R704" s="210"/>
      <c r="S704" s="232"/>
      <c r="T704" s="270"/>
      <c r="V704" s="101"/>
    </row>
    <row r="705" spans="2:22" s="28" customFormat="1" x14ac:dyDescent="0.25">
      <c r="B705" s="25"/>
      <c r="D705" s="77"/>
      <c r="E705" s="42"/>
      <c r="F705" s="365"/>
      <c r="G705" s="46"/>
      <c r="H705" s="42"/>
      <c r="I705" s="230"/>
      <c r="J705" s="41"/>
      <c r="K705" s="227"/>
      <c r="L705" s="156"/>
      <c r="M705" s="152"/>
      <c r="N705" s="291"/>
      <c r="O705" s="42"/>
      <c r="P705" s="227"/>
      <c r="Q705" s="117"/>
      <c r="R705" s="210"/>
      <c r="S705" s="232"/>
      <c r="T705" s="270"/>
      <c r="V705" s="101"/>
    </row>
    <row r="706" spans="2:22" s="28" customFormat="1" x14ac:dyDescent="0.25">
      <c r="B706" s="25"/>
      <c r="D706" s="77"/>
      <c r="E706" s="42"/>
      <c r="F706" s="365"/>
      <c r="G706" s="46"/>
      <c r="H706" s="42"/>
      <c r="I706" s="230"/>
      <c r="J706" s="41"/>
      <c r="K706" s="227"/>
      <c r="L706" s="156"/>
      <c r="M706" s="152"/>
      <c r="N706" s="291"/>
      <c r="O706" s="42"/>
      <c r="P706" s="227"/>
      <c r="Q706" s="117"/>
      <c r="R706" s="210"/>
      <c r="S706" s="232"/>
      <c r="T706" s="270"/>
      <c r="V706" s="101"/>
    </row>
    <row r="707" spans="2:22" s="28" customFormat="1" x14ac:dyDescent="0.25">
      <c r="B707" s="25"/>
      <c r="D707" s="77"/>
      <c r="E707" s="42"/>
      <c r="F707" s="365"/>
      <c r="G707" s="46"/>
      <c r="H707" s="42"/>
      <c r="I707" s="230"/>
      <c r="J707" s="41"/>
      <c r="K707" s="227"/>
      <c r="L707" s="156"/>
      <c r="M707" s="152"/>
      <c r="N707" s="291"/>
      <c r="O707" s="42"/>
      <c r="P707" s="227"/>
      <c r="Q707" s="117"/>
      <c r="R707" s="210"/>
      <c r="S707" s="232"/>
      <c r="T707" s="270"/>
      <c r="V707" s="101"/>
    </row>
    <row r="708" spans="2:22" s="28" customFormat="1" x14ac:dyDescent="0.25">
      <c r="B708" s="25"/>
      <c r="D708" s="77"/>
      <c r="E708" s="42"/>
      <c r="F708" s="365"/>
      <c r="G708" s="46"/>
      <c r="H708" s="42"/>
      <c r="I708" s="230"/>
      <c r="J708" s="41"/>
      <c r="K708" s="227"/>
      <c r="L708" s="156"/>
      <c r="M708" s="152"/>
      <c r="N708" s="291"/>
      <c r="O708" s="42"/>
      <c r="P708" s="227"/>
      <c r="Q708" s="117"/>
      <c r="R708" s="210"/>
      <c r="S708" s="232"/>
      <c r="T708" s="270"/>
      <c r="V708" s="101"/>
    </row>
    <row r="709" spans="2:22" s="28" customFormat="1" x14ac:dyDescent="0.25">
      <c r="B709" s="25"/>
      <c r="D709" s="77"/>
      <c r="E709" s="42"/>
      <c r="F709" s="365"/>
      <c r="G709" s="46"/>
      <c r="H709" s="42"/>
      <c r="I709" s="230"/>
      <c r="J709" s="41"/>
      <c r="K709" s="227"/>
      <c r="L709" s="156"/>
      <c r="M709" s="152"/>
      <c r="N709" s="291"/>
      <c r="O709" s="42"/>
      <c r="P709" s="227"/>
      <c r="Q709" s="117"/>
      <c r="R709" s="210"/>
      <c r="S709" s="232"/>
      <c r="T709" s="270"/>
      <c r="V709" s="101"/>
    </row>
    <row r="710" spans="2:22" s="28" customFormat="1" x14ac:dyDescent="0.25">
      <c r="B710" s="25"/>
      <c r="D710" s="77"/>
      <c r="E710" s="42"/>
      <c r="F710" s="365"/>
      <c r="G710" s="46"/>
      <c r="H710" s="42"/>
      <c r="I710" s="230"/>
      <c r="J710" s="41"/>
      <c r="K710" s="227"/>
      <c r="L710" s="156"/>
      <c r="M710" s="152"/>
      <c r="N710" s="291"/>
      <c r="O710" s="42"/>
      <c r="P710" s="227"/>
      <c r="Q710" s="117"/>
      <c r="R710" s="210"/>
      <c r="S710" s="232"/>
      <c r="T710" s="270"/>
      <c r="V710" s="101"/>
    </row>
    <row r="711" spans="2:22" s="28" customFormat="1" x14ac:dyDescent="0.25">
      <c r="B711" s="25"/>
      <c r="D711" s="77"/>
      <c r="E711" s="42"/>
      <c r="F711" s="365"/>
      <c r="G711" s="46"/>
      <c r="H711" s="42"/>
      <c r="I711" s="230"/>
      <c r="J711" s="41"/>
      <c r="K711" s="227"/>
      <c r="L711" s="156"/>
      <c r="M711" s="152"/>
      <c r="N711" s="291"/>
      <c r="O711" s="42"/>
      <c r="P711" s="227"/>
      <c r="Q711" s="117"/>
      <c r="R711" s="210"/>
      <c r="S711" s="232"/>
      <c r="T711" s="270"/>
      <c r="V711" s="101"/>
    </row>
    <row r="712" spans="2:22" s="28" customFormat="1" x14ac:dyDescent="0.25">
      <c r="B712" s="25"/>
      <c r="D712" s="77"/>
      <c r="E712" s="42"/>
      <c r="F712" s="365"/>
      <c r="G712" s="46"/>
      <c r="H712" s="42"/>
      <c r="I712" s="230"/>
      <c r="J712" s="41"/>
      <c r="K712" s="227"/>
      <c r="L712" s="156"/>
      <c r="M712" s="152"/>
      <c r="N712" s="291"/>
      <c r="O712" s="42"/>
      <c r="P712" s="227"/>
      <c r="Q712" s="117"/>
      <c r="R712" s="210"/>
      <c r="S712" s="232"/>
      <c r="T712" s="270"/>
      <c r="V712" s="101"/>
    </row>
    <row r="713" spans="2:22" s="28" customFormat="1" x14ac:dyDescent="0.25">
      <c r="B713" s="25"/>
      <c r="D713" s="77"/>
      <c r="E713" s="42"/>
      <c r="F713" s="365"/>
      <c r="G713" s="46"/>
      <c r="H713" s="42"/>
      <c r="I713" s="230"/>
      <c r="J713" s="41"/>
      <c r="K713" s="227"/>
      <c r="L713" s="156"/>
      <c r="M713" s="152"/>
      <c r="N713" s="291"/>
      <c r="O713" s="42"/>
      <c r="P713" s="227"/>
      <c r="Q713" s="117"/>
      <c r="R713" s="210"/>
      <c r="S713" s="232"/>
      <c r="T713" s="270"/>
      <c r="V713" s="101"/>
    </row>
    <row r="714" spans="2:22" s="28" customFormat="1" x14ac:dyDescent="0.25">
      <c r="B714" s="25"/>
      <c r="D714" s="77"/>
      <c r="E714" s="42"/>
      <c r="F714" s="365"/>
      <c r="G714" s="46"/>
      <c r="H714" s="42"/>
      <c r="I714" s="230"/>
      <c r="J714" s="41"/>
      <c r="K714" s="227"/>
      <c r="L714" s="156"/>
      <c r="M714" s="152"/>
      <c r="N714" s="291"/>
      <c r="O714" s="42"/>
      <c r="P714" s="227"/>
      <c r="Q714" s="117"/>
      <c r="R714" s="210"/>
      <c r="S714" s="232"/>
      <c r="T714" s="270"/>
      <c r="V714" s="101"/>
    </row>
    <row r="715" spans="2:22" s="28" customFormat="1" x14ac:dyDescent="0.25">
      <c r="B715" s="25"/>
      <c r="D715" s="77"/>
      <c r="E715" s="42"/>
      <c r="F715" s="365"/>
      <c r="G715" s="46"/>
      <c r="H715" s="42"/>
      <c r="I715" s="230"/>
      <c r="J715" s="41"/>
      <c r="K715" s="227"/>
      <c r="L715" s="156"/>
      <c r="M715" s="152"/>
      <c r="N715" s="291"/>
      <c r="O715" s="42"/>
      <c r="P715" s="227"/>
      <c r="Q715" s="117"/>
      <c r="R715" s="210"/>
      <c r="S715" s="232"/>
      <c r="T715" s="270"/>
      <c r="V715" s="101"/>
    </row>
    <row r="716" spans="2:22" s="28" customFormat="1" x14ac:dyDescent="0.25">
      <c r="B716" s="25"/>
      <c r="D716" s="77"/>
      <c r="E716" s="42"/>
      <c r="F716" s="365"/>
      <c r="G716" s="46"/>
      <c r="H716" s="42"/>
      <c r="I716" s="230"/>
      <c r="J716" s="41"/>
      <c r="K716" s="227"/>
      <c r="L716" s="156"/>
      <c r="M716" s="152"/>
      <c r="N716" s="291"/>
      <c r="O716" s="42"/>
      <c r="P716" s="227"/>
      <c r="Q716" s="117"/>
      <c r="R716" s="210"/>
      <c r="S716" s="232"/>
      <c r="T716" s="270"/>
      <c r="V716" s="101"/>
    </row>
    <row r="717" spans="2:22" s="28" customFormat="1" x14ac:dyDescent="0.25">
      <c r="B717" s="25"/>
      <c r="D717" s="77"/>
      <c r="E717" s="42"/>
      <c r="F717" s="365"/>
      <c r="G717" s="46"/>
      <c r="H717" s="42"/>
      <c r="I717" s="230"/>
      <c r="J717" s="41"/>
      <c r="K717" s="227"/>
      <c r="L717" s="156"/>
      <c r="M717" s="152"/>
      <c r="N717" s="291"/>
      <c r="O717" s="42"/>
      <c r="P717" s="227"/>
      <c r="Q717" s="117"/>
      <c r="R717" s="210"/>
      <c r="S717" s="232"/>
      <c r="T717" s="270"/>
      <c r="V717" s="101"/>
    </row>
    <row r="718" spans="2:22" s="28" customFormat="1" x14ac:dyDescent="0.25">
      <c r="B718" s="25"/>
      <c r="D718" s="77"/>
      <c r="E718" s="42"/>
      <c r="F718" s="365"/>
      <c r="G718" s="46"/>
      <c r="H718" s="42"/>
      <c r="I718" s="230"/>
      <c r="J718" s="41"/>
      <c r="K718" s="227"/>
      <c r="L718" s="156"/>
      <c r="M718" s="152"/>
      <c r="N718" s="291"/>
      <c r="O718" s="42"/>
      <c r="P718" s="227"/>
      <c r="Q718" s="117"/>
      <c r="R718" s="210"/>
      <c r="S718" s="232"/>
      <c r="T718" s="270"/>
      <c r="V718" s="101"/>
    </row>
    <row r="719" spans="2:22" s="28" customFormat="1" x14ac:dyDescent="0.25">
      <c r="B719" s="25"/>
      <c r="D719" s="77"/>
      <c r="E719" s="42"/>
      <c r="F719" s="365"/>
      <c r="G719" s="46"/>
      <c r="H719" s="42"/>
      <c r="I719" s="230"/>
      <c r="J719" s="41"/>
      <c r="K719" s="227"/>
      <c r="L719" s="156"/>
      <c r="M719" s="152"/>
      <c r="N719" s="291"/>
      <c r="O719" s="42"/>
      <c r="P719" s="227"/>
      <c r="Q719" s="117"/>
      <c r="R719" s="210"/>
      <c r="S719" s="232"/>
      <c r="T719" s="270"/>
      <c r="V719" s="101"/>
    </row>
    <row r="720" spans="2:22" s="28" customFormat="1" x14ac:dyDescent="0.25">
      <c r="B720" s="25"/>
      <c r="D720" s="77"/>
      <c r="E720" s="42"/>
      <c r="F720" s="365"/>
      <c r="G720" s="46"/>
      <c r="H720" s="42"/>
      <c r="I720" s="230"/>
      <c r="J720" s="41"/>
      <c r="K720" s="227"/>
      <c r="L720" s="156"/>
      <c r="M720" s="152"/>
      <c r="N720" s="291"/>
      <c r="O720" s="42"/>
      <c r="P720" s="227"/>
      <c r="Q720" s="117"/>
      <c r="R720" s="210"/>
      <c r="S720" s="232"/>
      <c r="T720" s="270"/>
      <c r="V720" s="101"/>
    </row>
    <row r="721" spans="2:22" s="28" customFormat="1" x14ac:dyDescent="0.25">
      <c r="B721" s="25"/>
      <c r="D721" s="77"/>
      <c r="E721" s="42"/>
      <c r="F721" s="365"/>
      <c r="G721" s="46"/>
      <c r="H721" s="42"/>
      <c r="I721" s="230"/>
      <c r="J721" s="41"/>
      <c r="K721" s="227"/>
      <c r="L721" s="156"/>
      <c r="M721" s="152"/>
      <c r="N721" s="291"/>
      <c r="O721" s="42"/>
      <c r="P721" s="227"/>
      <c r="Q721" s="117"/>
      <c r="R721" s="210"/>
      <c r="S721" s="232"/>
      <c r="T721" s="270"/>
      <c r="V721" s="101"/>
    </row>
    <row r="722" spans="2:22" s="28" customFormat="1" x14ac:dyDescent="0.25">
      <c r="B722" s="25"/>
      <c r="D722" s="77"/>
      <c r="E722" s="42"/>
      <c r="F722" s="365"/>
      <c r="G722" s="46"/>
      <c r="H722" s="42"/>
      <c r="I722" s="230"/>
      <c r="J722" s="41"/>
      <c r="K722" s="227"/>
      <c r="L722" s="156"/>
      <c r="M722" s="152"/>
      <c r="N722" s="291"/>
      <c r="O722" s="42"/>
      <c r="P722" s="227"/>
      <c r="Q722" s="117"/>
      <c r="R722" s="210"/>
      <c r="S722" s="232"/>
      <c r="T722" s="270"/>
      <c r="V722" s="101"/>
    </row>
    <row r="723" spans="2:22" s="28" customFormat="1" x14ac:dyDescent="0.25">
      <c r="B723" s="25"/>
      <c r="D723" s="77"/>
      <c r="E723" s="42"/>
      <c r="F723" s="365"/>
      <c r="G723" s="46"/>
      <c r="H723" s="42"/>
      <c r="I723" s="230"/>
      <c r="J723" s="41"/>
      <c r="K723" s="227"/>
      <c r="L723" s="156"/>
      <c r="M723" s="152"/>
      <c r="N723" s="291"/>
      <c r="O723" s="42"/>
      <c r="P723" s="227"/>
      <c r="Q723" s="117"/>
      <c r="R723" s="210"/>
      <c r="S723" s="232"/>
      <c r="T723" s="270"/>
      <c r="V723" s="101"/>
    </row>
    <row r="724" spans="2:22" s="28" customFormat="1" x14ac:dyDescent="0.25">
      <c r="B724" s="25"/>
      <c r="D724" s="77"/>
      <c r="E724" s="42"/>
      <c r="F724" s="365"/>
      <c r="G724" s="46"/>
      <c r="H724" s="42"/>
      <c r="I724" s="230"/>
      <c r="J724" s="41"/>
      <c r="K724" s="227"/>
      <c r="L724" s="156"/>
      <c r="M724" s="152"/>
      <c r="N724" s="291"/>
      <c r="O724" s="42"/>
      <c r="P724" s="227"/>
      <c r="Q724" s="117"/>
      <c r="R724" s="210"/>
      <c r="S724" s="232"/>
      <c r="T724" s="270"/>
      <c r="V724" s="101"/>
    </row>
    <row r="725" spans="2:22" s="28" customFormat="1" x14ac:dyDescent="0.25">
      <c r="B725" s="25"/>
      <c r="D725" s="77"/>
      <c r="E725" s="42"/>
      <c r="F725" s="365"/>
      <c r="G725" s="46"/>
      <c r="H725" s="42"/>
      <c r="I725" s="230"/>
      <c r="J725" s="41"/>
      <c r="K725" s="227"/>
      <c r="L725" s="156"/>
      <c r="M725" s="152"/>
      <c r="N725" s="291"/>
      <c r="O725" s="42"/>
      <c r="P725" s="227"/>
      <c r="Q725" s="117"/>
      <c r="R725" s="210"/>
      <c r="S725" s="232"/>
      <c r="T725" s="270"/>
      <c r="V725" s="101"/>
    </row>
    <row r="726" spans="2:22" s="28" customFormat="1" x14ac:dyDescent="0.25">
      <c r="B726" s="25"/>
      <c r="D726" s="77"/>
      <c r="E726" s="42"/>
      <c r="F726" s="365"/>
      <c r="G726" s="46"/>
      <c r="H726" s="42"/>
      <c r="I726" s="230"/>
      <c r="J726" s="41"/>
      <c r="K726" s="227"/>
      <c r="L726" s="156"/>
      <c r="M726" s="152"/>
      <c r="N726" s="291"/>
      <c r="O726" s="42"/>
      <c r="P726" s="227"/>
      <c r="Q726" s="117"/>
      <c r="R726" s="210"/>
      <c r="S726" s="232"/>
      <c r="T726" s="270"/>
      <c r="V726" s="101"/>
    </row>
    <row r="727" spans="2:22" s="28" customFormat="1" x14ac:dyDescent="0.25">
      <c r="B727" s="25"/>
      <c r="D727" s="77"/>
      <c r="E727" s="42"/>
      <c r="F727" s="365"/>
      <c r="G727" s="46"/>
      <c r="H727" s="42"/>
      <c r="I727" s="230"/>
      <c r="J727" s="41"/>
      <c r="K727" s="227"/>
      <c r="L727" s="156"/>
      <c r="M727" s="152"/>
      <c r="N727" s="291"/>
      <c r="O727" s="42"/>
      <c r="P727" s="227"/>
      <c r="Q727" s="117"/>
      <c r="R727" s="210"/>
      <c r="S727" s="232"/>
      <c r="T727" s="270"/>
      <c r="V727" s="101"/>
    </row>
    <row r="728" spans="2:22" s="28" customFormat="1" x14ac:dyDescent="0.25">
      <c r="B728" s="25"/>
      <c r="D728" s="77"/>
      <c r="E728" s="42"/>
      <c r="F728" s="365"/>
      <c r="G728" s="46"/>
      <c r="H728" s="42"/>
      <c r="I728" s="230"/>
      <c r="J728" s="41"/>
      <c r="K728" s="227"/>
      <c r="L728" s="156"/>
      <c r="M728" s="152"/>
      <c r="N728" s="291"/>
      <c r="O728" s="42"/>
      <c r="P728" s="227"/>
      <c r="Q728" s="117"/>
      <c r="R728" s="210"/>
      <c r="S728" s="232"/>
      <c r="T728" s="270"/>
      <c r="V728" s="101"/>
    </row>
    <row r="729" spans="2:22" s="28" customFormat="1" x14ac:dyDescent="0.25">
      <c r="B729" s="25"/>
      <c r="D729" s="77"/>
      <c r="E729" s="42"/>
      <c r="F729" s="365"/>
      <c r="G729" s="46"/>
      <c r="H729" s="42"/>
      <c r="I729" s="230"/>
      <c r="J729" s="41"/>
      <c r="K729" s="227"/>
      <c r="L729" s="156"/>
      <c r="M729" s="152"/>
      <c r="N729" s="291"/>
      <c r="O729" s="42"/>
      <c r="P729" s="227"/>
      <c r="Q729" s="117"/>
      <c r="R729" s="210"/>
      <c r="S729" s="232"/>
      <c r="T729" s="270"/>
      <c r="V729" s="119"/>
    </row>
    <row r="730" spans="2:22" s="28" customFormat="1" x14ac:dyDescent="0.25">
      <c r="B730" s="25"/>
      <c r="D730" s="77"/>
      <c r="E730" s="42"/>
      <c r="F730" s="365"/>
      <c r="G730" s="46"/>
      <c r="H730" s="42"/>
      <c r="I730" s="230"/>
      <c r="J730" s="41"/>
      <c r="K730" s="227"/>
      <c r="L730" s="156"/>
      <c r="M730" s="152"/>
      <c r="N730" s="291"/>
      <c r="O730" s="42"/>
      <c r="P730" s="227"/>
      <c r="Q730" s="117"/>
      <c r="R730" s="210"/>
      <c r="S730" s="232"/>
      <c r="T730" s="270"/>
    </row>
    <row r="731" spans="2:22" x14ac:dyDescent="0.25">
      <c r="I731" s="230"/>
      <c r="J731" s="41"/>
      <c r="N731" s="362"/>
      <c r="Q731" s="117"/>
      <c r="R731" s="210"/>
      <c r="S731" s="232"/>
      <c r="T731" s="270"/>
    </row>
    <row r="732" spans="2:22" x14ac:dyDescent="0.25">
      <c r="I732" s="230"/>
      <c r="J732" s="41"/>
      <c r="N732" s="362"/>
      <c r="R732" s="210"/>
      <c r="S732" s="232"/>
      <c r="T732" s="270"/>
    </row>
    <row r="733" spans="2:22" x14ac:dyDescent="0.25">
      <c r="I733" s="230"/>
      <c r="J733" s="41"/>
      <c r="N733" s="362"/>
      <c r="R733" s="210"/>
      <c r="S733" s="232"/>
      <c r="T733" s="270"/>
    </row>
    <row r="734" spans="2:22" x14ac:dyDescent="0.25">
      <c r="I734" s="230"/>
      <c r="J734" s="41"/>
      <c r="N734" s="362"/>
      <c r="R734" s="210"/>
      <c r="S734" s="232"/>
      <c r="T734" s="270"/>
    </row>
    <row r="735" spans="2:22" x14ac:dyDescent="0.25">
      <c r="I735" s="230"/>
      <c r="J735" s="41"/>
      <c r="N735" s="362"/>
      <c r="R735" s="210"/>
      <c r="S735" s="232"/>
      <c r="T735" s="270"/>
    </row>
    <row r="736" spans="2:22" x14ac:dyDescent="0.25">
      <c r="I736" s="230"/>
      <c r="J736" s="41"/>
      <c r="N736" s="362"/>
      <c r="R736" s="210"/>
      <c r="S736" s="232"/>
      <c r="T736" s="270"/>
    </row>
    <row r="737" spans="9:20" x14ac:dyDescent="0.25">
      <c r="I737" s="230"/>
      <c r="J737" s="41"/>
      <c r="N737" s="362"/>
      <c r="R737" s="210"/>
      <c r="S737" s="232"/>
      <c r="T737" s="270"/>
    </row>
    <row r="738" spans="9:20" x14ac:dyDescent="0.25">
      <c r="I738" s="230"/>
      <c r="J738" s="41"/>
      <c r="N738" s="362"/>
      <c r="R738" s="210"/>
      <c r="S738" s="232"/>
      <c r="T738" s="270"/>
    </row>
    <row r="739" spans="9:20" x14ac:dyDescent="0.25">
      <c r="I739" s="230"/>
      <c r="J739" s="41"/>
      <c r="N739" s="362"/>
      <c r="R739" s="210"/>
      <c r="S739" s="232"/>
      <c r="T739" s="270"/>
    </row>
    <row r="740" spans="9:20" x14ac:dyDescent="0.25">
      <c r="I740" s="230"/>
      <c r="J740" s="41"/>
      <c r="N740" s="362"/>
      <c r="R740" s="210"/>
      <c r="S740" s="232"/>
      <c r="T740" s="270"/>
    </row>
    <row r="741" spans="9:20" x14ac:dyDescent="0.25">
      <c r="I741" s="230"/>
      <c r="J741" s="41"/>
      <c r="N741" s="362"/>
      <c r="R741" s="210"/>
      <c r="S741" s="232"/>
      <c r="T741" s="270"/>
    </row>
    <row r="742" spans="9:20" x14ac:dyDescent="0.25">
      <c r="I742" s="230"/>
      <c r="J742" s="41"/>
      <c r="N742" s="362"/>
      <c r="R742" s="210"/>
      <c r="S742" s="232"/>
      <c r="T742" s="270"/>
    </row>
    <row r="743" spans="9:20" x14ac:dyDescent="0.25">
      <c r="I743" s="230"/>
      <c r="J743" s="41"/>
      <c r="N743" s="362"/>
      <c r="R743" s="210"/>
      <c r="S743" s="232"/>
      <c r="T743" s="270"/>
    </row>
    <row r="744" spans="9:20" x14ac:dyDescent="0.25">
      <c r="I744" s="230"/>
      <c r="J744" s="41"/>
      <c r="N744" s="362"/>
      <c r="R744" s="210"/>
      <c r="S744" s="232"/>
      <c r="T744" s="270"/>
    </row>
    <row r="745" spans="9:20" x14ac:dyDescent="0.25">
      <c r="I745" s="230"/>
      <c r="J745" s="41"/>
      <c r="N745" s="362"/>
      <c r="R745" s="210"/>
      <c r="S745" s="232"/>
      <c r="T745" s="270"/>
    </row>
    <row r="746" spans="9:20" x14ac:dyDescent="0.25">
      <c r="I746" s="230"/>
      <c r="J746" s="41"/>
      <c r="N746" s="362"/>
      <c r="R746" s="210"/>
      <c r="S746" s="232"/>
      <c r="T746" s="270"/>
    </row>
    <row r="747" spans="9:20" x14ac:dyDescent="0.25">
      <c r="I747" s="230"/>
      <c r="J747" s="41"/>
      <c r="N747" s="362"/>
      <c r="R747" s="210"/>
      <c r="S747" s="232"/>
      <c r="T747" s="270"/>
    </row>
    <row r="748" spans="9:20" x14ac:dyDescent="0.25">
      <c r="I748" s="230"/>
      <c r="J748" s="41"/>
      <c r="N748" s="362"/>
      <c r="R748" s="210"/>
      <c r="S748" s="232"/>
      <c r="T748" s="270"/>
    </row>
    <row r="749" spans="9:20" x14ac:dyDescent="0.25">
      <c r="I749" s="230"/>
      <c r="J749" s="41"/>
      <c r="N749" s="362"/>
      <c r="R749" s="210"/>
      <c r="S749" s="232"/>
      <c r="T749" s="270"/>
    </row>
    <row r="750" spans="9:20" x14ac:dyDescent="0.25">
      <c r="I750" s="230"/>
      <c r="J750" s="41"/>
      <c r="N750" s="362"/>
      <c r="R750" s="210"/>
      <c r="S750" s="232"/>
      <c r="T750" s="270"/>
    </row>
    <row r="751" spans="9:20" x14ac:dyDescent="0.25">
      <c r="I751" s="230"/>
      <c r="J751" s="41"/>
      <c r="N751" s="362"/>
      <c r="R751" s="210"/>
      <c r="S751" s="232"/>
      <c r="T751" s="270"/>
    </row>
    <row r="752" spans="9:20" x14ac:dyDescent="0.25">
      <c r="I752" s="230"/>
      <c r="J752" s="41"/>
      <c r="N752" s="362"/>
      <c r="R752" s="210"/>
      <c r="S752" s="232"/>
      <c r="T752" s="270"/>
    </row>
    <row r="753" spans="9:20" x14ac:dyDescent="0.25">
      <c r="I753" s="230"/>
      <c r="J753" s="41"/>
      <c r="N753" s="362"/>
      <c r="R753" s="210"/>
      <c r="S753" s="232"/>
      <c r="T753" s="270"/>
    </row>
    <row r="754" spans="9:20" x14ac:dyDescent="0.25">
      <c r="I754" s="230"/>
      <c r="J754" s="41"/>
      <c r="N754" s="362"/>
      <c r="R754" s="210"/>
      <c r="S754" s="232"/>
      <c r="T754" s="270"/>
    </row>
    <row r="755" spans="9:20" x14ac:dyDescent="0.25">
      <c r="I755" s="230"/>
      <c r="J755" s="41"/>
      <c r="N755" s="362"/>
      <c r="R755" s="210"/>
      <c r="S755" s="232"/>
      <c r="T755" s="270"/>
    </row>
    <row r="756" spans="9:20" x14ac:dyDescent="0.25">
      <c r="I756" s="230"/>
      <c r="J756" s="41"/>
      <c r="N756" s="362"/>
      <c r="R756" s="210"/>
      <c r="S756" s="232"/>
      <c r="T756" s="270"/>
    </row>
    <row r="757" spans="9:20" x14ac:dyDescent="0.25">
      <c r="I757" s="230"/>
      <c r="J757" s="41"/>
      <c r="N757" s="362"/>
      <c r="R757" s="210"/>
      <c r="S757" s="232"/>
      <c r="T757" s="270"/>
    </row>
    <row r="758" spans="9:20" x14ac:dyDescent="0.25">
      <c r="I758" s="230"/>
      <c r="J758" s="41"/>
      <c r="N758" s="362"/>
      <c r="R758" s="210"/>
      <c r="S758" s="232"/>
      <c r="T758" s="270"/>
    </row>
    <row r="759" spans="9:20" x14ac:dyDescent="0.25">
      <c r="I759" s="230"/>
      <c r="J759" s="41"/>
      <c r="N759" s="362"/>
      <c r="R759" s="210"/>
      <c r="S759" s="232"/>
      <c r="T759" s="270"/>
    </row>
    <row r="760" spans="9:20" x14ac:dyDescent="0.25">
      <c r="I760" s="230"/>
      <c r="J760" s="41"/>
      <c r="N760" s="362"/>
      <c r="R760" s="210"/>
      <c r="S760" s="232"/>
      <c r="T760" s="270"/>
    </row>
    <row r="761" spans="9:20" x14ac:dyDescent="0.25">
      <c r="I761" s="230"/>
      <c r="J761" s="41"/>
      <c r="N761" s="362"/>
      <c r="R761" s="210"/>
      <c r="S761" s="232"/>
      <c r="T761" s="270"/>
    </row>
    <row r="762" spans="9:20" x14ac:dyDescent="0.25">
      <c r="I762" s="230"/>
      <c r="J762" s="41"/>
      <c r="N762" s="362"/>
      <c r="R762" s="210"/>
      <c r="S762" s="232"/>
      <c r="T762" s="270"/>
    </row>
    <row r="763" spans="9:20" x14ac:dyDescent="0.25">
      <c r="I763" s="230"/>
      <c r="J763" s="41"/>
      <c r="N763" s="362"/>
      <c r="R763" s="210"/>
      <c r="S763" s="232"/>
      <c r="T763" s="270"/>
    </row>
    <row r="764" spans="9:20" x14ac:dyDescent="0.25">
      <c r="I764" s="230"/>
      <c r="J764" s="41"/>
      <c r="N764" s="362"/>
      <c r="R764" s="210"/>
      <c r="S764" s="232"/>
      <c r="T764" s="270"/>
    </row>
    <row r="765" spans="9:20" x14ac:dyDescent="0.25">
      <c r="I765" s="230"/>
      <c r="J765" s="41"/>
      <c r="N765" s="362"/>
      <c r="R765" s="210"/>
      <c r="S765" s="232"/>
      <c r="T765" s="270"/>
    </row>
    <row r="766" spans="9:20" x14ac:dyDescent="0.25">
      <c r="I766" s="230"/>
      <c r="J766" s="41"/>
      <c r="N766" s="362"/>
      <c r="R766" s="210"/>
      <c r="S766" s="232"/>
      <c r="T766" s="270"/>
    </row>
    <row r="767" spans="9:20" x14ac:dyDescent="0.25">
      <c r="I767" s="230"/>
      <c r="J767" s="41"/>
      <c r="N767" s="362"/>
      <c r="R767" s="210"/>
      <c r="S767" s="232"/>
      <c r="T767" s="270"/>
    </row>
    <row r="768" spans="9:20" x14ac:dyDescent="0.25">
      <c r="I768" s="230"/>
      <c r="J768" s="41"/>
      <c r="N768" s="362"/>
      <c r="R768" s="210"/>
      <c r="S768" s="232"/>
      <c r="T768" s="270"/>
    </row>
    <row r="769" spans="9:20" x14ac:dyDescent="0.25">
      <c r="I769" s="230"/>
      <c r="J769" s="41"/>
      <c r="N769" s="362"/>
      <c r="R769" s="210"/>
      <c r="S769" s="232"/>
      <c r="T769" s="270"/>
    </row>
    <row r="770" spans="9:20" x14ac:dyDescent="0.25">
      <c r="I770" s="230"/>
      <c r="J770" s="41"/>
      <c r="N770" s="362"/>
      <c r="R770" s="210"/>
      <c r="S770" s="232"/>
      <c r="T770" s="270"/>
    </row>
    <row r="771" spans="9:20" x14ac:dyDescent="0.25">
      <c r="I771" s="230"/>
      <c r="J771" s="41"/>
      <c r="N771" s="362"/>
      <c r="R771" s="210"/>
      <c r="S771" s="232"/>
      <c r="T771" s="270"/>
    </row>
    <row r="772" spans="9:20" x14ac:dyDescent="0.25">
      <c r="I772" s="230"/>
      <c r="J772" s="41"/>
      <c r="N772" s="362"/>
      <c r="R772" s="210"/>
      <c r="S772" s="232"/>
      <c r="T772" s="270"/>
    </row>
    <row r="773" spans="9:20" x14ac:dyDescent="0.25">
      <c r="I773" s="230"/>
      <c r="J773" s="41"/>
      <c r="N773" s="362"/>
      <c r="R773" s="210"/>
      <c r="S773" s="232"/>
      <c r="T773" s="270"/>
    </row>
    <row r="774" spans="9:20" x14ac:dyDescent="0.25">
      <c r="I774" s="230"/>
      <c r="J774" s="41"/>
      <c r="N774" s="362"/>
      <c r="R774" s="210"/>
      <c r="S774" s="232"/>
      <c r="T774" s="270"/>
    </row>
    <row r="775" spans="9:20" x14ac:dyDescent="0.25">
      <c r="I775" s="230"/>
      <c r="J775" s="41"/>
      <c r="N775" s="362"/>
      <c r="R775" s="210"/>
      <c r="S775" s="232"/>
      <c r="T775" s="270"/>
    </row>
    <row r="776" spans="9:20" x14ac:dyDescent="0.25">
      <c r="I776" s="230"/>
      <c r="J776" s="41"/>
      <c r="N776" s="362"/>
      <c r="R776" s="210"/>
      <c r="S776" s="232"/>
      <c r="T776" s="270"/>
    </row>
    <row r="777" spans="9:20" x14ac:dyDescent="0.25">
      <c r="I777" s="230"/>
      <c r="J777" s="41"/>
      <c r="N777" s="362"/>
      <c r="R777" s="210"/>
      <c r="S777" s="232"/>
      <c r="T777" s="270"/>
    </row>
    <row r="778" spans="9:20" x14ac:dyDescent="0.25">
      <c r="I778" s="230"/>
      <c r="J778" s="41"/>
      <c r="N778" s="362"/>
      <c r="R778" s="210"/>
      <c r="S778" s="232"/>
      <c r="T778" s="270"/>
    </row>
    <row r="779" spans="9:20" x14ac:dyDescent="0.25">
      <c r="I779" s="230"/>
      <c r="J779" s="41"/>
      <c r="N779" s="362"/>
      <c r="R779" s="210"/>
      <c r="S779" s="232"/>
      <c r="T779" s="270"/>
    </row>
    <row r="780" spans="9:20" x14ac:dyDescent="0.25">
      <c r="I780" s="230"/>
      <c r="J780" s="41"/>
      <c r="N780" s="362"/>
      <c r="R780" s="210"/>
      <c r="S780" s="232"/>
      <c r="T780" s="270"/>
    </row>
    <row r="781" spans="9:20" x14ac:dyDescent="0.25">
      <c r="I781" s="230"/>
      <c r="J781" s="41"/>
      <c r="N781" s="362"/>
      <c r="R781" s="210"/>
      <c r="S781" s="232"/>
      <c r="T781" s="270"/>
    </row>
    <row r="782" spans="9:20" x14ac:dyDescent="0.25">
      <c r="I782" s="230"/>
      <c r="J782" s="41"/>
      <c r="N782" s="362"/>
      <c r="R782" s="210"/>
      <c r="S782" s="232"/>
      <c r="T782" s="270"/>
    </row>
    <row r="783" spans="9:20" x14ac:dyDescent="0.25">
      <c r="I783" s="230"/>
      <c r="J783" s="41"/>
      <c r="N783" s="362"/>
      <c r="R783" s="210"/>
      <c r="S783" s="232"/>
      <c r="T783" s="270"/>
    </row>
    <row r="784" spans="9:20" x14ac:dyDescent="0.25">
      <c r="I784" s="230"/>
      <c r="J784" s="41"/>
      <c r="N784" s="362"/>
      <c r="R784" s="210"/>
      <c r="S784" s="232"/>
      <c r="T784" s="270"/>
    </row>
    <row r="785" spans="9:20" x14ac:dyDescent="0.25">
      <c r="I785" s="230"/>
      <c r="J785" s="41"/>
      <c r="N785" s="362"/>
      <c r="R785" s="210"/>
      <c r="S785" s="232"/>
      <c r="T785" s="270"/>
    </row>
    <row r="786" spans="9:20" x14ac:dyDescent="0.25">
      <c r="I786" s="230"/>
      <c r="J786" s="41"/>
      <c r="N786" s="362"/>
      <c r="R786" s="210"/>
      <c r="S786" s="232"/>
      <c r="T786" s="270"/>
    </row>
    <row r="787" spans="9:20" x14ac:dyDescent="0.25">
      <c r="I787" s="230"/>
      <c r="J787" s="41"/>
      <c r="N787" s="362"/>
      <c r="R787" s="210"/>
      <c r="S787" s="232"/>
      <c r="T787" s="270"/>
    </row>
    <row r="788" spans="9:20" x14ac:dyDescent="0.25">
      <c r="I788" s="230"/>
      <c r="J788" s="41"/>
      <c r="N788" s="362"/>
      <c r="R788" s="210"/>
      <c r="S788" s="232"/>
      <c r="T788" s="270"/>
    </row>
    <row r="789" spans="9:20" x14ac:dyDescent="0.25">
      <c r="I789" s="230"/>
      <c r="J789" s="41"/>
      <c r="N789" s="362"/>
      <c r="R789" s="210"/>
      <c r="S789" s="232"/>
      <c r="T789" s="270"/>
    </row>
    <row r="790" spans="9:20" x14ac:dyDescent="0.25">
      <c r="I790" s="230"/>
      <c r="J790" s="41"/>
      <c r="N790" s="362"/>
      <c r="R790" s="210"/>
      <c r="S790" s="232"/>
      <c r="T790" s="270"/>
    </row>
    <row r="791" spans="9:20" x14ac:dyDescent="0.25">
      <c r="I791" s="230"/>
      <c r="J791" s="41"/>
      <c r="N791" s="362"/>
      <c r="R791" s="210"/>
      <c r="S791" s="232"/>
      <c r="T791" s="270"/>
    </row>
    <row r="792" spans="9:20" x14ac:dyDescent="0.25">
      <c r="I792" s="230"/>
      <c r="J792" s="41"/>
      <c r="N792" s="362"/>
      <c r="R792" s="210"/>
      <c r="S792" s="232"/>
      <c r="T792" s="270"/>
    </row>
    <row r="793" spans="9:20" x14ac:dyDescent="0.25">
      <c r="I793" s="230"/>
      <c r="J793" s="41"/>
      <c r="N793" s="362"/>
      <c r="R793" s="210"/>
      <c r="S793" s="232"/>
      <c r="T793" s="270"/>
    </row>
    <row r="794" spans="9:20" x14ac:dyDescent="0.25">
      <c r="I794" s="230"/>
      <c r="J794" s="41"/>
      <c r="N794" s="362"/>
      <c r="R794" s="210"/>
      <c r="S794" s="232"/>
      <c r="T794" s="270"/>
    </row>
    <row r="795" spans="9:20" x14ac:dyDescent="0.25">
      <c r="I795" s="230"/>
      <c r="J795" s="41"/>
      <c r="N795" s="362"/>
      <c r="R795" s="210"/>
      <c r="S795" s="232"/>
      <c r="T795" s="270"/>
    </row>
    <row r="796" spans="9:20" x14ac:dyDescent="0.25">
      <c r="I796" s="230"/>
      <c r="J796" s="41"/>
      <c r="N796" s="362"/>
      <c r="R796" s="210"/>
      <c r="S796" s="232"/>
      <c r="T796" s="270"/>
    </row>
    <row r="797" spans="9:20" x14ac:dyDescent="0.25">
      <c r="I797" s="230"/>
      <c r="J797" s="41"/>
      <c r="N797" s="362"/>
      <c r="R797" s="210"/>
      <c r="S797" s="232"/>
      <c r="T797" s="270"/>
    </row>
    <row r="798" spans="9:20" x14ac:dyDescent="0.25">
      <c r="I798" s="230"/>
      <c r="J798" s="41"/>
      <c r="N798" s="362"/>
      <c r="R798" s="210"/>
      <c r="S798" s="232"/>
      <c r="T798" s="270"/>
    </row>
    <row r="799" spans="9:20" x14ac:dyDescent="0.25">
      <c r="I799" s="230"/>
      <c r="J799" s="41"/>
      <c r="N799" s="362"/>
      <c r="R799" s="210"/>
      <c r="S799" s="232"/>
      <c r="T799" s="270"/>
    </row>
    <row r="800" spans="9:20" x14ac:dyDescent="0.25">
      <c r="I800" s="230"/>
      <c r="J800" s="41"/>
      <c r="N800" s="362"/>
      <c r="R800" s="210"/>
      <c r="S800" s="232"/>
      <c r="T800" s="270"/>
    </row>
    <row r="801" spans="9:20" x14ac:dyDescent="0.25">
      <c r="I801" s="230"/>
      <c r="J801" s="42"/>
      <c r="N801" s="362"/>
      <c r="R801" s="210"/>
      <c r="S801" s="232"/>
      <c r="T801" s="270"/>
    </row>
    <row r="802" spans="9:20" x14ac:dyDescent="0.25">
      <c r="I802" s="230"/>
      <c r="J802" s="42"/>
      <c r="N802" s="362"/>
      <c r="R802" s="210"/>
      <c r="S802" s="232"/>
      <c r="T802" s="270"/>
    </row>
    <row r="803" spans="9:20" x14ac:dyDescent="0.25">
      <c r="I803" s="230"/>
      <c r="J803" s="42"/>
      <c r="N803" s="362"/>
      <c r="R803" s="210"/>
      <c r="S803" s="232"/>
      <c r="T803" s="270"/>
    </row>
    <row r="804" spans="9:20" x14ac:dyDescent="0.25">
      <c r="I804" s="230"/>
      <c r="J804" s="42"/>
      <c r="N804" s="362"/>
      <c r="R804" s="210"/>
      <c r="S804" s="232"/>
      <c r="T804" s="270"/>
    </row>
    <row r="805" spans="9:20" x14ac:dyDescent="0.25">
      <c r="I805" s="230"/>
      <c r="J805" s="42"/>
      <c r="N805" s="362"/>
      <c r="R805" s="210"/>
      <c r="S805" s="232"/>
      <c r="T805" s="270"/>
    </row>
    <row r="806" spans="9:20" x14ac:dyDescent="0.25">
      <c r="I806" s="230"/>
      <c r="J806" s="42"/>
      <c r="N806" s="362"/>
      <c r="R806" s="210"/>
      <c r="S806" s="232"/>
      <c r="T806" s="270"/>
    </row>
    <row r="807" spans="9:20" x14ac:dyDescent="0.25">
      <c r="I807" s="230"/>
      <c r="J807" s="42"/>
      <c r="N807" s="362"/>
      <c r="R807" s="210"/>
      <c r="S807" s="232"/>
      <c r="T807" s="270"/>
    </row>
    <row r="808" spans="9:20" x14ac:dyDescent="0.25">
      <c r="I808" s="230"/>
      <c r="J808" s="42"/>
      <c r="N808" s="362"/>
      <c r="R808" s="210"/>
      <c r="S808" s="232"/>
      <c r="T808" s="270"/>
    </row>
    <row r="809" spans="9:20" x14ac:dyDescent="0.25">
      <c r="I809" s="230"/>
      <c r="J809" s="42"/>
      <c r="N809" s="362"/>
      <c r="R809" s="210"/>
      <c r="S809" s="232"/>
      <c r="T809" s="270"/>
    </row>
    <row r="810" spans="9:20" x14ac:dyDescent="0.25">
      <c r="I810" s="230"/>
      <c r="J810" s="42"/>
      <c r="N810" s="362"/>
      <c r="R810" s="210"/>
      <c r="S810" s="232"/>
      <c r="T810" s="270"/>
    </row>
    <row r="811" spans="9:20" x14ac:dyDescent="0.25">
      <c r="I811" s="230"/>
      <c r="J811" s="42"/>
      <c r="N811" s="362"/>
      <c r="R811" s="210"/>
      <c r="S811" s="232"/>
      <c r="T811" s="270"/>
    </row>
    <row r="812" spans="9:20" x14ac:dyDescent="0.25">
      <c r="I812" s="230"/>
      <c r="J812" s="42"/>
      <c r="N812" s="362"/>
      <c r="R812" s="210"/>
      <c r="S812" s="232"/>
      <c r="T812" s="270"/>
    </row>
    <row r="813" spans="9:20" x14ac:dyDescent="0.25">
      <c r="I813" s="230"/>
      <c r="J813" s="42"/>
      <c r="N813" s="362"/>
      <c r="R813" s="210"/>
      <c r="S813" s="232"/>
      <c r="T813" s="270"/>
    </row>
    <row r="814" spans="9:20" x14ac:dyDescent="0.25">
      <c r="I814" s="230"/>
      <c r="J814" s="42"/>
      <c r="N814" s="362"/>
      <c r="R814" s="210"/>
      <c r="S814" s="232"/>
      <c r="T814" s="270"/>
    </row>
    <row r="815" spans="9:20" x14ac:dyDescent="0.25">
      <c r="I815" s="230"/>
      <c r="J815" s="42"/>
      <c r="N815" s="362"/>
      <c r="R815" s="210"/>
      <c r="S815" s="232"/>
      <c r="T815" s="270"/>
    </row>
    <row r="816" spans="9:20" x14ac:dyDescent="0.25">
      <c r="I816" s="230"/>
      <c r="J816" s="42"/>
      <c r="N816" s="362"/>
      <c r="R816" s="210"/>
      <c r="S816" s="232"/>
      <c r="T816" s="270"/>
    </row>
    <row r="817" spans="9:20" x14ac:dyDescent="0.25">
      <c r="I817" s="230"/>
      <c r="J817" s="42"/>
      <c r="N817" s="362"/>
      <c r="R817" s="210"/>
      <c r="S817" s="232"/>
      <c r="T817" s="270"/>
    </row>
    <row r="818" spans="9:20" x14ac:dyDescent="0.25">
      <c r="I818" s="230"/>
      <c r="J818" s="42"/>
      <c r="N818" s="362"/>
      <c r="R818" s="210"/>
      <c r="S818" s="232"/>
      <c r="T818" s="270"/>
    </row>
    <row r="819" spans="9:20" x14ac:dyDescent="0.25">
      <c r="I819" s="230"/>
      <c r="J819" s="42"/>
      <c r="N819" s="362"/>
      <c r="R819" s="210"/>
      <c r="S819" s="232"/>
      <c r="T819" s="270"/>
    </row>
    <row r="820" spans="9:20" x14ac:dyDescent="0.25">
      <c r="I820" s="230"/>
      <c r="J820" s="42"/>
      <c r="N820" s="362"/>
      <c r="R820" s="210"/>
      <c r="S820" s="232"/>
      <c r="T820" s="270"/>
    </row>
    <row r="821" spans="9:20" x14ac:dyDescent="0.25">
      <c r="I821" s="230"/>
      <c r="J821" s="42"/>
      <c r="N821" s="362"/>
      <c r="R821" s="210"/>
      <c r="S821" s="232"/>
      <c r="T821" s="270"/>
    </row>
    <row r="822" spans="9:20" x14ac:dyDescent="0.25">
      <c r="I822" s="230"/>
      <c r="J822" s="42"/>
      <c r="N822" s="362"/>
      <c r="R822" s="210"/>
      <c r="S822" s="232"/>
      <c r="T822" s="270"/>
    </row>
    <row r="823" spans="9:20" x14ac:dyDescent="0.25">
      <c r="I823" s="230"/>
      <c r="J823" s="42"/>
      <c r="N823" s="362"/>
      <c r="R823" s="210"/>
      <c r="S823" s="232"/>
      <c r="T823" s="270"/>
    </row>
    <row r="824" spans="9:20" x14ac:dyDescent="0.25">
      <c r="I824" s="230"/>
      <c r="J824" s="42"/>
      <c r="N824" s="362"/>
      <c r="R824" s="210"/>
      <c r="S824" s="232"/>
      <c r="T824" s="270"/>
    </row>
    <row r="825" spans="9:20" x14ac:dyDescent="0.25">
      <c r="I825" s="230"/>
      <c r="J825" s="42"/>
      <c r="N825" s="362"/>
      <c r="R825" s="210"/>
      <c r="S825" s="232"/>
      <c r="T825" s="270"/>
    </row>
    <row r="826" spans="9:20" x14ac:dyDescent="0.25">
      <c r="I826" s="230"/>
      <c r="J826" s="42"/>
      <c r="N826" s="362"/>
      <c r="R826" s="210"/>
      <c r="S826" s="232"/>
      <c r="T826" s="270"/>
    </row>
    <row r="827" spans="9:20" x14ac:dyDescent="0.25">
      <c r="I827" s="230"/>
      <c r="J827" s="42"/>
      <c r="N827" s="362"/>
      <c r="R827" s="210"/>
      <c r="S827" s="232"/>
      <c r="T827" s="270"/>
    </row>
    <row r="828" spans="9:20" x14ac:dyDescent="0.25">
      <c r="I828" s="230"/>
      <c r="J828" s="42"/>
      <c r="N828" s="362"/>
      <c r="R828" s="210"/>
      <c r="S828" s="232"/>
      <c r="T828" s="270"/>
    </row>
    <row r="829" spans="9:20" x14ac:dyDescent="0.25">
      <c r="I829" s="230"/>
      <c r="J829" s="42"/>
      <c r="N829" s="362"/>
      <c r="R829" s="210"/>
      <c r="S829" s="232"/>
      <c r="T829" s="270"/>
    </row>
    <row r="830" spans="9:20" x14ac:dyDescent="0.25">
      <c r="I830" s="230"/>
      <c r="J830" s="42"/>
      <c r="N830" s="362"/>
      <c r="R830" s="210"/>
      <c r="S830" s="232"/>
      <c r="T830" s="270"/>
    </row>
    <row r="831" spans="9:20" x14ac:dyDescent="0.25">
      <c r="I831" s="230"/>
      <c r="J831" s="42"/>
      <c r="N831" s="362"/>
      <c r="R831" s="210"/>
      <c r="S831" s="232"/>
      <c r="T831" s="270"/>
    </row>
    <row r="832" spans="9:20" x14ac:dyDescent="0.25">
      <c r="I832" s="230"/>
      <c r="J832" s="42"/>
      <c r="N832" s="362"/>
      <c r="R832" s="210"/>
      <c r="S832" s="232"/>
      <c r="T832" s="270"/>
    </row>
    <row r="833" spans="9:20" x14ac:dyDescent="0.25">
      <c r="I833" s="230"/>
      <c r="J833" s="42"/>
      <c r="N833" s="362"/>
      <c r="R833" s="210"/>
      <c r="S833" s="232"/>
      <c r="T833" s="270"/>
    </row>
    <row r="834" spans="9:20" x14ac:dyDescent="0.25">
      <c r="I834" s="230"/>
      <c r="J834" s="42"/>
      <c r="N834" s="362"/>
      <c r="R834" s="210"/>
      <c r="S834" s="232"/>
      <c r="T834" s="270"/>
    </row>
    <row r="835" spans="9:20" x14ac:dyDescent="0.25">
      <c r="I835" s="230"/>
      <c r="J835" s="42"/>
      <c r="N835" s="362"/>
      <c r="R835" s="210"/>
      <c r="S835" s="232"/>
      <c r="T835" s="270"/>
    </row>
    <row r="836" spans="9:20" x14ac:dyDescent="0.25">
      <c r="I836" s="230"/>
      <c r="J836" s="42"/>
      <c r="N836" s="362"/>
      <c r="R836" s="210"/>
      <c r="S836" s="232"/>
      <c r="T836" s="270"/>
    </row>
    <row r="837" spans="9:20" x14ac:dyDescent="0.25">
      <c r="I837" s="230"/>
      <c r="J837" s="42"/>
      <c r="N837" s="362"/>
      <c r="R837" s="210"/>
      <c r="S837" s="232"/>
      <c r="T837" s="270"/>
    </row>
    <row r="838" spans="9:20" x14ac:dyDescent="0.25">
      <c r="I838" s="230"/>
      <c r="J838" s="42"/>
      <c r="N838" s="362"/>
      <c r="R838" s="210"/>
      <c r="S838" s="232"/>
      <c r="T838" s="270"/>
    </row>
    <row r="839" spans="9:20" x14ac:dyDescent="0.25">
      <c r="I839" s="230"/>
      <c r="J839" s="42"/>
      <c r="N839" s="362"/>
      <c r="R839" s="210"/>
      <c r="S839" s="232"/>
      <c r="T839" s="270"/>
    </row>
    <row r="840" spans="9:20" x14ac:dyDescent="0.25">
      <c r="I840" s="230"/>
      <c r="J840" s="42"/>
      <c r="N840" s="362"/>
      <c r="R840" s="210"/>
      <c r="S840" s="232"/>
      <c r="T840" s="270"/>
    </row>
    <row r="841" spans="9:20" x14ac:dyDescent="0.25">
      <c r="I841" s="230"/>
      <c r="J841" s="42"/>
      <c r="N841" s="362"/>
      <c r="R841" s="210"/>
      <c r="S841" s="232"/>
      <c r="T841" s="270"/>
    </row>
    <row r="842" spans="9:20" x14ac:dyDescent="0.25">
      <c r="I842" s="230"/>
      <c r="J842" s="42"/>
      <c r="N842" s="362"/>
      <c r="R842" s="210"/>
      <c r="S842" s="232"/>
      <c r="T842" s="270"/>
    </row>
    <row r="843" spans="9:20" x14ac:dyDescent="0.25">
      <c r="I843" s="230"/>
      <c r="J843" s="42"/>
      <c r="N843" s="362"/>
      <c r="R843" s="210"/>
      <c r="S843" s="232"/>
      <c r="T843" s="270"/>
    </row>
    <row r="844" spans="9:20" x14ac:dyDescent="0.25">
      <c r="I844" s="230"/>
      <c r="J844" s="42"/>
      <c r="N844" s="362"/>
      <c r="R844" s="210"/>
      <c r="S844" s="232"/>
      <c r="T844" s="270"/>
    </row>
    <row r="845" spans="9:20" x14ac:dyDescent="0.25">
      <c r="I845" s="230"/>
      <c r="J845" s="42"/>
      <c r="N845" s="362"/>
      <c r="R845" s="210"/>
      <c r="S845" s="232"/>
      <c r="T845" s="270"/>
    </row>
    <row r="846" spans="9:20" x14ac:dyDescent="0.25">
      <c r="I846" s="230"/>
      <c r="J846" s="42"/>
      <c r="N846" s="362"/>
      <c r="R846" s="210"/>
      <c r="S846" s="232"/>
      <c r="T846" s="270"/>
    </row>
    <row r="847" spans="9:20" x14ac:dyDescent="0.25">
      <c r="I847" s="230"/>
      <c r="J847" s="42"/>
      <c r="N847" s="362"/>
      <c r="R847" s="210"/>
      <c r="S847" s="232"/>
      <c r="T847" s="270"/>
    </row>
    <row r="848" spans="9:20" x14ac:dyDescent="0.25">
      <c r="I848" s="230"/>
      <c r="J848" s="42"/>
      <c r="N848" s="362"/>
      <c r="R848" s="210"/>
      <c r="S848" s="232"/>
      <c r="T848" s="270"/>
    </row>
    <row r="849" spans="9:20" x14ac:dyDescent="0.25">
      <c r="I849" s="230"/>
      <c r="J849" s="42"/>
      <c r="N849" s="362"/>
      <c r="R849" s="210"/>
      <c r="S849" s="232"/>
      <c r="T849" s="270"/>
    </row>
    <row r="850" spans="9:20" x14ac:dyDescent="0.25">
      <c r="I850" s="230"/>
      <c r="J850" s="42"/>
      <c r="N850" s="362"/>
      <c r="R850" s="210"/>
      <c r="S850" s="232"/>
      <c r="T850" s="270"/>
    </row>
    <row r="851" spans="9:20" x14ac:dyDescent="0.25">
      <c r="I851" s="230"/>
      <c r="J851" s="42"/>
      <c r="N851" s="362"/>
      <c r="R851" s="210"/>
      <c r="S851" s="232"/>
      <c r="T851" s="270"/>
    </row>
    <row r="852" spans="9:20" x14ac:dyDescent="0.25">
      <c r="I852" s="230"/>
      <c r="J852" s="42"/>
      <c r="N852" s="362"/>
      <c r="R852" s="210"/>
      <c r="S852" s="232"/>
      <c r="T852" s="270"/>
    </row>
    <row r="853" spans="9:20" x14ac:dyDescent="0.25">
      <c r="I853" s="230"/>
      <c r="J853" s="42"/>
      <c r="N853" s="362"/>
      <c r="R853" s="210"/>
      <c r="S853" s="232"/>
      <c r="T853" s="270"/>
    </row>
    <row r="854" spans="9:20" x14ac:dyDescent="0.25">
      <c r="I854" s="230"/>
      <c r="J854" s="42"/>
      <c r="N854" s="362"/>
      <c r="R854" s="210"/>
      <c r="S854" s="232"/>
      <c r="T854" s="270"/>
    </row>
    <row r="855" spans="9:20" x14ac:dyDescent="0.25">
      <c r="I855" s="230"/>
      <c r="J855" s="42"/>
      <c r="N855" s="362"/>
      <c r="R855" s="210"/>
      <c r="S855" s="232"/>
      <c r="T855" s="270"/>
    </row>
    <row r="856" spans="9:20" x14ac:dyDescent="0.25">
      <c r="I856" s="230"/>
      <c r="J856" s="42"/>
      <c r="N856" s="362"/>
      <c r="R856" s="210"/>
      <c r="S856" s="232"/>
      <c r="T856" s="270"/>
    </row>
    <row r="857" spans="9:20" x14ac:dyDescent="0.25">
      <c r="I857" s="230"/>
      <c r="J857" s="42"/>
      <c r="N857" s="362"/>
      <c r="R857" s="210"/>
      <c r="S857" s="232"/>
      <c r="T857" s="270"/>
    </row>
    <row r="858" spans="9:20" x14ac:dyDescent="0.25">
      <c r="I858" s="230"/>
      <c r="J858" s="42"/>
      <c r="N858" s="362"/>
      <c r="R858" s="210"/>
      <c r="S858" s="232"/>
      <c r="T858" s="270"/>
    </row>
    <row r="859" spans="9:20" x14ac:dyDescent="0.25">
      <c r="I859" s="230"/>
      <c r="J859" s="42"/>
      <c r="N859" s="362"/>
      <c r="R859" s="210"/>
      <c r="S859" s="232"/>
      <c r="T859" s="270"/>
    </row>
    <row r="860" spans="9:20" x14ac:dyDescent="0.25">
      <c r="I860" s="230"/>
      <c r="J860" s="42"/>
      <c r="N860" s="362"/>
      <c r="R860" s="210"/>
      <c r="S860" s="232"/>
      <c r="T860" s="270"/>
    </row>
    <row r="861" spans="9:20" x14ac:dyDescent="0.25">
      <c r="I861" s="230"/>
      <c r="J861" s="42"/>
      <c r="N861" s="362"/>
      <c r="R861" s="210"/>
      <c r="S861" s="232"/>
      <c r="T861" s="270"/>
    </row>
    <row r="862" spans="9:20" x14ac:dyDescent="0.25">
      <c r="I862" s="230"/>
      <c r="J862" s="42"/>
      <c r="N862" s="362"/>
      <c r="R862" s="210"/>
      <c r="S862" s="232"/>
      <c r="T862" s="270"/>
    </row>
    <row r="863" spans="9:20" x14ac:dyDescent="0.25">
      <c r="I863" s="230"/>
      <c r="J863" s="42"/>
      <c r="N863" s="362"/>
      <c r="R863" s="210"/>
      <c r="S863" s="232"/>
      <c r="T863" s="270"/>
    </row>
    <row r="864" spans="9:20" x14ac:dyDescent="0.25">
      <c r="I864" s="230"/>
      <c r="J864" s="42"/>
      <c r="N864" s="362"/>
      <c r="R864" s="210"/>
      <c r="S864" s="232"/>
      <c r="T864" s="270"/>
    </row>
    <row r="865" spans="9:20" x14ac:dyDescent="0.25">
      <c r="I865" s="230"/>
      <c r="J865" s="42"/>
      <c r="N865" s="362"/>
      <c r="R865" s="210"/>
      <c r="S865" s="232"/>
      <c r="T865" s="270"/>
    </row>
    <row r="866" spans="9:20" x14ac:dyDescent="0.25">
      <c r="I866" s="230"/>
      <c r="J866" s="42"/>
      <c r="N866" s="362"/>
      <c r="R866" s="210"/>
      <c r="S866" s="232"/>
      <c r="T866" s="270"/>
    </row>
    <row r="867" spans="9:20" x14ac:dyDescent="0.25">
      <c r="I867" s="230"/>
      <c r="J867" s="42"/>
      <c r="N867" s="362"/>
      <c r="R867" s="210"/>
      <c r="S867" s="232"/>
      <c r="T867" s="270"/>
    </row>
    <row r="868" spans="9:20" x14ac:dyDescent="0.25">
      <c r="I868" s="230"/>
      <c r="J868" s="42"/>
      <c r="N868" s="362"/>
      <c r="R868" s="210"/>
      <c r="S868" s="232"/>
      <c r="T868" s="270"/>
    </row>
    <row r="869" spans="9:20" x14ac:dyDescent="0.25">
      <c r="I869" s="230"/>
      <c r="J869" s="42"/>
      <c r="N869" s="362"/>
      <c r="R869" s="210"/>
      <c r="S869" s="232"/>
      <c r="T869" s="270"/>
    </row>
    <row r="870" spans="9:20" x14ac:dyDescent="0.25">
      <c r="I870" s="230"/>
      <c r="J870" s="42"/>
      <c r="N870" s="362"/>
      <c r="R870" s="210"/>
      <c r="S870" s="232"/>
      <c r="T870" s="270"/>
    </row>
    <row r="871" spans="9:20" x14ac:dyDescent="0.25">
      <c r="I871" s="230"/>
      <c r="J871" s="42"/>
      <c r="N871" s="362"/>
      <c r="R871" s="210"/>
      <c r="S871" s="232"/>
      <c r="T871" s="270"/>
    </row>
    <row r="872" spans="9:20" x14ac:dyDescent="0.25">
      <c r="I872" s="230"/>
      <c r="J872" s="42"/>
      <c r="N872" s="362"/>
      <c r="R872" s="210"/>
      <c r="S872" s="232"/>
      <c r="T872" s="270"/>
    </row>
    <row r="873" spans="9:20" x14ac:dyDescent="0.25">
      <c r="I873" s="230"/>
      <c r="J873" s="42"/>
      <c r="N873" s="362"/>
      <c r="R873" s="210"/>
      <c r="S873" s="232"/>
      <c r="T873" s="270"/>
    </row>
    <row r="874" spans="9:20" x14ac:dyDescent="0.25">
      <c r="I874" s="230"/>
      <c r="J874" s="42"/>
      <c r="N874" s="362"/>
      <c r="R874" s="210"/>
      <c r="S874" s="232"/>
      <c r="T874" s="270"/>
    </row>
    <row r="875" spans="9:20" x14ac:dyDescent="0.25">
      <c r="I875" s="230"/>
      <c r="J875" s="42"/>
      <c r="N875" s="362"/>
      <c r="R875" s="210"/>
      <c r="S875" s="232"/>
      <c r="T875" s="270"/>
    </row>
    <row r="876" spans="9:20" x14ac:dyDescent="0.25">
      <c r="I876" s="230"/>
      <c r="J876" s="42"/>
      <c r="N876" s="362"/>
      <c r="R876" s="210"/>
      <c r="S876" s="232"/>
      <c r="T876" s="270"/>
    </row>
    <row r="877" spans="9:20" x14ac:dyDescent="0.25">
      <c r="I877" s="230"/>
      <c r="J877" s="42"/>
      <c r="N877" s="362"/>
      <c r="R877" s="210"/>
      <c r="S877" s="232"/>
      <c r="T877" s="270"/>
    </row>
    <row r="878" spans="9:20" x14ac:dyDescent="0.25">
      <c r="I878" s="230"/>
      <c r="J878" s="42"/>
      <c r="N878" s="362"/>
      <c r="R878" s="210"/>
      <c r="S878" s="232"/>
      <c r="T878" s="270"/>
    </row>
    <row r="879" spans="9:20" x14ac:dyDescent="0.25">
      <c r="I879" s="230"/>
      <c r="J879" s="42"/>
      <c r="N879" s="362"/>
      <c r="R879" s="210"/>
      <c r="S879" s="232"/>
      <c r="T879" s="270"/>
    </row>
    <row r="880" spans="9:20" x14ac:dyDescent="0.25">
      <c r="I880" s="230"/>
      <c r="J880" s="42"/>
      <c r="N880" s="362"/>
      <c r="R880" s="210"/>
      <c r="S880" s="232"/>
      <c r="T880" s="270"/>
    </row>
    <row r="881" spans="9:20" x14ac:dyDescent="0.25">
      <c r="I881" s="230"/>
      <c r="J881" s="42"/>
      <c r="N881" s="362"/>
      <c r="R881" s="210"/>
      <c r="S881" s="232"/>
      <c r="T881" s="270"/>
    </row>
    <row r="882" spans="9:20" x14ac:dyDescent="0.25">
      <c r="I882" s="230"/>
      <c r="J882" s="42"/>
      <c r="N882" s="362"/>
      <c r="R882" s="210"/>
      <c r="S882" s="232"/>
      <c r="T882" s="270"/>
    </row>
    <row r="883" spans="9:20" x14ac:dyDescent="0.25">
      <c r="I883" s="230"/>
      <c r="J883" s="42"/>
      <c r="N883" s="362"/>
      <c r="R883" s="210"/>
      <c r="S883" s="232"/>
      <c r="T883" s="270"/>
    </row>
    <row r="884" spans="9:20" x14ac:dyDescent="0.25">
      <c r="I884" s="230"/>
      <c r="J884" s="42"/>
      <c r="N884" s="362"/>
      <c r="R884" s="210"/>
      <c r="S884" s="232"/>
      <c r="T884" s="270"/>
    </row>
    <row r="885" spans="9:20" x14ac:dyDescent="0.25">
      <c r="I885" s="230"/>
      <c r="J885" s="42"/>
      <c r="N885" s="362"/>
      <c r="R885" s="210"/>
      <c r="S885" s="232"/>
      <c r="T885" s="270"/>
    </row>
    <row r="886" spans="9:20" x14ac:dyDescent="0.25">
      <c r="I886" s="230"/>
      <c r="J886" s="42"/>
      <c r="N886" s="362"/>
      <c r="R886" s="210"/>
      <c r="S886" s="232"/>
      <c r="T886" s="270"/>
    </row>
    <row r="887" spans="9:20" x14ac:dyDescent="0.25">
      <c r="I887" s="230"/>
      <c r="J887" s="42"/>
      <c r="N887" s="362"/>
      <c r="R887" s="210"/>
      <c r="S887" s="232"/>
      <c r="T887" s="270"/>
    </row>
    <row r="888" spans="9:20" x14ac:dyDescent="0.25">
      <c r="I888" s="230"/>
      <c r="J888" s="42"/>
      <c r="N888" s="362"/>
      <c r="R888" s="210"/>
      <c r="S888" s="232"/>
      <c r="T888" s="270"/>
    </row>
    <row r="889" spans="9:20" x14ac:dyDescent="0.25">
      <c r="I889" s="230"/>
      <c r="J889" s="42"/>
      <c r="N889" s="362"/>
      <c r="R889" s="210"/>
      <c r="S889" s="232"/>
      <c r="T889" s="270"/>
    </row>
    <row r="890" spans="9:20" x14ac:dyDescent="0.25">
      <c r="I890" s="230"/>
      <c r="J890" s="42"/>
      <c r="N890" s="362"/>
      <c r="R890" s="210"/>
      <c r="S890" s="232"/>
      <c r="T890" s="270"/>
    </row>
    <row r="891" spans="9:20" x14ac:dyDescent="0.25">
      <c r="I891" s="230"/>
      <c r="J891" s="42"/>
      <c r="N891" s="362"/>
      <c r="R891" s="210"/>
      <c r="S891" s="232"/>
      <c r="T891" s="270"/>
    </row>
    <row r="892" spans="9:20" x14ac:dyDescent="0.25">
      <c r="I892" s="230"/>
      <c r="J892" s="42"/>
      <c r="N892" s="362"/>
      <c r="R892" s="210"/>
      <c r="S892" s="232"/>
      <c r="T892" s="270"/>
    </row>
    <row r="893" spans="9:20" x14ac:dyDescent="0.25">
      <c r="I893" s="230"/>
      <c r="J893" s="42"/>
      <c r="N893" s="362"/>
      <c r="R893" s="210"/>
      <c r="S893" s="232"/>
      <c r="T893" s="270"/>
    </row>
    <row r="894" spans="9:20" x14ac:dyDescent="0.25">
      <c r="I894" s="230"/>
      <c r="J894" s="42"/>
      <c r="N894" s="362"/>
      <c r="R894" s="210"/>
      <c r="S894" s="232"/>
      <c r="T894" s="270"/>
    </row>
    <row r="895" spans="9:20" x14ac:dyDescent="0.25">
      <c r="I895" s="230"/>
      <c r="J895" s="42"/>
      <c r="N895" s="362"/>
      <c r="R895" s="210"/>
      <c r="S895" s="232"/>
      <c r="T895" s="270"/>
    </row>
    <row r="896" spans="9:20" x14ac:dyDescent="0.25">
      <c r="I896" s="230"/>
      <c r="J896" s="42"/>
      <c r="N896" s="362"/>
      <c r="R896" s="210"/>
      <c r="S896" s="232"/>
      <c r="T896" s="270"/>
    </row>
    <row r="897" spans="9:20" x14ac:dyDescent="0.25">
      <c r="I897" s="230"/>
      <c r="J897" s="42"/>
      <c r="N897" s="362"/>
      <c r="R897" s="210"/>
      <c r="S897" s="232"/>
      <c r="T897" s="270"/>
    </row>
    <row r="898" spans="9:20" x14ac:dyDescent="0.25">
      <c r="I898" s="230"/>
      <c r="J898" s="42"/>
      <c r="N898" s="362"/>
      <c r="R898" s="210"/>
      <c r="S898" s="232"/>
      <c r="T898" s="270"/>
    </row>
    <row r="899" spans="9:20" x14ac:dyDescent="0.25">
      <c r="I899" s="230"/>
      <c r="J899" s="42"/>
      <c r="N899" s="362"/>
      <c r="R899" s="210"/>
      <c r="S899" s="232"/>
      <c r="T899" s="270"/>
    </row>
    <row r="900" spans="9:20" x14ac:dyDescent="0.25">
      <c r="I900" s="230"/>
      <c r="J900" s="42"/>
      <c r="N900" s="362"/>
      <c r="R900" s="210"/>
      <c r="S900" s="232"/>
      <c r="T900" s="270"/>
    </row>
    <row r="901" spans="9:20" x14ac:dyDescent="0.25">
      <c r="I901" s="230"/>
      <c r="J901" s="42"/>
      <c r="N901" s="362"/>
      <c r="R901" s="210"/>
      <c r="S901" s="232"/>
      <c r="T901" s="270"/>
    </row>
    <row r="902" spans="9:20" x14ac:dyDescent="0.25">
      <c r="I902" s="230"/>
      <c r="J902" s="42"/>
      <c r="N902" s="362"/>
      <c r="R902" s="210"/>
      <c r="S902" s="232"/>
      <c r="T902" s="270"/>
    </row>
    <row r="903" spans="9:20" x14ac:dyDescent="0.25">
      <c r="I903" s="230"/>
      <c r="J903" s="42"/>
      <c r="N903" s="362"/>
      <c r="R903" s="210"/>
      <c r="S903" s="232"/>
      <c r="T903" s="270"/>
    </row>
    <row r="904" spans="9:20" x14ac:dyDescent="0.25">
      <c r="I904" s="230"/>
      <c r="J904" s="42"/>
      <c r="N904" s="362"/>
      <c r="R904" s="210"/>
      <c r="S904" s="232"/>
      <c r="T904" s="270"/>
    </row>
    <row r="905" spans="9:20" x14ac:dyDescent="0.25">
      <c r="I905" s="230"/>
      <c r="J905" s="42"/>
      <c r="N905" s="362"/>
      <c r="R905" s="210"/>
      <c r="S905" s="232"/>
      <c r="T905" s="270"/>
    </row>
    <row r="906" spans="9:20" x14ac:dyDescent="0.25">
      <c r="I906" s="230"/>
      <c r="J906" s="42"/>
      <c r="N906" s="362"/>
      <c r="R906" s="210"/>
      <c r="S906" s="232"/>
      <c r="T906" s="270"/>
    </row>
    <row r="907" spans="9:20" x14ac:dyDescent="0.25">
      <c r="I907" s="230"/>
      <c r="J907" s="42"/>
      <c r="N907" s="362"/>
      <c r="R907" s="210"/>
      <c r="S907" s="232"/>
      <c r="T907" s="270"/>
    </row>
    <row r="908" spans="9:20" x14ac:dyDescent="0.25">
      <c r="I908" s="230"/>
      <c r="J908" s="42"/>
      <c r="N908" s="362"/>
      <c r="R908" s="210"/>
      <c r="S908" s="232"/>
      <c r="T908" s="270"/>
    </row>
    <row r="909" spans="9:20" x14ac:dyDescent="0.25">
      <c r="I909" s="230"/>
      <c r="J909" s="42"/>
      <c r="N909" s="362"/>
      <c r="R909" s="210"/>
      <c r="S909" s="232"/>
      <c r="T909" s="270"/>
    </row>
    <row r="910" spans="9:20" x14ac:dyDescent="0.25">
      <c r="I910" s="230"/>
      <c r="J910" s="42"/>
      <c r="N910" s="362"/>
      <c r="R910" s="210"/>
      <c r="S910" s="232"/>
      <c r="T910" s="270"/>
    </row>
    <row r="911" spans="9:20" x14ac:dyDescent="0.25">
      <c r="I911" s="230"/>
      <c r="J911" s="42"/>
      <c r="N911" s="362"/>
      <c r="R911" s="210"/>
      <c r="S911" s="232"/>
      <c r="T911" s="270"/>
    </row>
    <row r="912" spans="9:20" x14ac:dyDescent="0.25">
      <c r="I912" s="230"/>
      <c r="J912" s="42"/>
      <c r="N912" s="362"/>
      <c r="R912" s="210"/>
      <c r="S912" s="232"/>
      <c r="T912" s="270"/>
    </row>
    <row r="913" spans="9:20" x14ac:dyDescent="0.25">
      <c r="I913" s="230"/>
      <c r="J913" s="42"/>
      <c r="N913" s="362"/>
      <c r="R913" s="210"/>
      <c r="S913" s="232"/>
      <c r="T913" s="270"/>
    </row>
    <row r="914" spans="9:20" x14ac:dyDescent="0.25">
      <c r="I914" s="230"/>
      <c r="J914" s="42"/>
      <c r="N914" s="362"/>
      <c r="R914" s="210"/>
      <c r="S914" s="232"/>
      <c r="T914" s="270"/>
    </row>
    <row r="915" spans="9:20" x14ac:dyDescent="0.25">
      <c r="I915" s="230"/>
      <c r="J915" s="42"/>
      <c r="N915" s="362"/>
      <c r="R915" s="210"/>
      <c r="S915" s="232"/>
      <c r="T915" s="270"/>
    </row>
    <row r="916" spans="9:20" x14ac:dyDescent="0.25">
      <c r="I916" s="230"/>
      <c r="J916" s="42"/>
      <c r="N916" s="362"/>
      <c r="R916" s="210"/>
      <c r="S916" s="232"/>
      <c r="T916" s="270"/>
    </row>
    <row r="917" spans="9:20" x14ac:dyDescent="0.25">
      <c r="I917" s="230"/>
      <c r="J917" s="42"/>
      <c r="N917" s="362"/>
      <c r="R917" s="210"/>
      <c r="S917" s="232"/>
      <c r="T917" s="270"/>
    </row>
    <row r="918" spans="9:20" x14ac:dyDescent="0.25">
      <c r="I918" s="230"/>
      <c r="J918" s="42"/>
      <c r="N918" s="362"/>
      <c r="R918" s="210"/>
      <c r="S918" s="232"/>
      <c r="T918" s="270"/>
    </row>
    <row r="919" spans="9:20" x14ac:dyDescent="0.25">
      <c r="I919" s="230"/>
      <c r="J919" s="42"/>
      <c r="N919" s="362"/>
      <c r="R919" s="210"/>
      <c r="S919" s="232"/>
      <c r="T919" s="270"/>
    </row>
    <row r="920" spans="9:20" x14ac:dyDescent="0.25">
      <c r="I920" s="230"/>
      <c r="J920" s="42"/>
      <c r="N920" s="362"/>
      <c r="R920" s="210"/>
      <c r="S920" s="232"/>
      <c r="T920" s="270"/>
    </row>
    <row r="921" spans="9:20" x14ac:dyDescent="0.25">
      <c r="I921" s="230"/>
      <c r="J921" s="42"/>
      <c r="N921" s="362"/>
      <c r="R921" s="210"/>
      <c r="S921" s="232"/>
      <c r="T921" s="270"/>
    </row>
    <row r="922" spans="9:20" x14ac:dyDescent="0.25">
      <c r="I922" s="230"/>
      <c r="J922" s="42"/>
      <c r="N922" s="362"/>
      <c r="R922" s="210"/>
      <c r="S922" s="232"/>
      <c r="T922" s="270"/>
    </row>
    <row r="923" spans="9:20" x14ac:dyDescent="0.25">
      <c r="I923" s="230"/>
      <c r="J923" s="42"/>
      <c r="N923" s="362"/>
      <c r="R923" s="210"/>
      <c r="S923" s="232"/>
      <c r="T923" s="270"/>
    </row>
    <row r="924" spans="9:20" x14ac:dyDescent="0.25">
      <c r="I924" s="230"/>
      <c r="J924" s="42"/>
      <c r="N924" s="362"/>
      <c r="R924" s="210"/>
      <c r="S924" s="232"/>
      <c r="T924" s="270"/>
    </row>
    <row r="925" spans="9:20" x14ac:dyDescent="0.25">
      <c r="I925" s="230"/>
      <c r="J925" s="42"/>
      <c r="N925" s="362"/>
      <c r="R925" s="210"/>
      <c r="S925" s="232"/>
      <c r="T925" s="270"/>
    </row>
    <row r="926" spans="9:20" x14ac:dyDescent="0.25">
      <c r="I926" s="230"/>
      <c r="J926" s="42"/>
      <c r="N926" s="362"/>
      <c r="R926" s="210"/>
      <c r="S926" s="232"/>
      <c r="T926" s="270"/>
    </row>
    <row r="927" spans="9:20" x14ac:dyDescent="0.25">
      <c r="I927" s="230"/>
      <c r="J927" s="42"/>
      <c r="N927" s="362"/>
      <c r="R927" s="210"/>
      <c r="S927" s="232"/>
      <c r="T927" s="270"/>
    </row>
    <row r="928" spans="9:20" x14ac:dyDescent="0.25">
      <c r="I928" s="230"/>
      <c r="J928" s="42"/>
      <c r="N928" s="362"/>
      <c r="R928" s="210"/>
      <c r="S928" s="232"/>
      <c r="T928" s="270"/>
    </row>
    <row r="929" spans="9:20" x14ac:dyDescent="0.25">
      <c r="I929" s="230"/>
      <c r="J929" s="42"/>
      <c r="N929" s="362"/>
      <c r="R929" s="210"/>
      <c r="S929" s="232"/>
      <c r="T929" s="270"/>
    </row>
    <row r="930" spans="9:20" x14ac:dyDescent="0.25">
      <c r="I930" s="230"/>
      <c r="J930" s="42"/>
      <c r="N930" s="362"/>
      <c r="R930" s="210"/>
      <c r="S930" s="232"/>
      <c r="T930" s="270"/>
    </row>
    <row r="931" spans="9:20" x14ac:dyDescent="0.25">
      <c r="I931" s="230"/>
      <c r="J931" s="42"/>
      <c r="N931" s="362"/>
      <c r="R931" s="210"/>
      <c r="S931" s="232"/>
      <c r="T931" s="270"/>
    </row>
    <row r="932" spans="9:20" x14ac:dyDescent="0.25">
      <c r="I932" s="230"/>
      <c r="J932" s="42"/>
      <c r="N932" s="362"/>
      <c r="R932" s="210"/>
      <c r="S932" s="232"/>
      <c r="T932" s="270"/>
    </row>
    <row r="933" spans="9:20" x14ac:dyDescent="0.25">
      <c r="I933" s="230"/>
      <c r="J933" s="42"/>
      <c r="N933" s="362"/>
      <c r="R933" s="210"/>
      <c r="S933" s="232"/>
      <c r="T933" s="270"/>
    </row>
    <row r="934" spans="9:20" x14ac:dyDescent="0.25">
      <c r="I934" s="230"/>
      <c r="J934" s="42"/>
      <c r="N934" s="362"/>
      <c r="R934" s="210"/>
      <c r="S934" s="232"/>
      <c r="T934" s="270"/>
    </row>
    <row r="935" spans="9:20" x14ac:dyDescent="0.25">
      <c r="I935" s="230"/>
      <c r="J935" s="42"/>
      <c r="N935" s="362"/>
      <c r="R935" s="210"/>
      <c r="S935" s="232"/>
      <c r="T935" s="270"/>
    </row>
    <row r="936" spans="9:20" x14ac:dyDescent="0.25">
      <c r="I936" s="230"/>
      <c r="J936" s="42"/>
      <c r="N936" s="362"/>
      <c r="R936" s="210"/>
      <c r="S936" s="232"/>
      <c r="T936" s="270"/>
    </row>
    <row r="937" spans="9:20" x14ac:dyDescent="0.25">
      <c r="I937" s="230"/>
      <c r="J937" s="42"/>
      <c r="N937" s="362"/>
      <c r="R937" s="210"/>
      <c r="S937" s="232"/>
      <c r="T937" s="270"/>
    </row>
    <row r="938" spans="9:20" x14ac:dyDescent="0.25">
      <c r="I938" s="230"/>
      <c r="J938" s="42"/>
      <c r="N938" s="362"/>
      <c r="R938" s="210"/>
      <c r="S938" s="232"/>
      <c r="T938" s="270"/>
    </row>
    <row r="939" spans="9:20" x14ac:dyDescent="0.25">
      <c r="I939" s="230"/>
      <c r="J939" s="42"/>
      <c r="N939" s="362"/>
      <c r="R939" s="210"/>
      <c r="S939" s="232"/>
      <c r="T939" s="270"/>
    </row>
    <row r="940" spans="9:20" x14ac:dyDescent="0.25">
      <c r="I940" s="230"/>
      <c r="J940" s="42"/>
      <c r="N940" s="362"/>
      <c r="R940" s="210"/>
      <c r="S940" s="232"/>
      <c r="T940" s="270"/>
    </row>
    <row r="941" spans="9:20" x14ac:dyDescent="0.25">
      <c r="I941" s="230"/>
      <c r="J941" s="42"/>
      <c r="N941" s="362"/>
      <c r="R941" s="210"/>
      <c r="S941" s="232"/>
      <c r="T941" s="270"/>
    </row>
    <row r="942" spans="9:20" x14ac:dyDescent="0.25">
      <c r="I942" s="230"/>
      <c r="J942" s="42"/>
      <c r="N942" s="362"/>
      <c r="R942" s="210"/>
      <c r="S942" s="232"/>
      <c r="T942" s="270"/>
    </row>
    <row r="943" spans="9:20" x14ac:dyDescent="0.25">
      <c r="I943" s="230"/>
      <c r="J943" s="42"/>
      <c r="N943" s="362"/>
      <c r="R943" s="210"/>
      <c r="S943" s="232"/>
      <c r="T943" s="270"/>
    </row>
    <row r="944" spans="9:20" x14ac:dyDescent="0.25">
      <c r="I944" s="230"/>
      <c r="J944" s="42"/>
      <c r="N944" s="362"/>
      <c r="R944" s="210"/>
      <c r="S944" s="232"/>
      <c r="T944" s="270"/>
    </row>
    <row r="945" spans="9:20" x14ac:dyDescent="0.25">
      <c r="I945" s="230"/>
      <c r="J945" s="42"/>
      <c r="N945" s="362"/>
      <c r="R945" s="210"/>
      <c r="S945" s="232"/>
      <c r="T945" s="270"/>
    </row>
    <row r="946" spans="9:20" x14ac:dyDescent="0.25">
      <c r="I946" s="230"/>
      <c r="J946" s="42"/>
      <c r="N946" s="362"/>
      <c r="R946" s="210"/>
      <c r="S946" s="232"/>
      <c r="T946" s="270"/>
    </row>
    <row r="947" spans="9:20" x14ac:dyDescent="0.25">
      <c r="I947" s="230"/>
      <c r="J947" s="42"/>
      <c r="N947" s="362"/>
      <c r="R947" s="210"/>
      <c r="S947" s="232"/>
      <c r="T947" s="270"/>
    </row>
    <row r="948" spans="9:20" x14ac:dyDescent="0.25">
      <c r="I948" s="230"/>
      <c r="J948" s="42"/>
      <c r="N948" s="362"/>
      <c r="R948" s="210"/>
      <c r="S948" s="232"/>
      <c r="T948" s="270"/>
    </row>
    <row r="949" spans="9:20" x14ac:dyDescent="0.25">
      <c r="I949" s="230"/>
      <c r="J949" s="42"/>
      <c r="N949" s="362"/>
      <c r="R949" s="210"/>
      <c r="S949" s="232"/>
      <c r="T949" s="270"/>
    </row>
    <row r="950" spans="9:20" x14ac:dyDescent="0.25">
      <c r="I950" s="230"/>
      <c r="J950" s="42"/>
      <c r="N950" s="362"/>
      <c r="R950" s="210"/>
      <c r="S950" s="232"/>
      <c r="T950" s="270"/>
    </row>
    <row r="951" spans="9:20" x14ac:dyDescent="0.25">
      <c r="I951" s="230"/>
      <c r="J951" s="42"/>
      <c r="N951" s="362"/>
      <c r="R951" s="210"/>
      <c r="S951" s="232"/>
      <c r="T951" s="270"/>
    </row>
    <row r="952" spans="9:20" x14ac:dyDescent="0.25">
      <c r="I952" s="230"/>
      <c r="J952" s="42"/>
      <c r="N952" s="362"/>
      <c r="R952" s="210"/>
      <c r="S952" s="232"/>
      <c r="T952" s="270"/>
    </row>
    <row r="953" spans="9:20" x14ac:dyDescent="0.25">
      <c r="I953" s="230"/>
      <c r="J953" s="42"/>
      <c r="N953" s="362"/>
      <c r="R953" s="210"/>
      <c r="S953" s="232"/>
      <c r="T953" s="270"/>
    </row>
    <row r="954" spans="9:20" x14ac:dyDescent="0.25">
      <c r="I954" s="230"/>
      <c r="J954" s="42"/>
      <c r="N954" s="362"/>
      <c r="R954" s="210"/>
      <c r="S954" s="232"/>
      <c r="T954" s="270"/>
    </row>
    <row r="955" spans="9:20" x14ac:dyDescent="0.25">
      <c r="I955" s="230"/>
      <c r="J955" s="42"/>
      <c r="N955" s="362"/>
      <c r="R955" s="210"/>
      <c r="S955" s="232"/>
      <c r="T955" s="270"/>
    </row>
    <row r="956" spans="9:20" x14ac:dyDescent="0.25">
      <c r="I956" s="230"/>
      <c r="J956" s="42"/>
      <c r="N956" s="362"/>
      <c r="R956" s="210"/>
      <c r="S956" s="232"/>
      <c r="T956" s="270"/>
    </row>
    <row r="957" spans="9:20" x14ac:dyDescent="0.25">
      <c r="I957" s="230"/>
      <c r="J957" s="42"/>
      <c r="N957" s="362"/>
      <c r="R957" s="210"/>
      <c r="S957" s="232"/>
      <c r="T957" s="270"/>
    </row>
    <row r="958" spans="9:20" x14ac:dyDescent="0.25">
      <c r="I958" s="230"/>
      <c r="J958" s="42"/>
      <c r="N958" s="362"/>
      <c r="R958" s="210"/>
      <c r="S958" s="232"/>
      <c r="T958" s="270"/>
    </row>
    <row r="959" spans="9:20" x14ac:dyDescent="0.25">
      <c r="I959" s="230"/>
      <c r="J959" s="42"/>
      <c r="N959" s="362"/>
      <c r="R959" s="210"/>
      <c r="S959" s="232"/>
      <c r="T959" s="270"/>
    </row>
    <row r="960" spans="9:20" x14ac:dyDescent="0.25">
      <c r="I960" s="230"/>
      <c r="J960" s="42"/>
      <c r="N960" s="362"/>
      <c r="R960" s="210"/>
      <c r="S960" s="232"/>
      <c r="T960" s="270"/>
    </row>
    <row r="961" spans="9:20" x14ac:dyDescent="0.25">
      <c r="I961" s="230"/>
      <c r="J961" s="42"/>
      <c r="N961" s="362"/>
      <c r="R961" s="210"/>
      <c r="S961" s="232"/>
      <c r="T961" s="270"/>
    </row>
    <row r="962" spans="9:20" x14ac:dyDescent="0.25">
      <c r="I962" s="230"/>
      <c r="J962" s="42"/>
      <c r="N962" s="362"/>
      <c r="R962" s="210"/>
      <c r="S962" s="232"/>
      <c r="T962" s="270"/>
    </row>
    <row r="963" spans="9:20" x14ac:dyDescent="0.25">
      <c r="I963" s="230"/>
      <c r="J963" s="42"/>
      <c r="N963" s="362"/>
      <c r="R963" s="210"/>
      <c r="S963" s="232"/>
      <c r="T963" s="270"/>
    </row>
    <row r="964" spans="9:20" x14ac:dyDescent="0.25">
      <c r="I964" s="230"/>
      <c r="J964" s="42"/>
      <c r="N964" s="362"/>
      <c r="R964" s="210"/>
      <c r="S964" s="232"/>
      <c r="T964" s="270"/>
    </row>
    <row r="965" spans="9:20" x14ac:dyDescent="0.25">
      <c r="I965" s="230"/>
      <c r="J965" s="42"/>
      <c r="N965" s="362"/>
      <c r="R965" s="210"/>
      <c r="S965" s="232"/>
      <c r="T965" s="270"/>
    </row>
    <row r="966" spans="9:20" x14ac:dyDescent="0.25">
      <c r="I966" s="230"/>
      <c r="J966" s="42"/>
      <c r="N966" s="362"/>
      <c r="R966" s="210"/>
      <c r="S966" s="232"/>
      <c r="T966" s="270"/>
    </row>
    <row r="967" spans="9:20" x14ac:dyDescent="0.25">
      <c r="I967" s="230"/>
      <c r="J967" s="42"/>
      <c r="N967" s="362"/>
      <c r="R967" s="210"/>
      <c r="S967" s="232"/>
      <c r="T967" s="270"/>
    </row>
    <row r="968" spans="9:20" x14ac:dyDescent="0.25">
      <c r="I968" s="230"/>
      <c r="J968" s="42"/>
      <c r="N968" s="362"/>
      <c r="R968" s="210"/>
      <c r="S968" s="232"/>
      <c r="T968" s="270"/>
    </row>
    <row r="969" spans="9:20" x14ac:dyDescent="0.25">
      <c r="I969" s="230"/>
      <c r="J969" s="42"/>
      <c r="N969" s="362"/>
      <c r="R969" s="210"/>
      <c r="S969" s="232"/>
      <c r="T969" s="270"/>
    </row>
    <row r="970" spans="9:20" x14ac:dyDescent="0.25">
      <c r="I970" s="230"/>
      <c r="J970" s="42"/>
      <c r="N970" s="362"/>
      <c r="R970" s="210"/>
      <c r="S970" s="232"/>
      <c r="T970" s="270"/>
    </row>
    <row r="971" spans="9:20" x14ac:dyDescent="0.25">
      <c r="I971" s="230"/>
      <c r="J971" s="42"/>
      <c r="N971" s="362"/>
      <c r="R971" s="210"/>
      <c r="S971" s="232"/>
      <c r="T971" s="270"/>
    </row>
    <row r="972" spans="9:20" x14ac:dyDescent="0.25">
      <c r="I972" s="230"/>
      <c r="J972" s="42"/>
      <c r="N972" s="362"/>
      <c r="R972" s="210"/>
      <c r="S972" s="232"/>
      <c r="T972" s="270"/>
    </row>
    <row r="973" spans="9:20" x14ac:dyDescent="0.25">
      <c r="J973" s="42"/>
      <c r="N973" s="362"/>
      <c r="R973" s="210"/>
      <c r="S973" s="232"/>
      <c r="T973" s="270"/>
    </row>
    <row r="974" spans="9:20" x14ac:dyDescent="0.25">
      <c r="J974" s="42"/>
      <c r="N974" s="362"/>
      <c r="R974" s="210"/>
      <c r="S974" s="232"/>
      <c r="T974" s="270"/>
    </row>
    <row r="975" spans="9:20" x14ac:dyDescent="0.25">
      <c r="J975" s="42"/>
      <c r="N975" s="362"/>
      <c r="R975" s="210"/>
      <c r="S975" s="232"/>
      <c r="T975" s="270"/>
    </row>
    <row r="976" spans="9:20" x14ac:dyDescent="0.25">
      <c r="J976" s="42"/>
      <c r="N976" s="362"/>
      <c r="R976" s="210"/>
      <c r="S976" s="232"/>
      <c r="T976" s="270"/>
    </row>
    <row r="977" spans="10:20" x14ac:dyDescent="0.25">
      <c r="J977" s="42"/>
      <c r="N977" s="362"/>
      <c r="R977" s="210"/>
      <c r="S977" s="232"/>
      <c r="T977" s="270"/>
    </row>
    <row r="978" spans="10:20" x14ac:dyDescent="0.25">
      <c r="J978" s="42"/>
      <c r="N978" s="362"/>
      <c r="R978" s="210"/>
      <c r="S978" s="232"/>
      <c r="T978" s="270"/>
    </row>
    <row r="979" spans="10:20" x14ac:dyDescent="0.25">
      <c r="J979" s="42"/>
      <c r="N979" s="362"/>
      <c r="R979" s="210"/>
      <c r="S979" s="232"/>
      <c r="T979" s="270"/>
    </row>
    <row r="980" spans="10:20" x14ac:dyDescent="0.25">
      <c r="J980" s="42"/>
      <c r="N980" s="362"/>
      <c r="R980" s="210"/>
      <c r="S980" s="232"/>
      <c r="T980" s="270"/>
    </row>
    <row r="981" spans="10:20" x14ac:dyDescent="0.25">
      <c r="J981" s="42"/>
      <c r="N981" s="362"/>
      <c r="R981" s="210"/>
      <c r="S981" s="232"/>
      <c r="T981" s="270"/>
    </row>
    <row r="982" spans="10:20" x14ac:dyDescent="0.25">
      <c r="J982" s="42"/>
      <c r="N982" s="362"/>
      <c r="R982" s="210"/>
      <c r="S982" s="232"/>
      <c r="T982" s="270"/>
    </row>
    <row r="983" spans="10:20" x14ac:dyDescent="0.25">
      <c r="J983" s="42"/>
      <c r="N983" s="362"/>
      <c r="R983" s="210"/>
      <c r="S983" s="232"/>
      <c r="T983" s="270"/>
    </row>
    <row r="984" spans="10:20" x14ac:dyDescent="0.25">
      <c r="J984" s="42"/>
      <c r="N984" s="362"/>
      <c r="R984" s="210"/>
      <c r="S984" s="232"/>
      <c r="T984" s="270"/>
    </row>
    <row r="985" spans="10:20" x14ac:dyDescent="0.25">
      <c r="J985" s="42"/>
      <c r="N985" s="362"/>
      <c r="R985" s="210"/>
      <c r="S985" s="232"/>
      <c r="T985" s="270"/>
    </row>
    <row r="986" spans="10:20" x14ac:dyDescent="0.25">
      <c r="J986" s="42"/>
      <c r="N986" s="362"/>
      <c r="R986" s="210"/>
      <c r="S986" s="232"/>
      <c r="T986" s="270"/>
    </row>
    <row r="987" spans="10:20" x14ac:dyDescent="0.25">
      <c r="J987" s="42"/>
      <c r="N987" s="362"/>
      <c r="R987" s="210"/>
      <c r="S987" s="232"/>
      <c r="T987" s="270"/>
    </row>
    <row r="988" spans="10:20" x14ac:dyDescent="0.25">
      <c r="J988" s="42"/>
      <c r="N988" s="362"/>
      <c r="R988" s="210"/>
      <c r="S988" s="232"/>
      <c r="T988" s="270"/>
    </row>
    <row r="989" spans="10:20" x14ac:dyDescent="0.25">
      <c r="J989" s="42"/>
      <c r="N989" s="362"/>
      <c r="R989" s="210"/>
      <c r="S989" s="232"/>
      <c r="T989" s="270"/>
    </row>
    <row r="990" spans="10:20" x14ac:dyDescent="0.25">
      <c r="J990" s="42"/>
      <c r="N990" s="362"/>
      <c r="R990" s="210"/>
      <c r="S990" s="232"/>
      <c r="T990" s="270"/>
    </row>
    <row r="991" spans="10:20" x14ac:dyDescent="0.25">
      <c r="J991" s="42"/>
      <c r="N991" s="362"/>
      <c r="R991" s="210"/>
      <c r="S991" s="232"/>
      <c r="T991" s="270"/>
    </row>
    <row r="992" spans="10:20" x14ac:dyDescent="0.25">
      <c r="J992" s="42"/>
      <c r="N992" s="362"/>
      <c r="R992" s="210"/>
      <c r="S992" s="232"/>
      <c r="T992" s="270"/>
    </row>
    <row r="993" spans="10:20" x14ac:dyDescent="0.25">
      <c r="J993" s="42"/>
      <c r="N993" s="362"/>
      <c r="R993" s="210"/>
      <c r="S993" s="232"/>
      <c r="T993" s="270"/>
    </row>
    <row r="994" spans="10:20" x14ac:dyDescent="0.25">
      <c r="J994" s="42"/>
      <c r="N994" s="362"/>
      <c r="R994" s="210"/>
      <c r="S994" s="232"/>
      <c r="T994" s="270"/>
    </row>
    <row r="995" spans="10:20" x14ac:dyDescent="0.25">
      <c r="J995" s="42"/>
      <c r="N995" s="362"/>
      <c r="R995" s="210"/>
      <c r="S995" s="232"/>
      <c r="T995" s="270"/>
    </row>
    <row r="996" spans="10:20" x14ac:dyDescent="0.25">
      <c r="J996" s="42"/>
      <c r="N996" s="362"/>
      <c r="R996" s="210"/>
      <c r="S996" s="232"/>
      <c r="T996" s="270"/>
    </row>
    <row r="997" spans="10:20" x14ac:dyDescent="0.25">
      <c r="J997" s="42"/>
      <c r="N997" s="362"/>
      <c r="R997" s="210"/>
      <c r="S997" s="232"/>
      <c r="T997" s="270"/>
    </row>
    <row r="998" spans="10:20" x14ac:dyDescent="0.25">
      <c r="J998" s="42"/>
      <c r="N998" s="362"/>
      <c r="R998" s="210"/>
      <c r="S998" s="232"/>
      <c r="T998" s="270"/>
    </row>
    <row r="999" spans="10:20" x14ac:dyDescent="0.25">
      <c r="J999" s="42"/>
      <c r="N999" s="362"/>
      <c r="R999" s="210"/>
      <c r="S999" s="232"/>
      <c r="T999" s="270"/>
    </row>
    <row r="1000" spans="10:20" x14ac:dyDescent="0.25">
      <c r="J1000" s="42"/>
      <c r="N1000" s="362"/>
      <c r="R1000" s="210"/>
      <c r="S1000" s="232"/>
      <c r="T1000" s="270"/>
    </row>
    <row r="1001" spans="10:20" x14ac:dyDescent="0.25">
      <c r="J1001" s="42"/>
      <c r="N1001" s="362"/>
      <c r="R1001" s="210"/>
      <c r="S1001" s="232"/>
      <c r="T1001" s="270"/>
    </row>
    <row r="1002" spans="10:20" x14ac:dyDescent="0.25">
      <c r="J1002" s="42"/>
      <c r="N1002" s="362"/>
      <c r="R1002" s="210"/>
      <c r="S1002" s="232"/>
      <c r="T1002" s="270"/>
    </row>
    <row r="1003" spans="10:20" x14ac:dyDescent="0.25">
      <c r="J1003" s="42"/>
      <c r="N1003" s="362"/>
      <c r="R1003" s="210"/>
      <c r="S1003" s="232"/>
      <c r="T1003" s="270"/>
    </row>
    <row r="1004" spans="10:20" x14ac:dyDescent="0.25">
      <c r="J1004" s="42"/>
      <c r="N1004" s="362"/>
      <c r="R1004" s="210"/>
      <c r="S1004" s="232"/>
      <c r="T1004" s="270"/>
    </row>
    <row r="1005" spans="10:20" x14ac:dyDescent="0.25">
      <c r="J1005" s="42"/>
      <c r="N1005" s="362"/>
      <c r="R1005" s="210"/>
      <c r="S1005" s="232"/>
      <c r="T1005" s="270"/>
    </row>
    <row r="1006" spans="10:20" x14ac:dyDescent="0.25">
      <c r="J1006" s="42"/>
      <c r="N1006" s="362"/>
      <c r="R1006" s="210"/>
      <c r="S1006" s="232"/>
      <c r="T1006" s="270"/>
    </row>
    <row r="1007" spans="10:20" x14ac:dyDescent="0.25">
      <c r="J1007" s="42"/>
      <c r="N1007" s="362"/>
      <c r="R1007" s="210"/>
      <c r="S1007" s="232"/>
      <c r="T1007" s="270"/>
    </row>
    <row r="1008" spans="10:20" x14ac:dyDescent="0.25">
      <c r="J1008" s="42"/>
      <c r="N1008" s="362"/>
      <c r="R1008" s="210"/>
      <c r="S1008" s="232"/>
      <c r="T1008" s="270"/>
    </row>
    <row r="1009" spans="10:20" x14ac:dyDescent="0.25">
      <c r="J1009" s="42"/>
      <c r="N1009" s="362"/>
      <c r="R1009" s="210"/>
      <c r="S1009" s="232"/>
      <c r="T1009" s="270"/>
    </row>
    <row r="1010" spans="10:20" x14ac:dyDescent="0.25">
      <c r="J1010" s="42"/>
      <c r="N1010" s="362"/>
      <c r="R1010" s="210"/>
      <c r="S1010" s="232"/>
      <c r="T1010" s="270"/>
    </row>
    <row r="1011" spans="10:20" x14ac:dyDescent="0.25">
      <c r="J1011" s="42"/>
      <c r="N1011" s="362"/>
      <c r="R1011" s="210"/>
      <c r="S1011" s="232"/>
      <c r="T1011" s="270"/>
    </row>
    <row r="1012" spans="10:20" x14ac:dyDescent="0.25">
      <c r="J1012" s="42"/>
      <c r="N1012" s="362"/>
      <c r="R1012" s="210"/>
      <c r="S1012" s="232"/>
      <c r="T1012" s="270"/>
    </row>
    <row r="1013" spans="10:20" x14ac:dyDescent="0.25">
      <c r="J1013" s="42"/>
      <c r="N1013" s="362"/>
      <c r="R1013" s="210"/>
      <c r="S1013" s="232"/>
      <c r="T1013" s="270"/>
    </row>
    <row r="1014" spans="10:20" x14ac:dyDescent="0.25">
      <c r="J1014" s="42"/>
      <c r="N1014" s="362"/>
      <c r="R1014" s="210"/>
      <c r="S1014" s="232"/>
      <c r="T1014" s="270"/>
    </row>
    <row r="1015" spans="10:20" x14ac:dyDescent="0.25">
      <c r="J1015" s="42"/>
      <c r="N1015" s="362"/>
      <c r="R1015" s="210"/>
      <c r="S1015" s="232"/>
      <c r="T1015" s="270"/>
    </row>
    <row r="1016" spans="10:20" x14ac:dyDescent="0.25">
      <c r="J1016" s="42"/>
      <c r="N1016" s="362"/>
      <c r="R1016" s="210"/>
      <c r="S1016" s="232"/>
      <c r="T1016" s="270"/>
    </row>
    <row r="1017" spans="10:20" x14ac:dyDescent="0.25">
      <c r="J1017" s="42"/>
      <c r="N1017" s="362"/>
      <c r="R1017" s="210"/>
      <c r="S1017" s="232"/>
      <c r="T1017" s="270"/>
    </row>
    <row r="1018" spans="10:20" x14ac:dyDescent="0.25">
      <c r="N1018" s="362"/>
      <c r="R1018" s="210"/>
      <c r="S1018" s="232"/>
      <c r="T1018" s="270"/>
    </row>
    <row r="1019" spans="10:20" x14ac:dyDescent="0.25">
      <c r="N1019" s="362"/>
      <c r="R1019" s="210"/>
      <c r="S1019" s="232"/>
      <c r="T1019" s="270"/>
    </row>
    <row r="1020" spans="10:20" x14ac:dyDescent="0.25">
      <c r="N1020" s="362"/>
      <c r="R1020" s="210"/>
      <c r="S1020" s="232"/>
      <c r="T1020" s="270"/>
    </row>
    <row r="1021" spans="10:20" x14ac:dyDescent="0.25">
      <c r="N1021" s="362"/>
      <c r="R1021" s="210"/>
      <c r="S1021" s="232"/>
      <c r="T1021" s="270"/>
    </row>
    <row r="1022" spans="10:20" x14ac:dyDescent="0.25">
      <c r="N1022" s="362"/>
      <c r="R1022" s="210"/>
      <c r="S1022" s="232"/>
      <c r="T1022" s="270"/>
    </row>
    <row r="1023" spans="10:20" x14ac:dyDescent="0.25">
      <c r="N1023" s="362"/>
      <c r="R1023" s="210"/>
      <c r="S1023" s="232"/>
      <c r="T1023" s="270"/>
    </row>
    <row r="1024" spans="10:20" x14ac:dyDescent="0.25">
      <c r="N1024" s="362"/>
      <c r="R1024" s="210"/>
      <c r="S1024" s="232"/>
      <c r="T1024" s="270"/>
    </row>
    <row r="1025" spans="14:20" x14ac:dyDescent="0.25">
      <c r="N1025" s="362"/>
      <c r="R1025" s="210"/>
      <c r="S1025" s="232"/>
      <c r="T1025" s="270"/>
    </row>
    <row r="1026" spans="14:20" x14ac:dyDescent="0.25">
      <c r="N1026" s="362"/>
      <c r="R1026" s="210"/>
      <c r="S1026" s="232"/>
      <c r="T1026" s="270"/>
    </row>
    <row r="1027" spans="14:20" x14ac:dyDescent="0.25">
      <c r="N1027" s="362"/>
      <c r="R1027" s="210"/>
      <c r="S1027" s="232"/>
      <c r="T1027" s="270"/>
    </row>
    <row r="1028" spans="14:20" x14ac:dyDescent="0.25">
      <c r="N1028" s="362"/>
      <c r="R1028" s="210"/>
      <c r="S1028" s="232"/>
      <c r="T1028" s="270"/>
    </row>
    <row r="1029" spans="14:20" x14ac:dyDescent="0.25">
      <c r="N1029" s="362"/>
      <c r="R1029" s="210"/>
      <c r="S1029" s="232"/>
      <c r="T1029" s="270"/>
    </row>
    <row r="1030" spans="14:20" x14ac:dyDescent="0.25">
      <c r="N1030" s="362"/>
      <c r="R1030" s="210"/>
      <c r="S1030" s="232"/>
      <c r="T1030" s="270"/>
    </row>
    <row r="1031" spans="14:20" x14ac:dyDescent="0.25">
      <c r="N1031" s="362"/>
      <c r="R1031" s="210"/>
      <c r="S1031" s="232"/>
      <c r="T1031" s="270"/>
    </row>
    <row r="1032" spans="14:20" x14ac:dyDescent="0.25">
      <c r="N1032" s="362"/>
      <c r="R1032" s="210"/>
      <c r="S1032" s="232"/>
      <c r="T1032" s="270"/>
    </row>
    <row r="1033" spans="14:20" x14ac:dyDescent="0.25">
      <c r="N1033" s="362"/>
      <c r="R1033" s="210"/>
      <c r="S1033" s="232"/>
      <c r="T1033" s="270"/>
    </row>
    <row r="1034" spans="14:20" x14ac:dyDescent="0.25">
      <c r="N1034" s="362"/>
      <c r="R1034" s="210"/>
      <c r="S1034" s="232"/>
      <c r="T1034" s="270"/>
    </row>
    <row r="1035" spans="14:20" x14ac:dyDescent="0.25">
      <c r="N1035" s="362"/>
      <c r="R1035" s="210"/>
      <c r="S1035" s="232"/>
      <c r="T1035" s="270"/>
    </row>
    <row r="1036" spans="14:20" x14ac:dyDescent="0.25">
      <c r="N1036" s="362"/>
      <c r="R1036" s="210"/>
      <c r="S1036" s="232"/>
      <c r="T1036" s="270"/>
    </row>
    <row r="1037" spans="14:20" x14ac:dyDescent="0.25">
      <c r="N1037" s="362"/>
      <c r="R1037" s="210"/>
      <c r="S1037" s="232"/>
      <c r="T1037" s="270"/>
    </row>
    <row r="1038" spans="14:20" x14ac:dyDescent="0.25">
      <c r="N1038" s="362"/>
      <c r="R1038" s="210"/>
      <c r="S1038" s="232"/>
      <c r="T1038" s="270"/>
    </row>
    <row r="1039" spans="14:20" x14ac:dyDescent="0.25">
      <c r="N1039" s="362"/>
      <c r="R1039" s="210"/>
      <c r="S1039" s="232"/>
      <c r="T1039" s="270"/>
    </row>
    <row r="1040" spans="14:20" x14ac:dyDescent="0.25">
      <c r="N1040" s="362"/>
      <c r="R1040" s="210"/>
      <c r="S1040" s="232"/>
      <c r="T1040" s="270"/>
    </row>
    <row r="1041" spans="14:20" x14ac:dyDescent="0.25">
      <c r="N1041" s="362"/>
      <c r="R1041" s="210"/>
      <c r="S1041" s="232"/>
      <c r="T1041" s="270"/>
    </row>
    <row r="1042" spans="14:20" x14ac:dyDescent="0.25">
      <c r="N1042" s="362"/>
      <c r="R1042" s="210"/>
      <c r="S1042" s="232"/>
      <c r="T1042" s="270"/>
    </row>
    <row r="1043" spans="14:20" x14ac:dyDescent="0.25">
      <c r="N1043" s="362"/>
      <c r="R1043" s="210"/>
      <c r="S1043" s="232"/>
      <c r="T1043" s="270"/>
    </row>
    <row r="1044" spans="14:20" x14ac:dyDescent="0.25">
      <c r="N1044" s="362"/>
      <c r="R1044" s="210"/>
      <c r="S1044" s="232"/>
      <c r="T1044" s="270"/>
    </row>
    <row r="1045" spans="14:20" x14ac:dyDescent="0.25">
      <c r="N1045" s="362"/>
      <c r="R1045" s="210"/>
      <c r="S1045" s="232"/>
      <c r="T1045" s="270"/>
    </row>
    <row r="1046" spans="14:20" x14ac:dyDescent="0.25">
      <c r="N1046" s="362"/>
      <c r="R1046" s="210"/>
      <c r="S1046" s="232"/>
      <c r="T1046" s="270"/>
    </row>
    <row r="1047" spans="14:20" x14ac:dyDescent="0.25">
      <c r="N1047" s="362"/>
      <c r="R1047" s="210"/>
      <c r="S1047" s="232"/>
      <c r="T1047" s="270"/>
    </row>
    <row r="1048" spans="14:20" x14ac:dyDescent="0.25">
      <c r="N1048" s="362"/>
      <c r="R1048" s="210"/>
      <c r="S1048" s="232"/>
      <c r="T1048" s="270"/>
    </row>
    <row r="1049" spans="14:20" x14ac:dyDescent="0.25">
      <c r="N1049" s="362"/>
      <c r="R1049" s="210"/>
      <c r="S1049" s="232"/>
      <c r="T1049" s="270"/>
    </row>
    <row r="1050" spans="14:20" x14ac:dyDescent="0.25">
      <c r="N1050" s="362"/>
      <c r="R1050" s="210"/>
      <c r="S1050" s="232"/>
      <c r="T1050" s="270"/>
    </row>
    <row r="1051" spans="14:20" x14ac:dyDescent="0.25">
      <c r="N1051" s="362"/>
      <c r="R1051" s="210"/>
      <c r="S1051" s="232"/>
      <c r="T1051" s="270"/>
    </row>
    <row r="1052" spans="14:20" x14ac:dyDescent="0.25">
      <c r="N1052" s="362"/>
      <c r="R1052" s="210"/>
      <c r="S1052" s="232"/>
      <c r="T1052" s="270"/>
    </row>
    <row r="1053" spans="14:20" x14ac:dyDescent="0.25">
      <c r="N1053" s="362"/>
      <c r="R1053" s="210"/>
      <c r="S1053" s="232"/>
      <c r="T1053" s="270"/>
    </row>
    <row r="1054" spans="14:20" x14ac:dyDescent="0.25">
      <c r="N1054" s="362"/>
      <c r="R1054" s="210"/>
      <c r="S1054" s="232"/>
      <c r="T1054" s="270"/>
    </row>
    <row r="1055" spans="14:20" x14ac:dyDescent="0.25">
      <c r="N1055" s="362"/>
      <c r="R1055" s="210"/>
      <c r="S1055" s="232"/>
      <c r="T1055" s="270"/>
    </row>
    <row r="1056" spans="14:20" x14ac:dyDescent="0.25">
      <c r="N1056" s="362"/>
      <c r="R1056" s="210"/>
      <c r="S1056" s="232"/>
      <c r="T1056" s="270"/>
    </row>
    <row r="1057" spans="14:20" x14ac:dyDescent="0.25">
      <c r="N1057" s="362"/>
      <c r="R1057" s="210"/>
      <c r="S1057" s="232"/>
      <c r="T1057" s="270"/>
    </row>
    <row r="1058" spans="14:20" x14ac:dyDescent="0.25">
      <c r="N1058" s="362"/>
      <c r="R1058" s="210"/>
      <c r="S1058" s="232"/>
      <c r="T1058" s="270"/>
    </row>
    <row r="1059" spans="14:20" x14ac:dyDescent="0.25">
      <c r="N1059" s="362"/>
      <c r="R1059" s="210"/>
      <c r="S1059" s="232"/>
      <c r="T1059" s="270"/>
    </row>
    <row r="1060" spans="14:20" x14ac:dyDescent="0.25">
      <c r="N1060" s="362"/>
      <c r="R1060" s="210"/>
      <c r="S1060" s="232"/>
      <c r="T1060" s="270"/>
    </row>
    <row r="1061" spans="14:20" x14ac:dyDescent="0.25">
      <c r="N1061" s="362"/>
      <c r="R1061" s="210"/>
      <c r="S1061" s="232"/>
      <c r="T1061" s="270"/>
    </row>
    <row r="1062" spans="14:20" x14ac:dyDescent="0.25">
      <c r="N1062" s="362"/>
      <c r="R1062" s="210"/>
      <c r="S1062" s="232"/>
      <c r="T1062" s="270"/>
    </row>
    <row r="1063" spans="14:20" x14ac:dyDescent="0.25">
      <c r="N1063" s="362"/>
      <c r="R1063" s="210"/>
      <c r="S1063" s="232"/>
      <c r="T1063" s="270"/>
    </row>
    <row r="1064" spans="14:20" x14ac:dyDescent="0.25">
      <c r="N1064" s="362"/>
      <c r="R1064" s="210"/>
      <c r="S1064" s="232"/>
      <c r="T1064" s="270"/>
    </row>
    <row r="1065" spans="14:20" x14ac:dyDescent="0.25">
      <c r="N1065" s="362"/>
      <c r="R1065" s="210"/>
      <c r="S1065" s="232"/>
      <c r="T1065" s="270"/>
    </row>
    <row r="1066" spans="14:20" x14ac:dyDescent="0.25">
      <c r="N1066" s="362"/>
      <c r="R1066" s="210"/>
      <c r="S1066" s="232"/>
      <c r="T1066" s="270"/>
    </row>
    <row r="1067" spans="14:20" x14ac:dyDescent="0.25">
      <c r="N1067" s="362"/>
      <c r="R1067" s="210"/>
      <c r="S1067" s="232"/>
      <c r="T1067" s="270"/>
    </row>
    <row r="1068" spans="14:20" x14ac:dyDescent="0.25">
      <c r="N1068" s="362"/>
      <c r="R1068" s="210"/>
      <c r="S1068" s="232"/>
      <c r="T1068" s="270"/>
    </row>
    <row r="1069" spans="14:20" x14ac:dyDescent="0.25">
      <c r="N1069" s="362"/>
      <c r="R1069" s="210"/>
      <c r="S1069" s="232"/>
      <c r="T1069" s="270"/>
    </row>
    <row r="1070" spans="14:20" x14ac:dyDescent="0.25">
      <c r="N1070" s="362"/>
      <c r="R1070" s="210"/>
      <c r="S1070" s="232"/>
      <c r="T1070" s="270"/>
    </row>
    <row r="1071" spans="14:20" x14ac:dyDescent="0.25">
      <c r="N1071" s="362"/>
      <c r="R1071" s="210"/>
      <c r="S1071" s="232"/>
      <c r="T1071" s="270"/>
    </row>
    <row r="1072" spans="14:20" x14ac:dyDescent="0.25">
      <c r="N1072" s="362"/>
      <c r="R1072" s="210"/>
      <c r="S1072" s="232"/>
      <c r="T1072" s="270"/>
    </row>
    <row r="1073" spans="14:20" x14ac:dyDescent="0.25">
      <c r="N1073" s="362"/>
      <c r="R1073" s="210"/>
      <c r="S1073" s="232"/>
      <c r="T1073" s="270"/>
    </row>
    <row r="1074" spans="14:20" x14ac:dyDescent="0.25">
      <c r="N1074" s="362"/>
      <c r="R1074" s="210"/>
      <c r="S1074" s="232"/>
      <c r="T1074" s="270"/>
    </row>
    <row r="1075" spans="14:20" x14ac:dyDescent="0.25">
      <c r="N1075" s="362"/>
      <c r="R1075" s="210"/>
      <c r="S1075" s="232"/>
      <c r="T1075" s="270"/>
    </row>
    <row r="1076" spans="14:20" x14ac:dyDescent="0.25">
      <c r="N1076" s="362"/>
      <c r="R1076" s="210"/>
      <c r="S1076" s="232"/>
      <c r="T1076" s="270"/>
    </row>
    <row r="1077" spans="14:20" x14ac:dyDescent="0.25">
      <c r="N1077" s="362"/>
      <c r="R1077" s="210"/>
      <c r="S1077" s="232"/>
      <c r="T1077" s="270"/>
    </row>
    <row r="1078" spans="14:20" x14ac:dyDescent="0.25">
      <c r="N1078" s="362"/>
      <c r="R1078" s="210"/>
      <c r="S1078" s="232"/>
      <c r="T1078" s="270"/>
    </row>
    <row r="1079" spans="14:20" x14ac:dyDescent="0.25">
      <c r="N1079" s="362"/>
      <c r="R1079" s="210"/>
      <c r="S1079" s="232"/>
      <c r="T1079" s="270"/>
    </row>
    <row r="1080" spans="14:20" x14ac:dyDescent="0.25">
      <c r="N1080" s="362"/>
      <c r="R1080" s="210"/>
      <c r="S1080" s="232"/>
      <c r="T1080" s="270"/>
    </row>
    <row r="1081" spans="14:20" x14ac:dyDescent="0.25">
      <c r="N1081" s="362"/>
      <c r="R1081" s="210"/>
      <c r="S1081" s="232"/>
      <c r="T1081" s="270"/>
    </row>
    <row r="1082" spans="14:20" x14ac:dyDescent="0.25">
      <c r="N1082" s="362"/>
      <c r="R1082" s="210"/>
      <c r="S1082" s="232"/>
      <c r="T1082" s="270"/>
    </row>
    <row r="1083" spans="14:20" x14ac:dyDescent="0.25">
      <c r="N1083" s="362"/>
      <c r="R1083" s="210"/>
      <c r="S1083" s="232"/>
      <c r="T1083" s="270"/>
    </row>
    <row r="1084" spans="14:20" x14ac:dyDescent="0.25">
      <c r="N1084" s="362"/>
      <c r="R1084" s="210"/>
      <c r="S1084" s="232"/>
      <c r="T1084" s="270"/>
    </row>
    <row r="1085" spans="14:20" x14ac:dyDescent="0.25">
      <c r="N1085" s="362"/>
      <c r="R1085" s="210"/>
      <c r="S1085" s="232"/>
      <c r="T1085" s="270"/>
    </row>
    <row r="1086" spans="14:20" x14ac:dyDescent="0.25">
      <c r="N1086" s="362"/>
      <c r="R1086" s="210"/>
      <c r="S1086" s="232"/>
      <c r="T1086" s="270"/>
    </row>
    <row r="1087" spans="14:20" x14ac:dyDescent="0.25">
      <c r="N1087" s="362"/>
      <c r="R1087" s="210"/>
      <c r="S1087" s="232"/>
      <c r="T1087" s="270"/>
    </row>
    <row r="1088" spans="14:20" x14ac:dyDescent="0.25">
      <c r="N1088" s="362"/>
      <c r="R1088" s="210"/>
      <c r="S1088" s="232"/>
      <c r="T1088" s="270"/>
    </row>
    <row r="1089" spans="14:20" x14ac:dyDescent="0.25">
      <c r="N1089" s="362"/>
      <c r="R1089" s="210"/>
      <c r="S1089" s="232"/>
      <c r="T1089" s="270"/>
    </row>
    <row r="1090" spans="14:20" x14ac:dyDescent="0.25">
      <c r="N1090" s="362"/>
      <c r="R1090" s="210"/>
      <c r="S1090" s="232"/>
      <c r="T1090" s="270"/>
    </row>
    <row r="1091" spans="14:20" x14ac:dyDescent="0.25">
      <c r="N1091" s="362"/>
      <c r="R1091" s="210"/>
      <c r="S1091" s="232"/>
      <c r="T1091" s="270"/>
    </row>
    <row r="1092" spans="14:20" x14ac:dyDescent="0.25">
      <c r="N1092" s="362"/>
      <c r="R1092" s="210"/>
      <c r="S1092" s="232"/>
      <c r="T1092" s="270"/>
    </row>
    <row r="1093" spans="14:20" x14ac:dyDescent="0.25">
      <c r="N1093" s="362"/>
      <c r="R1093" s="210"/>
      <c r="S1093" s="232"/>
      <c r="T1093" s="270"/>
    </row>
    <row r="1094" spans="14:20" x14ac:dyDescent="0.25">
      <c r="N1094" s="362"/>
      <c r="R1094" s="210"/>
      <c r="S1094" s="232"/>
      <c r="T1094" s="270"/>
    </row>
    <row r="1095" spans="14:20" x14ac:dyDescent="0.25">
      <c r="N1095" s="362"/>
      <c r="R1095" s="210"/>
      <c r="S1095" s="232"/>
      <c r="T1095" s="270"/>
    </row>
    <row r="1096" spans="14:20" x14ac:dyDescent="0.25">
      <c r="N1096" s="362"/>
      <c r="R1096" s="210"/>
      <c r="S1096" s="232"/>
      <c r="T1096" s="270"/>
    </row>
    <row r="1097" spans="14:20" x14ac:dyDescent="0.25">
      <c r="N1097" s="362"/>
      <c r="R1097" s="210"/>
      <c r="S1097" s="232"/>
      <c r="T1097" s="270"/>
    </row>
    <row r="1098" spans="14:20" x14ac:dyDescent="0.25">
      <c r="N1098" s="362"/>
      <c r="R1098" s="210"/>
      <c r="S1098" s="232"/>
      <c r="T1098" s="270"/>
    </row>
    <row r="1099" spans="14:20" x14ac:dyDescent="0.25">
      <c r="N1099" s="362"/>
      <c r="R1099" s="210"/>
      <c r="S1099" s="232"/>
      <c r="T1099" s="270"/>
    </row>
    <row r="1100" spans="14:20" x14ac:dyDescent="0.25">
      <c r="N1100" s="362"/>
      <c r="R1100" s="210"/>
      <c r="S1100" s="232"/>
      <c r="T1100" s="270"/>
    </row>
    <row r="1101" spans="14:20" x14ac:dyDescent="0.25">
      <c r="N1101" s="362"/>
      <c r="R1101" s="210"/>
      <c r="S1101" s="232"/>
      <c r="T1101" s="270"/>
    </row>
    <row r="1102" spans="14:20" x14ac:dyDescent="0.25">
      <c r="N1102" s="362"/>
      <c r="R1102" s="210"/>
      <c r="S1102" s="232"/>
      <c r="T1102" s="270"/>
    </row>
    <row r="1103" spans="14:20" x14ac:dyDescent="0.25">
      <c r="N1103" s="362"/>
      <c r="R1103" s="210"/>
      <c r="S1103" s="232"/>
      <c r="T1103" s="270"/>
    </row>
    <row r="1104" spans="14:20" x14ac:dyDescent="0.25">
      <c r="N1104" s="362"/>
      <c r="R1104" s="210"/>
      <c r="S1104" s="232"/>
      <c r="T1104" s="270"/>
    </row>
    <row r="1105" spans="14:20" x14ac:dyDescent="0.25">
      <c r="N1105" s="362"/>
      <c r="R1105" s="210"/>
      <c r="S1105" s="232"/>
      <c r="T1105" s="270"/>
    </row>
    <row r="1106" spans="14:20" x14ac:dyDescent="0.25">
      <c r="N1106" s="362"/>
      <c r="R1106" s="210"/>
      <c r="S1106" s="232"/>
      <c r="T1106" s="270"/>
    </row>
    <row r="1107" spans="14:20" x14ac:dyDescent="0.25">
      <c r="N1107" s="362"/>
      <c r="R1107" s="210"/>
      <c r="S1107" s="232"/>
      <c r="T1107" s="270"/>
    </row>
    <row r="1108" spans="14:20" x14ac:dyDescent="0.25">
      <c r="N1108" s="362"/>
      <c r="R1108" s="210"/>
      <c r="S1108" s="232"/>
      <c r="T1108" s="270"/>
    </row>
    <row r="1109" spans="14:20" x14ac:dyDescent="0.25">
      <c r="N1109" s="362"/>
      <c r="R1109" s="210"/>
      <c r="S1109" s="232"/>
      <c r="T1109" s="270"/>
    </row>
    <row r="1110" spans="14:20" x14ac:dyDescent="0.25">
      <c r="N1110" s="362"/>
      <c r="R1110" s="210"/>
      <c r="S1110" s="232"/>
      <c r="T1110" s="270"/>
    </row>
    <row r="1111" spans="14:20" x14ac:dyDescent="0.25">
      <c r="N1111" s="362"/>
      <c r="R1111" s="210"/>
      <c r="S1111" s="232"/>
      <c r="T1111" s="270"/>
    </row>
    <row r="1112" spans="14:20" x14ac:dyDescent="0.25">
      <c r="N1112" s="362"/>
      <c r="R1112" s="210"/>
      <c r="S1112" s="232"/>
      <c r="T1112" s="270"/>
    </row>
    <row r="1113" spans="14:20" x14ac:dyDescent="0.25">
      <c r="N1113" s="362"/>
      <c r="R1113" s="210"/>
      <c r="S1113" s="232"/>
      <c r="T1113" s="270"/>
    </row>
    <row r="1114" spans="14:20" x14ac:dyDescent="0.25">
      <c r="N1114" s="362"/>
      <c r="R1114" s="210"/>
      <c r="S1114" s="232"/>
      <c r="T1114" s="270"/>
    </row>
    <row r="1115" spans="14:20" x14ac:dyDescent="0.25">
      <c r="N1115" s="362"/>
      <c r="R1115" s="210"/>
      <c r="S1115" s="232"/>
      <c r="T1115" s="270"/>
    </row>
    <row r="1116" spans="14:20" x14ac:dyDescent="0.25">
      <c r="N1116" s="362"/>
      <c r="R1116" s="210"/>
      <c r="S1116" s="232"/>
      <c r="T1116" s="270"/>
    </row>
    <row r="1117" spans="14:20" x14ac:dyDescent="0.25">
      <c r="N1117" s="362"/>
      <c r="R1117" s="210"/>
      <c r="S1117" s="232"/>
      <c r="T1117" s="270"/>
    </row>
    <row r="1118" spans="14:20" x14ac:dyDescent="0.25">
      <c r="N1118" s="362"/>
      <c r="R1118" s="210"/>
      <c r="S1118" s="232"/>
      <c r="T1118" s="270"/>
    </row>
    <row r="1119" spans="14:20" x14ac:dyDescent="0.25">
      <c r="N1119" s="362"/>
      <c r="R1119" s="210"/>
      <c r="S1119" s="232"/>
      <c r="T1119" s="270"/>
    </row>
    <row r="1120" spans="14:20" x14ac:dyDescent="0.25">
      <c r="N1120" s="362"/>
      <c r="R1120" s="210"/>
      <c r="S1120" s="232"/>
      <c r="T1120" s="270"/>
    </row>
    <row r="1121" spans="14:20" x14ac:dyDescent="0.25">
      <c r="N1121" s="362"/>
      <c r="R1121" s="210"/>
      <c r="S1121" s="232"/>
      <c r="T1121" s="270"/>
    </row>
    <row r="1122" spans="14:20" x14ac:dyDescent="0.25">
      <c r="N1122" s="362"/>
      <c r="R1122" s="210"/>
      <c r="S1122" s="232"/>
      <c r="T1122" s="270"/>
    </row>
    <row r="1123" spans="14:20" x14ac:dyDescent="0.25">
      <c r="N1123" s="362"/>
      <c r="R1123" s="210"/>
      <c r="S1123" s="232"/>
      <c r="T1123" s="270"/>
    </row>
    <row r="1124" spans="14:20" x14ac:dyDescent="0.25">
      <c r="N1124" s="362"/>
      <c r="R1124" s="210"/>
      <c r="S1124" s="232"/>
      <c r="T1124" s="270"/>
    </row>
    <row r="1125" spans="14:20" x14ac:dyDescent="0.25">
      <c r="N1125" s="362"/>
      <c r="R1125" s="210"/>
      <c r="S1125" s="232"/>
      <c r="T1125" s="270"/>
    </row>
    <row r="1126" spans="14:20" x14ac:dyDescent="0.25">
      <c r="N1126" s="362"/>
      <c r="R1126" s="210"/>
      <c r="S1126" s="232"/>
      <c r="T1126" s="270"/>
    </row>
    <row r="1127" spans="14:20" x14ac:dyDescent="0.25">
      <c r="N1127" s="362"/>
      <c r="R1127" s="210"/>
      <c r="S1127" s="232"/>
      <c r="T1127" s="270"/>
    </row>
    <row r="1128" spans="14:20" x14ac:dyDescent="0.25">
      <c r="N1128" s="362"/>
      <c r="R1128" s="210"/>
      <c r="S1128" s="232"/>
      <c r="T1128" s="270"/>
    </row>
    <row r="1129" spans="14:20" x14ac:dyDescent="0.25">
      <c r="N1129" s="362"/>
      <c r="R1129" s="210"/>
      <c r="S1129" s="232"/>
      <c r="T1129" s="270"/>
    </row>
    <row r="1130" spans="14:20" x14ac:dyDescent="0.25">
      <c r="N1130" s="362"/>
      <c r="R1130" s="210"/>
      <c r="S1130" s="232"/>
      <c r="T1130" s="270"/>
    </row>
    <row r="1131" spans="14:20" x14ac:dyDescent="0.25">
      <c r="N1131" s="362"/>
      <c r="R1131" s="210"/>
      <c r="S1131" s="232"/>
      <c r="T1131" s="270"/>
    </row>
    <row r="1132" spans="14:20" x14ac:dyDescent="0.25">
      <c r="N1132" s="362"/>
      <c r="R1132" s="210"/>
      <c r="S1132" s="232"/>
      <c r="T1132" s="270"/>
    </row>
    <row r="1133" spans="14:20" x14ac:dyDescent="0.25">
      <c r="N1133" s="362"/>
      <c r="R1133" s="210"/>
      <c r="S1133" s="232"/>
      <c r="T1133" s="270"/>
    </row>
    <row r="1134" spans="14:20" x14ac:dyDescent="0.25">
      <c r="N1134" s="362"/>
      <c r="R1134" s="210"/>
      <c r="S1134" s="232"/>
      <c r="T1134" s="270"/>
    </row>
    <row r="1135" spans="14:20" x14ac:dyDescent="0.25">
      <c r="N1135" s="362"/>
      <c r="R1135" s="210"/>
      <c r="S1135" s="232"/>
      <c r="T1135" s="270"/>
    </row>
    <row r="1136" spans="14:20" x14ac:dyDescent="0.25">
      <c r="N1136" s="362"/>
      <c r="R1136" s="210"/>
      <c r="S1136" s="232"/>
      <c r="T1136" s="270"/>
    </row>
    <row r="1137" spans="14:20" x14ac:dyDescent="0.25">
      <c r="N1137" s="362"/>
      <c r="R1137" s="210"/>
      <c r="S1137" s="232"/>
      <c r="T1137" s="270"/>
    </row>
    <row r="1138" spans="14:20" x14ac:dyDescent="0.25">
      <c r="N1138" s="362"/>
      <c r="R1138" s="210"/>
      <c r="S1138" s="232"/>
      <c r="T1138" s="270"/>
    </row>
    <row r="1139" spans="14:20" x14ac:dyDescent="0.25">
      <c r="N1139" s="362"/>
      <c r="R1139" s="210"/>
      <c r="S1139" s="232"/>
      <c r="T1139" s="270"/>
    </row>
    <row r="1140" spans="14:20" x14ac:dyDescent="0.25">
      <c r="N1140" s="362"/>
      <c r="R1140" s="210"/>
      <c r="S1140" s="232"/>
      <c r="T1140" s="270"/>
    </row>
    <row r="1141" spans="14:20" x14ac:dyDescent="0.25">
      <c r="N1141" s="362"/>
      <c r="R1141" s="210"/>
      <c r="S1141" s="232"/>
      <c r="T1141" s="270"/>
    </row>
    <row r="1142" spans="14:20" x14ac:dyDescent="0.25">
      <c r="N1142" s="362"/>
      <c r="R1142" s="210"/>
      <c r="S1142" s="232"/>
      <c r="T1142" s="270"/>
    </row>
    <row r="1143" spans="14:20" x14ac:dyDescent="0.25">
      <c r="N1143" s="362"/>
      <c r="R1143" s="210"/>
      <c r="S1143" s="232"/>
      <c r="T1143" s="270"/>
    </row>
    <row r="1144" spans="14:20" x14ac:dyDescent="0.25">
      <c r="N1144" s="362"/>
      <c r="R1144" s="210"/>
      <c r="S1144" s="232"/>
      <c r="T1144" s="270"/>
    </row>
    <row r="1145" spans="14:20" x14ac:dyDescent="0.25">
      <c r="N1145" s="362"/>
      <c r="R1145" s="210"/>
      <c r="S1145" s="232"/>
      <c r="T1145" s="270"/>
    </row>
    <row r="1146" spans="14:20" x14ac:dyDescent="0.25">
      <c r="N1146" s="362"/>
      <c r="R1146" s="210"/>
      <c r="S1146" s="232"/>
      <c r="T1146" s="270"/>
    </row>
    <row r="1147" spans="14:20" x14ac:dyDescent="0.25">
      <c r="N1147" s="362"/>
      <c r="R1147" s="210"/>
      <c r="S1147" s="232"/>
      <c r="T1147" s="270"/>
    </row>
    <row r="1148" spans="14:20" x14ac:dyDescent="0.25">
      <c r="N1148" s="362"/>
      <c r="R1148" s="210"/>
      <c r="S1148" s="232"/>
      <c r="T1148" s="270"/>
    </row>
    <row r="1149" spans="14:20" x14ac:dyDescent="0.25">
      <c r="N1149" s="362"/>
      <c r="R1149" s="210"/>
      <c r="S1149" s="232"/>
      <c r="T1149" s="270"/>
    </row>
    <row r="1150" spans="14:20" x14ac:dyDescent="0.25">
      <c r="N1150" s="362"/>
      <c r="R1150" s="210"/>
      <c r="S1150" s="232"/>
      <c r="T1150" s="270"/>
    </row>
    <row r="1151" spans="14:20" x14ac:dyDescent="0.25">
      <c r="N1151" s="362"/>
      <c r="R1151" s="210"/>
      <c r="S1151" s="232"/>
      <c r="T1151" s="270"/>
    </row>
    <row r="1152" spans="14:20" x14ac:dyDescent="0.25">
      <c r="N1152" s="362"/>
      <c r="R1152" s="210"/>
      <c r="S1152" s="232"/>
      <c r="T1152" s="270"/>
    </row>
    <row r="1153" spans="14:20" x14ac:dyDescent="0.25">
      <c r="N1153" s="362"/>
      <c r="R1153" s="210"/>
      <c r="S1153" s="232"/>
      <c r="T1153" s="270"/>
    </row>
    <row r="1154" spans="14:20" x14ac:dyDescent="0.25">
      <c r="N1154" s="362"/>
      <c r="R1154" s="210"/>
      <c r="S1154" s="232"/>
      <c r="T1154" s="270"/>
    </row>
    <row r="1155" spans="14:20" x14ac:dyDescent="0.25">
      <c r="N1155" s="362"/>
      <c r="R1155" s="210"/>
      <c r="S1155" s="232"/>
      <c r="T1155" s="270"/>
    </row>
    <row r="1156" spans="14:20" x14ac:dyDescent="0.25">
      <c r="N1156" s="362"/>
      <c r="R1156" s="210"/>
      <c r="S1156" s="232"/>
      <c r="T1156" s="270"/>
    </row>
    <row r="1157" spans="14:20" x14ac:dyDescent="0.25">
      <c r="N1157" s="362"/>
      <c r="R1157" s="210"/>
      <c r="S1157" s="232"/>
      <c r="T1157" s="270"/>
    </row>
    <row r="1158" spans="14:20" x14ac:dyDescent="0.25">
      <c r="N1158" s="362"/>
      <c r="R1158" s="210"/>
      <c r="S1158" s="232"/>
      <c r="T1158" s="270"/>
    </row>
    <row r="1159" spans="14:20" x14ac:dyDescent="0.25">
      <c r="N1159" s="362"/>
      <c r="R1159" s="210"/>
      <c r="S1159" s="232"/>
      <c r="T1159" s="270"/>
    </row>
    <row r="1160" spans="14:20" x14ac:dyDescent="0.25">
      <c r="N1160" s="362"/>
      <c r="R1160" s="210"/>
      <c r="S1160" s="232"/>
      <c r="T1160" s="270"/>
    </row>
    <row r="1161" spans="14:20" x14ac:dyDescent="0.25">
      <c r="N1161" s="362"/>
      <c r="R1161" s="210"/>
      <c r="S1161" s="232"/>
      <c r="T1161" s="270"/>
    </row>
    <row r="1162" spans="14:20" x14ac:dyDescent="0.25">
      <c r="N1162" s="362"/>
      <c r="R1162" s="210"/>
      <c r="S1162" s="232"/>
      <c r="T1162" s="270"/>
    </row>
    <row r="1163" spans="14:20" x14ac:dyDescent="0.25">
      <c r="N1163" s="362"/>
      <c r="R1163" s="210"/>
      <c r="S1163" s="232"/>
      <c r="T1163" s="270"/>
    </row>
    <row r="1164" spans="14:20" x14ac:dyDescent="0.25">
      <c r="N1164" s="362"/>
      <c r="R1164" s="210"/>
      <c r="S1164" s="232"/>
      <c r="T1164" s="270"/>
    </row>
    <row r="1165" spans="14:20" x14ac:dyDescent="0.25">
      <c r="N1165" s="362"/>
      <c r="R1165" s="210"/>
      <c r="S1165" s="232"/>
      <c r="T1165" s="270"/>
    </row>
    <row r="1166" spans="14:20" x14ac:dyDescent="0.25">
      <c r="N1166" s="362"/>
      <c r="R1166" s="210"/>
      <c r="S1166" s="232"/>
      <c r="T1166" s="270"/>
    </row>
    <row r="1167" spans="14:20" x14ac:dyDescent="0.25">
      <c r="N1167" s="362"/>
      <c r="R1167" s="210"/>
      <c r="S1167" s="232"/>
      <c r="T1167" s="270"/>
    </row>
    <row r="1168" spans="14:20" x14ac:dyDescent="0.25">
      <c r="N1168" s="362"/>
      <c r="R1168" s="210"/>
      <c r="S1168" s="232"/>
      <c r="T1168" s="270"/>
    </row>
    <row r="1169" spans="14:20" x14ac:dyDescent="0.25">
      <c r="N1169" s="362"/>
      <c r="R1169" s="210"/>
      <c r="S1169" s="232"/>
      <c r="T1169" s="270"/>
    </row>
    <row r="1170" spans="14:20" x14ac:dyDescent="0.25">
      <c r="N1170" s="362"/>
      <c r="R1170" s="210"/>
      <c r="S1170" s="232"/>
      <c r="T1170" s="270"/>
    </row>
    <row r="1171" spans="14:20" x14ac:dyDescent="0.25">
      <c r="N1171" s="362"/>
      <c r="R1171" s="210"/>
      <c r="S1171" s="232"/>
      <c r="T1171" s="270"/>
    </row>
    <row r="1172" spans="14:20" x14ac:dyDescent="0.25">
      <c r="N1172" s="362"/>
      <c r="R1172" s="210"/>
      <c r="S1172" s="232"/>
      <c r="T1172" s="270"/>
    </row>
    <row r="1173" spans="14:20" x14ac:dyDescent="0.25">
      <c r="N1173" s="362"/>
      <c r="R1173" s="210"/>
      <c r="S1173" s="232"/>
      <c r="T1173" s="270"/>
    </row>
    <row r="1174" spans="14:20" x14ac:dyDescent="0.25">
      <c r="N1174" s="362"/>
      <c r="R1174" s="210"/>
      <c r="S1174" s="232"/>
      <c r="T1174" s="270"/>
    </row>
    <row r="1175" spans="14:20" x14ac:dyDescent="0.25">
      <c r="N1175" s="362"/>
      <c r="R1175" s="210"/>
      <c r="S1175" s="232"/>
      <c r="T1175" s="270"/>
    </row>
    <row r="1176" spans="14:20" x14ac:dyDescent="0.25">
      <c r="N1176" s="362"/>
      <c r="R1176" s="210"/>
      <c r="S1176" s="232"/>
      <c r="T1176" s="270"/>
    </row>
    <row r="1177" spans="14:20" x14ac:dyDescent="0.25">
      <c r="N1177" s="362"/>
      <c r="R1177" s="210"/>
      <c r="S1177" s="232"/>
      <c r="T1177" s="270"/>
    </row>
    <row r="1178" spans="14:20" x14ac:dyDescent="0.25">
      <c r="N1178" s="362"/>
      <c r="R1178" s="210"/>
      <c r="S1178" s="232"/>
      <c r="T1178" s="270"/>
    </row>
    <row r="1179" spans="14:20" x14ac:dyDescent="0.25">
      <c r="N1179" s="362"/>
      <c r="R1179" s="210"/>
      <c r="S1179" s="232"/>
      <c r="T1179" s="270"/>
    </row>
    <row r="1180" spans="14:20" x14ac:dyDescent="0.25">
      <c r="N1180" s="362"/>
      <c r="R1180" s="210"/>
      <c r="S1180" s="232"/>
      <c r="T1180" s="270"/>
    </row>
    <row r="1181" spans="14:20" x14ac:dyDescent="0.25">
      <c r="N1181" s="362"/>
      <c r="R1181" s="210"/>
      <c r="S1181" s="232"/>
      <c r="T1181" s="270"/>
    </row>
    <row r="1182" spans="14:20" x14ac:dyDescent="0.25">
      <c r="N1182" s="362"/>
      <c r="R1182" s="210"/>
      <c r="S1182" s="232"/>
      <c r="T1182" s="270"/>
    </row>
    <row r="1183" spans="14:20" x14ac:dyDescent="0.25">
      <c r="N1183" s="362"/>
      <c r="R1183" s="210"/>
      <c r="S1183" s="232"/>
      <c r="T1183" s="270"/>
    </row>
    <row r="1184" spans="14:20" x14ac:dyDescent="0.25">
      <c r="N1184" s="362"/>
      <c r="R1184" s="210"/>
      <c r="S1184" s="232"/>
      <c r="T1184" s="270"/>
    </row>
    <row r="1185" spans="14:20" x14ac:dyDescent="0.25">
      <c r="N1185" s="362"/>
      <c r="R1185" s="210"/>
      <c r="S1185" s="232"/>
      <c r="T1185" s="270"/>
    </row>
    <row r="1186" spans="14:20" x14ac:dyDescent="0.25">
      <c r="N1186" s="362"/>
      <c r="R1186" s="210"/>
      <c r="S1186" s="232"/>
      <c r="T1186" s="270"/>
    </row>
    <row r="1187" spans="14:20" x14ac:dyDescent="0.25">
      <c r="N1187" s="362"/>
      <c r="R1187" s="210"/>
      <c r="S1187" s="232"/>
      <c r="T1187" s="270"/>
    </row>
    <row r="1188" spans="14:20" x14ac:dyDescent="0.25">
      <c r="N1188" s="362"/>
      <c r="R1188" s="210"/>
      <c r="S1188" s="232"/>
      <c r="T1188" s="270"/>
    </row>
    <row r="1189" spans="14:20" x14ac:dyDescent="0.25">
      <c r="N1189" s="362"/>
      <c r="R1189" s="210"/>
      <c r="S1189" s="232"/>
      <c r="T1189" s="270"/>
    </row>
    <row r="1190" spans="14:20" x14ac:dyDescent="0.25">
      <c r="N1190" s="362"/>
      <c r="R1190" s="210"/>
      <c r="S1190" s="232"/>
      <c r="T1190" s="270"/>
    </row>
    <row r="1191" spans="14:20" x14ac:dyDescent="0.25">
      <c r="N1191" s="362"/>
      <c r="R1191" s="210"/>
      <c r="S1191" s="232"/>
      <c r="T1191" s="270"/>
    </row>
    <row r="1192" spans="14:20" x14ac:dyDescent="0.25">
      <c r="N1192" s="362"/>
      <c r="R1192" s="210"/>
      <c r="S1192" s="232"/>
      <c r="T1192" s="270"/>
    </row>
    <row r="1193" spans="14:20" x14ac:dyDescent="0.25">
      <c r="N1193" s="362"/>
      <c r="R1193" s="210"/>
      <c r="S1193" s="232"/>
      <c r="T1193" s="270"/>
    </row>
    <row r="1194" spans="14:20" x14ac:dyDescent="0.25">
      <c r="N1194" s="362"/>
      <c r="R1194" s="210"/>
      <c r="S1194" s="232"/>
      <c r="T1194" s="270"/>
    </row>
    <row r="1195" spans="14:20" x14ac:dyDescent="0.25">
      <c r="N1195" s="362"/>
      <c r="R1195" s="210"/>
      <c r="S1195" s="232"/>
      <c r="T1195" s="270"/>
    </row>
    <row r="1196" spans="14:20" x14ac:dyDescent="0.25">
      <c r="N1196" s="362"/>
      <c r="R1196" s="210"/>
      <c r="S1196" s="232"/>
      <c r="T1196" s="270"/>
    </row>
    <row r="1197" spans="14:20" x14ac:dyDescent="0.25">
      <c r="N1197" s="362"/>
      <c r="R1197" s="210"/>
      <c r="S1197" s="232"/>
      <c r="T1197" s="270"/>
    </row>
    <row r="1198" spans="14:20" x14ac:dyDescent="0.25">
      <c r="N1198" s="362"/>
      <c r="R1198" s="210"/>
      <c r="S1198" s="232"/>
      <c r="T1198" s="270"/>
    </row>
    <row r="1199" spans="14:20" x14ac:dyDescent="0.25">
      <c r="N1199" s="362"/>
      <c r="R1199" s="210"/>
      <c r="S1199" s="232"/>
      <c r="T1199" s="270"/>
    </row>
    <row r="1200" spans="14:20" x14ac:dyDescent="0.25">
      <c r="N1200" s="362"/>
      <c r="R1200" s="210"/>
      <c r="S1200" s="232"/>
      <c r="T1200" s="270"/>
    </row>
    <row r="1201" spans="14:20" x14ac:dyDescent="0.25">
      <c r="N1201" s="362"/>
      <c r="R1201" s="210"/>
      <c r="S1201" s="232"/>
      <c r="T1201" s="270"/>
    </row>
    <row r="1202" spans="14:20" x14ac:dyDescent="0.25">
      <c r="N1202" s="362"/>
      <c r="R1202" s="210"/>
      <c r="S1202" s="232"/>
      <c r="T1202" s="270"/>
    </row>
    <row r="1203" spans="14:20" x14ac:dyDescent="0.25">
      <c r="N1203" s="362"/>
      <c r="R1203" s="210"/>
      <c r="S1203" s="232"/>
      <c r="T1203" s="270"/>
    </row>
    <row r="1204" spans="14:20" x14ac:dyDescent="0.25">
      <c r="N1204" s="362"/>
      <c r="R1204" s="210"/>
      <c r="S1204" s="232"/>
      <c r="T1204" s="270"/>
    </row>
    <row r="1205" spans="14:20" x14ac:dyDescent="0.25">
      <c r="N1205" s="362"/>
      <c r="R1205" s="210"/>
      <c r="S1205" s="232"/>
      <c r="T1205" s="270"/>
    </row>
    <row r="1206" spans="14:20" x14ac:dyDescent="0.25">
      <c r="N1206" s="362"/>
      <c r="R1206" s="210"/>
      <c r="S1206" s="232"/>
      <c r="T1206" s="270"/>
    </row>
    <row r="1207" spans="14:20" x14ac:dyDescent="0.25">
      <c r="N1207" s="362"/>
      <c r="R1207" s="210"/>
      <c r="S1207" s="232"/>
      <c r="T1207" s="270"/>
    </row>
    <row r="1208" spans="14:20" x14ac:dyDescent="0.25">
      <c r="N1208" s="362"/>
      <c r="R1208" s="210"/>
      <c r="S1208" s="232"/>
      <c r="T1208" s="270"/>
    </row>
    <row r="1209" spans="14:20" x14ac:dyDescent="0.25">
      <c r="N1209" s="362"/>
      <c r="R1209" s="210"/>
      <c r="S1209" s="232"/>
      <c r="T1209" s="270"/>
    </row>
    <row r="1210" spans="14:20" x14ac:dyDescent="0.25">
      <c r="N1210" s="362"/>
      <c r="R1210" s="210"/>
      <c r="S1210" s="232"/>
      <c r="T1210" s="270"/>
    </row>
    <row r="1211" spans="14:20" x14ac:dyDescent="0.25">
      <c r="N1211" s="362"/>
      <c r="R1211" s="210"/>
      <c r="S1211" s="232"/>
      <c r="T1211" s="270"/>
    </row>
    <row r="1212" spans="14:20" x14ac:dyDescent="0.25">
      <c r="N1212" s="362"/>
      <c r="R1212" s="210"/>
      <c r="S1212" s="232"/>
      <c r="T1212" s="270"/>
    </row>
    <row r="1213" spans="14:20" x14ac:dyDescent="0.25">
      <c r="N1213" s="362"/>
      <c r="R1213" s="210"/>
      <c r="S1213" s="232"/>
      <c r="T1213" s="270"/>
    </row>
    <row r="1214" spans="14:20" x14ac:dyDescent="0.25">
      <c r="N1214" s="362"/>
      <c r="R1214" s="210"/>
      <c r="S1214" s="232"/>
      <c r="T1214" s="270"/>
    </row>
    <row r="1215" spans="14:20" x14ac:dyDescent="0.25">
      <c r="N1215" s="362"/>
      <c r="R1215" s="210"/>
      <c r="S1215" s="232"/>
      <c r="T1215" s="270"/>
    </row>
    <row r="1216" spans="14:20" x14ac:dyDescent="0.25">
      <c r="N1216" s="362"/>
      <c r="R1216" s="210"/>
      <c r="S1216" s="232"/>
      <c r="T1216" s="270"/>
    </row>
    <row r="1217" spans="14:20" x14ac:dyDescent="0.25">
      <c r="N1217" s="362"/>
      <c r="R1217" s="210"/>
      <c r="S1217" s="232"/>
      <c r="T1217" s="270"/>
    </row>
    <row r="1218" spans="14:20" x14ac:dyDescent="0.25">
      <c r="N1218" s="362"/>
      <c r="R1218" s="210"/>
      <c r="S1218" s="232"/>
      <c r="T1218" s="270"/>
    </row>
    <row r="1219" spans="14:20" x14ac:dyDescent="0.25">
      <c r="N1219" s="362"/>
      <c r="R1219" s="210"/>
      <c r="S1219" s="232"/>
      <c r="T1219" s="270"/>
    </row>
    <row r="1220" spans="14:20" x14ac:dyDescent="0.25">
      <c r="N1220" s="362"/>
      <c r="R1220" s="210"/>
      <c r="S1220" s="232"/>
      <c r="T1220" s="270"/>
    </row>
    <row r="1221" spans="14:20" x14ac:dyDescent="0.25">
      <c r="N1221" s="362"/>
      <c r="R1221" s="210"/>
      <c r="S1221" s="232"/>
      <c r="T1221" s="270"/>
    </row>
    <row r="1222" spans="14:20" x14ac:dyDescent="0.25">
      <c r="N1222" s="362"/>
      <c r="R1222" s="210"/>
      <c r="S1222" s="232"/>
      <c r="T1222" s="270"/>
    </row>
    <row r="1223" spans="14:20" x14ac:dyDescent="0.25">
      <c r="N1223" s="362"/>
      <c r="R1223" s="210"/>
      <c r="S1223" s="232"/>
      <c r="T1223" s="270"/>
    </row>
    <row r="1224" spans="14:20" x14ac:dyDescent="0.25">
      <c r="N1224" s="362"/>
      <c r="R1224" s="210"/>
      <c r="S1224" s="232"/>
      <c r="T1224" s="270"/>
    </row>
    <row r="1225" spans="14:20" x14ac:dyDescent="0.25">
      <c r="N1225" s="362"/>
      <c r="R1225" s="210"/>
      <c r="S1225" s="232"/>
      <c r="T1225" s="270"/>
    </row>
    <row r="1226" spans="14:20" x14ac:dyDescent="0.25">
      <c r="N1226" s="362"/>
      <c r="R1226" s="210"/>
      <c r="S1226" s="232"/>
      <c r="T1226" s="270"/>
    </row>
    <row r="1227" spans="14:20" x14ac:dyDescent="0.25">
      <c r="N1227" s="362"/>
      <c r="R1227" s="210"/>
      <c r="S1227" s="232"/>
      <c r="T1227" s="270"/>
    </row>
    <row r="1228" spans="14:20" x14ac:dyDescent="0.25">
      <c r="N1228" s="362"/>
      <c r="R1228" s="210"/>
      <c r="S1228" s="232"/>
      <c r="T1228" s="270"/>
    </row>
    <row r="1229" spans="14:20" x14ac:dyDescent="0.25">
      <c r="N1229" s="362"/>
      <c r="R1229" s="210"/>
      <c r="S1229" s="232"/>
      <c r="T1229" s="270"/>
    </row>
    <row r="1230" spans="14:20" x14ac:dyDescent="0.25">
      <c r="N1230" s="362"/>
      <c r="R1230" s="210"/>
      <c r="S1230" s="232"/>
      <c r="T1230" s="270"/>
    </row>
    <row r="1231" spans="14:20" x14ac:dyDescent="0.25">
      <c r="N1231" s="362"/>
      <c r="R1231" s="210"/>
      <c r="S1231" s="232"/>
      <c r="T1231" s="270"/>
    </row>
    <row r="1232" spans="14:20" x14ac:dyDescent="0.25">
      <c r="N1232" s="362"/>
      <c r="R1232" s="210"/>
      <c r="S1232" s="232"/>
      <c r="T1232" s="270"/>
    </row>
    <row r="1233" spans="14:20" x14ac:dyDescent="0.25">
      <c r="N1233" s="362"/>
      <c r="R1233" s="210"/>
      <c r="S1233" s="232"/>
      <c r="T1233" s="270"/>
    </row>
    <row r="1234" spans="14:20" x14ac:dyDescent="0.25">
      <c r="N1234" s="362"/>
      <c r="R1234" s="210"/>
      <c r="S1234" s="232"/>
      <c r="T1234" s="270"/>
    </row>
    <row r="1235" spans="14:20" x14ac:dyDescent="0.25">
      <c r="N1235" s="362"/>
      <c r="R1235" s="210"/>
      <c r="S1235" s="232"/>
      <c r="T1235" s="270"/>
    </row>
    <row r="1236" spans="14:20" x14ac:dyDescent="0.25">
      <c r="N1236" s="362"/>
      <c r="R1236" s="210"/>
      <c r="S1236" s="232"/>
      <c r="T1236" s="270"/>
    </row>
    <row r="1237" spans="14:20" x14ac:dyDescent="0.25">
      <c r="N1237" s="362"/>
      <c r="R1237" s="210"/>
      <c r="S1237" s="232"/>
      <c r="T1237" s="270"/>
    </row>
    <row r="1238" spans="14:20" x14ac:dyDescent="0.25">
      <c r="N1238" s="362"/>
      <c r="R1238" s="210"/>
      <c r="S1238" s="232"/>
      <c r="T1238" s="270"/>
    </row>
    <row r="1239" spans="14:20" x14ac:dyDescent="0.25">
      <c r="N1239" s="362"/>
      <c r="R1239" s="210"/>
      <c r="S1239" s="232"/>
      <c r="T1239" s="270"/>
    </row>
    <row r="1240" spans="14:20" x14ac:dyDescent="0.25">
      <c r="N1240" s="362"/>
      <c r="R1240" s="210"/>
      <c r="S1240" s="232"/>
      <c r="T1240" s="270"/>
    </row>
    <row r="1241" spans="14:20" x14ac:dyDescent="0.25">
      <c r="N1241" s="362"/>
      <c r="R1241" s="210"/>
      <c r="S1241" s="232"/>
      <c r="T1241" s="270"/>
    </row>
    <row r="1242" spans="14:20" x14ac:dyDescent="0.25">
      <c r="N1242" s="362"/>
      <c r="R1242" s="210"/>
      <c r="S1242" s="232"/>
      <c r="T1242" s="270"/>
    </row>
    <row r="1243" spans="14:20" x14ac:dyDescent="0.25">
      <c r="N1243" s="362"/>
      <c r="R1243" s="210"/>
      <c r="S1243" s="232"/>
      <c r="T1243" s="270"/>
    </row>
    <row r="1244" spans="14:20" x14ac:dyDescent="0.25">
      <c r="N1244" s="362"/>
      <c r="R1244" s="210"/>
      <c r="S1244" s="232"/>
      <c r="T1244" s="270"/>
    </row>
    <row r="1245" spans="14:20" x14ac:dyDescent="0.25">
      <c r="N1245" s="362"/>
      <c r="R1245" s="210"/>
      <c r="S1245" s="232"/>
      <c r="T1245" s="270"/>
    </row>
    <row r="1246" spans="14:20" x14ac:dyDescent="0.25">
      <c r="N1246" s="362"/>
      <c r="R1246" s="210"/>
      <c r="S1246" s="232"/>
      <c r="T1246" s="270"/>
    </row>
    <row r="1247" spans="14:20" x14ac:dyDescent="0.25">
      <c r="N1247" s="362"/>
      <c r="R1247" s="210"/>
      <c r="S1247" s="232"/>
      <c r="T1247" s="270"/>
    </row>
    <row r="1248" spans="14:20" x14ac:dyDescent="0.25">
      <c r="N1248" s="362"/>
      <c r="R1248" s="210"/>
      <c r="S1248" s="232"/>
      <c r="T1248" s="270"/>
    </row>
    <row r="1249" spans="14:20" x14ac:dyDescent="0.25">
      <c r="N1249" s="362"/>
      <c r="R1249" s="210"/>
      <c r="S1249" s="232"/>
      <c r="T1249" s="270"/>
    </row>
    <row r="1250" spans="14:20" x14ac:dyDescent="0.25">
      <c r="N1250" s="362"/>
      <c r="R1250" s="210"/>
      <c r="S1250" s="232"/>
      <c r="T1250" s="270"/>
    </row>
    <row r="1251" spans="14:20" x14ac:dyDescent="0.25">
      <c r="N1251" s="362"/>
      <c r="R1251" s="210"/>
      <c r="S1251" s="232"/>
      <c r="T1251" s="270"/>
    </row>
    <row r="1252" spans="14:20" x14ac:dyDescent="0.25">
      <c r="N1252" s="362"/>
      <c r="R1252" s="210"/>
      <c r="S1252" s="232"/>
      <c r="T1252" s="270"/>
    </row>
    <row r="1253" spans="14:20" x14ac:dyDescent="0.25">
      <c r="N1253" s="362"/>
      <c r="R1253" s="210"/>
      <c r="S1253" s="232"/>
      <c r="T1253" s="270"/>
    </row>
    <row r="1254" spans="14:20" x14ac:dyDescent="0.25">
      <c r="N1254" s="362"/>
      <c r="R1254" s="210"/>
      <c r="S1254" s="232"/>
      <c r="T1254" s="270"/>
    </row>
    <row r="1255" spans="14:20" x14ac:dyDescent="0.25">
      <c r="N1255" s="362"/>
      <c r="R1255" s="210"/>
      <c r="S1255" s="232"/>
      <c r="T1255" s="270"/>
    </row>
    <row r="1256" spans="14:20" x14ac:dyDescent="0.25">
      <c r="N1256" s="362"/>
      <c r="R1256" s="210"/>
      <c r="S1256" s="232"/>
      <c r="T1256" s="270"/>
    </row>
    <row r="1257" spans="14:20" x14ac:dyDescent="0.25">
      <c r="N1257" s="362"/>
      <c r="R1257" s="210"/>
      <c r="S1257" s="232"/>
      <c r="T1257" s="270"/>
    </row>
    <row r="1258" spans="14:20" x14ac:dyDescent="0.25">
      <c r="N1258" s="362"/>
      <c r="R1258" s="210"/>
      <c r="S1258" s="232"/>
      <c r="T1258" s="270"/>
    </row>
    <row r="1259" spans="14:20" x14ac:dyDescent="0.25">
      <c r="N1259" s="362"/>
      <c r="R1259" s="210"/>
      <c r="S1259" s="232"/>
      <c r="T1259" s="270"/>
    </row>
    <row r="1260" spans="14:20" x14ac:dyDescent="0.25">
      <c r="N1260" s="362"/>
      <c r="R1260" s="210"/>
      <c r="S1260" s="232"/>
      <c r="T1260" s="270"/>
    </row>
    <row r="1261" spans="14:20" x14ac:dyDescent="0.25">
      <c r="N1261" s="362"/>
      <c r="R1261" s="210"/>
      <c r="S1261" s="232"/>
      <c r="T1261" s="270"/>
    </row>
    <row r="1262" spans="14:20" x14ac:dyDescent="0.25">
      <c r="N1262" s="362"/>
      <c r="R1262" s="210"/>
      <c r="S1262" s="232"/>
      <c r="T1262" s="270"/>
    </row>
    <row r="1263" spans="14:20" x14ac:dyDescent="0.25">
      <c r="N1263" s="362"/>
      <c r="R1263" s="210"/>
      <c r="S1263" s="232"/>
      <c r="T1263" s="270"/>
    </row>
    <row r="1264" spans="14:20" x14ac:dyDescent="0.25">
      <c r="N1264" s="362"/>
      <c r="R1264" s="210"/>
      <c r="S1264" s="232"/>
      <c r="T1264" s="270"/>
    </row>
    <row r="1265" spans="14:20" x14ac:dyDescent="0.25">
      <c r="N1265" s="362"/>
      <c r="R1265" s="210"/>
      <c r="S1265" s="232"/>
      <c r="T1265" s="270"/>
    </row>
    <row r="1266" spans="14:20" x14ac:dyDescent="0.25">
      <c r="N1266" s="362"/>
      <c r="R1266" s="210"/>
      <c r="S1266" s="232"/>
      <c r="T1266" s="270"/>
    </row>
    <row r="1267" spans="14:20" x14ac:dyDescent="0.25">
      <c r="N1267" s="362"/>
      <c r="R1267" s="210"/>
      <c r="S1267" s="232"/>
      <c r="T1267" s="270"/>
    </row>
    <row r="1268" spans="14:20" x14ac:dyDescent="0.25">
      <c r="N1268" s="362"/>
      <c r="R1268" s="210"/>
      <c r="S1268" s="232"/>
      <c r="T1268" s="270"/>
    </row>
    <row r="1269" spans="14:20" x14ac:dyDescent="0.25">
      <c r="N1269" s="362"/>
      <c r="R1269" s="210"/>
      <c r="S1269" s="232"/>
      <c r="T1269" s="270"/>
    </row>
    <row r="1270" spans="14:20" x14ac:dyDescent="0.25">
      <c r="N1270" s="362"/>
      <c r="R1270" s="210"/>
      <c r="S1270" s="232"/>
      <c r="T1270" s="270"/>
    </row>
    <row r="1271" spans="14:20" x14ac:dyDescent="0.25">
      <c r="N1271" s="362"/>
      <c r="R1271" s="210"/>
      <c r="S1271" s="232"/>
      <c r="T1271" s="270"/>
    </row>
    <row r="1272" spans="14:20" x14ac:dyDescent="0.25">
      <c r="N1272" s="362"/>
      <c r="R1272" s="210"/>
      <c r="S1272" s="232"/>
      <c r="T1272" s="270"/>
    </row>
    <row r="1273" spans="14:20" x14ac:dyDescent="0.25">
      <c r="N1273" s="362"/>
      <c r="R1273" s="210"/>
      <c r="S1273" s="232"/>
      <c r="T1273" s="270"/>
    </row>
    <row r="1274" spans="14:20" x14ac:dyDescent="0.25">
      <c r="N1274" s="362"/>
      <c r="R1274" s="210"/>
      <c r="S1274" s="232"/>
      <c r="T1274" s="270"/>
    </row>
    <row r="1275" spans="14:20" x14ac:dyDescent="0.25">
      <c r="N1275" s="362"/>
      <c r="R1275" s="210"/>
      <c r="S1275" s="232"/>
      <c r="T1275" s="270"/>
    </row>
    <row r="1276" spans="14:20" x14ac:dyDescent="0.25">
      <c r="N1276" s="362"/>
      <c r="R1276" s="210"/>
      <c r="S1276" s="232"/>
      <c r="T1276" s="270"/>
    </row>
    <row r="1277" spans="14:20" x14ac:dyDescent="0.25">
      <c r="N1277" s="362"/>
      <c r="R1277" s="210"/>
      <c r="S1277" s="232"/>
      <c r="T1277" s="270"/>
    </row>
    <row r="1278" spans="14:20" x14ac:dyDescent="0.25">
      <c r="N1278" s="362"/>
      <c r="R1278" s="210"/>
      <c r="S1278" s="232"/>
      <c r="T1278" s="270"/>
    </row>
    <row r="1279" spans="14:20" x14ac:dyDescent="0.25">
      <c r="N1279" s="362"/>
      <c r="R1279" s="210"/>
      <c r="S1279" s="232"/>
      <c r="T1279" s="270"/>
    </row>
    <row r="1280" spans="14:20" x14ac:dyDescent="0.25">
      <c r="N1280" s="362"/>
      <c r="R1280" s="210"/>
      <c r="S1280" s="232"/>
      <c r="T1280" s="270"/>
    </row>
    <row r="1281" spans="14:20" x14ac:dyDescent="0.25">
      <c r="N1281" s="362"/>
      <c r="R1281" s="210"/>
      <c r="S1281" s="232"/>
      <c r="T1281" s="270"/>
    </row>
    <row r="1282" spans="14:20" x14ac:dyDescent="0.25">
      <c r="N1282" s="362"/>
      <c r="R1282" s="210"/>
      <c r="S1282" s="232"/>
      <c r="T1282" s="270"/>
    </row>
    <row r="1283" spans="14:20" x14ac:dyDescent="0.25">
      <c r="N1283" s="362"/>
      <c r="R1283" s="210"/>
      <c r="S1283" s="232"/>
      <c r="T1283" s="270"/>
    </row>
    <row r="1284" spans="14:20" x14ac:dyDescent="0.25">
      <c r="N1284" s="362"/>
      <c r="R1284" s="210"/>
      <c r="S1284" s="232"/>
      <c r="T1284" s="270"/>
    </row>
    <row r="1285" spans="14:20" x14ac:dyDescent="0.25">
      <c r="N1285" s="362"/>
      <c r="R1285" s="210"/>
      <c r="S1285" s="232"/>
      <c r="T1285" s="270"/>
    </row>
    <row r="1286" spans="14:20" x14ac:dyDescent="0.25">
      <c r="N1286" s="362"/>
      <c r="R1286" s="210"/>
      <c r="S1286" s="232"/>
      <c r="T1286" s="270"/>
    </row>
    <row r="1287" spans="14:20" x14ac:dyDescent="0.25">
      <c r="N1287" s="362"/>
      <c r="R1287" s="210"/>
      <c r="S1287" s="232"/>
      <c r="T1287" s="270"/>
    </row>
    <row r="1288" spans="14:20" x14ac:dyDescent="0.25">
      <c r="N1288" s="362"/>
      <c r="R1288" s="210"/>
      <c r="S1288" s="232"/>
      <c r="T1288" s="270"/>
    </row>
    <row r="1289" spans="14:20" x14ac:dyDescent="0.25">
      <c r="N1289" s="362"/>
      <c r="R1289" s="210"/>
      <c r="S1289" s="232"/>
      <c r="T1289" s="270"/>
    </row>
    <row r="1290" spans="14:20" x14ac:dyDescent="0.25">
      <c r="N1290" s="362"/>
      <c r="R1290" s="210"/>
      <c r="S1290" s="232"/>
      <c r="T1290" s="270"/>
    </row>
    <row r="1291" spans="14:20" x14ac:dyDescent="0.25">
      <c r="N1291" s="362"/>
      <c r="R1291" s="210"/>
      <c r="S1291" s="232"/>
      <c r="T1291" s="270"/>
    </row>
    <row r="1292" spans="14:20" x14ac:dyDescent="0.25">
      <c r="N1292" s="362"/>
      <c r="R1292" s="210"/>
      <c r="S1292" s="232"/>
      <c r="T1292" s="270"/>
    </row>
    <row r="1293" spans="14:20" x14ac:dyDescent="0.25">
      <c r="N1293" s="362"/>
      <c r="R1293" s="210"/>
      <c r="S1293" s="232"/>
      <c r="T1293" s="270"/>
    </row>
    <row r="1294" spans="14:20" x14ac:dyDescent="0.25">
      <c r="N1294" s="362"/>
      <c r="R1294" s="210"/>
      <c r="S1294" s="232"/>
      <c r="T1294" s="270"/>
    </row>
    <row r="1295" spans="14:20" x14ac:dyDescent="0.25">
      <c r="N1295" s="362"/>
      <c r="R1295" s="210"/>
      <c r="S1295" s="232"/>
      <c r="T1295" s="270"/>
    </row>
    <row r="1296" spans="14:20" x14ac:dyDescent="0.25">
      <c r="N1296" s="362"/>
      <c r="R1296" s="210"/>
      <c r="S1296" s="232"/>
      <c r="T1296" s="270"/>
    </row>
    <row r="1297" spans="14:20" x14ac:dyDescent="0.25">
      <c r="N1297" s="362"/>
      <c r="R1297" s="210"/>
      <c r="S1297" s="232"/>
      <c r="T1297" s="270"/>
    </row>
    <row r="1298" spans="14:20" x14ac:dyDescent="0.25">
      <c r="N1298" s="362"/>
      <c r="R1298" s="210"/>
      <c r="S1298" s="232"/>
      <c r="T1298" s="270"/>
    </row>
    <row r="1299" spans="14:20" x14ac:dyDescent="0.25">
      <c r="N1299" s="362"/>
      <c r="R1299" s="210"/>
      <c r="S1299" s="232"/>
      <c r="T1299" s="270"/>
    </row>
    <row r="1300" spans="14:20" x14ac:dyDescent="0.25">
      <c r="N1300" s="362"/>
      <c r="R1300" s="210"/>
      <c r="S1300" s="232"/>
      <c r="T1300" s="270"/>
    </row>
    <row r="1301" spans="14:20" x14ac:dyDescent="0.25">
      <c r="N1301" s="362"/>
      <c r="R1301" s="210"/>
      <c r="S1301" s="232"/>
      <c r="T1301" s="270"/>
    </row>
    <row r="1302" spans="14:20" x14ac:dyDescent="0.25">
      <c r="N1302" s="362"/>
      <c r="R1302" s="210"/>
      <c r="S1302" s="232"/>
      <c r="T1302" s="270"/>
    </row>
    <row r="1303" spans="14:20" x14ac:dyDescent="0.25">
      <c r="N1303" s="362"/>
      <c r="R1303" s="210"/>
      <c r="S1303" s="232"/>
      <c r="T1303" s="270"/>
    </row>
    <row r="1304" spans="14:20" x14ac:dyDescent="0.25">
      <c r="N1304" s="362"/>
      <c r="R1304" s="210"/>
      <c r="S1304" s="232"/>
      <c r="T1304" s="270"/>
    </row>
    <row r="1305" spans="14:20" x14ac:dyDescent="0.25">
      <c r="N1305" s="362"/>
      <c r="R1305" s="210"/>
      <c r="S1305" s="232"/>
      <c r="T1305" s="270"/>
    </row>
    <row r="1306" spans="14:20" x14ac:dyDescent="0.25">
      <c r="N1306" s="362"/>
      <c r="R1306" s="210"/>
      <c r="S1306" s="232"/>
      <c r="T1306" s="270"/>
    </row>
    <row r="1307" spans="14:20" x14ac:dyDescent="0.25">
      <c r="N1307" s="362"/>
      <c r="R1307" s="210"/>
      <c r="S1307" s="232"/>
      <c r="T1307" s="270"/>
    </row>
    <row r="1308" spans="14:20" x14ac:dyDescent="0.25">
      <c r="N1308" s="362"/>
      <c r="R1308" s="210"/>
      <c r="S1308" s="232"/>
      <c r="T1308" s="270"/>
    </row>
    <row r="1309" spans="14:20" x14ac:dyDescent="0.25">
      <c r="N1309" s="362"/>
      <c r="R1309" s="210"/>
      <c r="S1309" s="232"/>
      <c r="T1309" s="270"/>
    </row>
    <row r="1310" spans="14:20" x14ac:dyDescent="0.25">
      <c r="N1310" s="362"/>
      <c r="R1310" s="210"/>
      <c r="S1310" s="232"/>
      <c r="T1310" s="270"/>
    </row>
    <row r="1311" spans="14:20" x14ac:dyDescent="0.25">
      <c r="N1311" s="362"/>
      <c r="R1311" s="210"/>
      <c r="S1311" s="232"/>
      <c r="T1311" s="270"/>
    </row>
    <row r="1312" spans="14:20" x14ac:dyDescent="0.25">
      <c r="N1312" s="362"/>
      <c r="R1312" s="210"/>
      <c r="S1312" s="232"/>
      <c r="T1312" s="270"/>
    </row>
    <row r="1313" spans="14:20" x14ac:dyDescent="0.25">
      <c r="N1313" s="362"/>
      <c r="R1313" s="210"/>
      <c r="S1313" s="232"/>
      <c r="T1313" s="270"/>
    </row>
    <row r="1314" spans="14:20" x14ac:dyDescent="0.25">
      <c r="N1314" s="362"/>
      <c r="R1314" s="210"/>
      <c r="S1314" s="232"/>
      <c r="T1314" s="270"/>
    </row>
    <row r="1315" spans="14:20" x14ac:dyDescent="0.25">
      <c r="N1315" s="362"/>
      <c r="R1315" s="210"/>
      <c r="S1315" s="232"/>
      <c r="T1315" s="270"/>
    </row>
    <row r="1316" spans="14:20" x14ac:dyDescent="0.25">
      <c r="N1316" s="362"/>
      <c r="R1316" s="210"/>
      <c r="S1316" s="232"/>
      <c r="T1316" s="270"/>
    </row>
    <row r="1317" spans="14:20" x14ac:dyDescent="0.25">
      <c r="N1317" s="362"/>
      <c r="R1317" s="210"/>
      <c r="S1317" s="232"/>
      <c r="T1317" s="270"/>
    </row>
    <row r="1318" spans="14:20" x14ac:dyDescent="0.25">
      <c r="N1318" s="362"/>
      <c r="R1318" s="210"/>
      <c r="S1318" s="232"/>
      <c r="T1318" s="270"/>
    </row>
    <row r="1319" spans="14:20" x14ac:dyDescent="0.25">
      <c r="N1319" s="362"/>
      <c r="R1319" s="210"/>
      <c r="S1319" s="232"/>
      <c r="T1319" s="270"/>
    </row>
    <row r="1320" spans="14:20" x14ac:dyDescent="0.25">
      <c r="N1320" s="362"/>
      <c r="R1320" s="210"/>
      <c r="S1320" s="232"/>
      <c r="T1320" s="270"/>
    </row>
    <row r="1321" spans="14:20" x14ac:dyDescent="0.25">
      <c r="N1321" s="362"/>
      <c r="R1321" s="210"/>
      <c r="S1321" s="232"/>
      <c r="T1321" s="270"/>
    </row>
    <row r="1322" spans="14:20" x14ac:dyDescent="0.25">
      <c r="N1322" s="362"/>
      <c r="R1322" s="210"/>
      <c r="S1322" s="232"/>
      <c r="T1322" s="270"/>
    </row>
    <row r="1323" spans="14:20" x14ac:dyDescent="0.25">
      <c r="N1323" s="362"/>
      <c r="R1323" s="210"/>
      <c r="S1323" s="232"/>
      <c r="T1323" s="270"/>
    </row>
    <row r="1324" spans="14:20" x14ac:dyDescent="0.25">
      <c r="N1324" s="362"/>
      <c r="R1324" s="210"/>
      <c r="S1324" s="232"/>
      <c r="T1324" s="270"/>
    </row>
    <row r="1325" spans="14:20" x14ac:dyDescent="0.25">
      <c r="N1325" s="362"/>
      <c r="R1325" s="210"/>
      <c r="S1325" s="232"/>
      <c r="T1325" s="270"/>
    </row>
    <row r="1326" spans="14:20" x14ac:dyDescent="0.25">
      <c r="N1326" s="362"/>
      <c r="R1326" s="210"/>
      <c r="S1326" s="232"/>
      <c r="T1326" s="270"/>
    </row>
    <row r="1327" spans="14:20" x14ac:dyDescent="0.25">
      <c r="N1327" s="362"/>
      <c r="R1327" s="210"/>
      <c r="S1327" s="232"/>
      <c r="T1327" s="270"/>
    </row>
    <row r="1328" spans="14:20" x14ac:dyDescent="0.25">
      <c r="N1328" s="362"/>
      <c r="R1328" s="210"/>
      <c r="S1328" s="232"/>
      <c r="T1328" s="270"/>
    </row>
    <row r="1329" spans="14:20" x14ac:dyDescent="0.25">
      <c r="N1329" s="362"/>
      <c r="R1329" s="210"/>
      <c r="S1329" s="232"/>
      <c r="T1329" s="270"/>
    </row>
    <row r="1330" spans="14:20" x14ac:dyDescent="0.25">
      <c r="N1330" s="362"/>
      <c r="R1330" s="210"/>
      <c r="S1330" s="232"/>
      <c r="T1330" s="270"/>
    </row>
    <row r="1331" spans="14:20" x14ac:dyDescent="0.25">
      <c r="N1331" s="362"/>
      <c r="R1331" s="210"/>
      <c r="S1331" s="232"/>
      <c r="T1331" s="270"/>
    </row>
    <row r="1332" spans="14:20" x14ac:dyDescent="0.25">
      <c r="N1332" s="362"/>
      <c r="R1332" s="210"/>
      <c r="S1332" s="232"/>
      <c r="T1332" s="270"/>
    </row>
    <row r="1333" spans="14:20" x14ac:dyDescent="0.25">
      <c r="N1333" s="362"/>
      <c r="R1333" s="210"/>
      <c r="S1333" s="232"/>
      <c r="T1333" s="270"/>
    </row>
    <row r="1334" spans="14:20" x14ac:dyDescent="0.25">
      <c r="N1334" s="362"/>
      <c r="R1334" s="210"/>
      <c r="S1334" s="232"/>
      <c r="T1334" s="270"/>
    </row>
    <row r="1335" spans="14:20" x14ac:dyDescent="0.25">
      <c r="N1335" s="362"/>
      <c r="R1335" s="210"/>
      <c r="S1335" s="232"/>
      <c r="T1335" s="270"/>
    </row>
    <row r="1336" spans="14:20" x14ac:dyDescent="0.25">
      <c r="N1336" s="362"/>
      <c r="R1336" s="210"/>
      <c r="S1336" s="232"/>
      <c r="T1336" s="270"/>
    </row>
    <row r="1337" spans="14:20" x14ac:dyDescent="0.25">
      <c r="N1337" s="362"/>
      <c r="R1337" s="210"/>
      <c r="S1337" s="232"/>
      <c r="T1337" s="270"/>
    </row>
    <row r="1338" spans="14:20" x14ac:dyDescent="0.25">
      <c r="N1338" s="362"/>
      <c r="R1338" s="210"/>
      <c r="S1338" s="232"/>
      <c r="T1338" s="270"/>
    </row>
    <row r="1339" spans="14:20" x14ac:dyDescent="0.25">
      <c r="N1339" s="362"/>
      <c r="R1339" s="210"/>
      <c r="S1339" s="232"/>
      <c r="T1339" s="270"/>
    </row>
    <row r="1340" spans="14:20" x14ac:dyDescent="0.25">
      <c r="N1340" s="362"/>
      <c r="R1340" s="210"/>
      <c r="S1340" s="232"/>
      <c r="T1340" s="270"/>
    </row>
    <row r="1341" spans="14:20" x14ac:dyDescent="0.25">
      <c r="N1341" s="362"/>
      <c r="R1341" s="210"/>
      <c r="S1341" s="232"/>
      <c r="T1341" s="270"/>
    </row>
    <row r="1342" spans="14:20" x14ac:dyDescent="0.25">
      <c r="N1342" s="362"/>
      <c r="R1342" s="210"/>
      <c r="S1342" s="232"/>
      <c r="T1342" s="270"/>
    </row>
    <row r="1343" spans="14:20" x14ac:dyDescent="0.25">
      <c r="N1343" s="362"/>
      <c r="R1343" s="210"/>
      <c r="S1343" s="232"/>
      <c r="T1343" s="270"/>
    </row>
    <row r="1344" spans="14:20" x14ac:dyDescent="0.25">
      <c r="N1344" s="362"/>
      <c r="R1344" s="210"/>
      <c r="S1344" s="232"/>
      <c r="T1344" s="270"/>
    </row>
    <row r="1345" spans="14:20" x14ac:dyDescent="0.25">
      <c r="N1345" s="362"/>
      <c r="R1345" s="210"/>
      <c r="S1345" s="232"/>
      <c r="T1345" s="270"/>
    </row>
    <row r="1346" spans="14:20" x14ac:dyDescent="0.25">
      <c r="N1346" s="362"/>
      <c r="R1346" s="210"/>
      <c r="S1346" s="232"/>
      <c r="T1346" s="270"/>
    </row>
    <row r="1347" spans="14:20" x14ac:dyDescent="0.25">
      <c r="N1347" s="362"/>
      <c r="R1347" s="210"/>
      <c r="S1347" s="232"/>
      <c r="T1347" s="270"/>
    </row>
    <row r="1348" spans="14:20" x14ac:dyDescent="0.25">
      <c r="N1348" s="362"/>
      <c r="R1348" s="210"/>
      <c r="S1348" s="232"/>
      <c r="T1348" s="270"/>
    </row>
    <row r="1349" spans="14:20" x14ac:dyDescent="0.25">
      <c r="N1349" s="362"/>
      <c r="R1349" s="210"/>
      <c r="S1349" s="232"/>
      <c r="T1349" s="270"/>
    </row>
    <row r="1350" spans="14:20" x14ac:dyDescent="0.25">
      <c r="N1350" s="362"/>
      <c r="R1350" s="210"/>
      <c r="S1350" s="232"/>
      <c r="T1350" s="270"/>
    </row>
    <row r="1351" spans="14:20" x14ac:dyDescent="0.25">
      <c r="N1351" s="362"/>
      <c r="R1351" s="210"/>
      <c r="S1351" s="232"/>
      <c r="T1351" s="270"/>
    </row>
    <row r="1352" spans="14:20" x14ac:dyDescent="0.25">
      <c r="N1352" s="362"/>
      <c r="R1352" s="210"/>
      <c r="S1352" s="232"/>
      <c r="T1352" s="270"/>
    </row>
    <row r="1353" spans="14:20" x14ac:dyDescent="0.25">
      <c r="N1353" s="362"/>
      <c r="R1353" s="210"/>
      <c r="S1353" s="232"/>
      <c r="T1353" s="270"/>
    </row>
    <row r="1354" spans="14:20" x14ac:dyDescent="0.25">
      <c r="N1354" s="362"/>
      <c r="R1354" s="210"/>
      <c r="S1354" s="232"/>
      <c r="T1354" s="270"/>
    </row>
    <row r="1355" spans="14:20" x14ac:dyDescent="0.25">
      <c r="N1355" s="362"/>
      <c r="R1355" s="210"/>
      <c r="S1355" s="232"/>
      <c r="T1355" s="270"/>
    </row>
    <row r="1356" spans="14:20" x14ac:dyDescent="0.25">
      <c r="N1356" s="362"/>
      <c r="R1356" s="210"/>
      <c r="S1356" s="232"/>
      <c r="T1356" s="270"/>
    </row>
    <row r="1357" spans="14:20" x14ac:dyDescent="0.25">
      <c r="N1357" s="362"/>
      <c r="R1357" s="210"/>
      <c r="S1357" s="232"/>
      <c r="T1357" s="270"/>
    </row>
    <row r="1358" spans="14:20" x14ac:dyDescent="0.25">
      <c r="N1358" s="362"/>
      <c r="R1358" s="210"/>
      <c r="S1358" s="232"/>
      <c r="T1358" s="270"/>
    </row>
    <row r="1359" spans="14:20" x14ac:dyDescent="0.25">
      <c r="N1359" s="362"/>
      <c r="R1359" s="210"/>
      <c r="S1359" s="232"/>
      <c r="T1359" s="270"/>
    </row>
    <row r="1360" spans="14:20" x14ac:dyDescent="0.25">
      <c r="N1360" s="362"/>
      <c r="R1360" s="210"/>
      <c r="S1360" s="232"/>
      <c r="T1360" s="270"/>
    </row>
    <row r="1361" spans="14:20" x14ac:dyDescent="0.25">
      <c r="N1361" s="362"/>
      <c r="R1361" s="210"/>
      <c r="S1361" s="232"/>
      <c r="T1361" s="270"/>
    </row>
    <row r="1362" spans="14:20" x14ac:dyDescent="0.25">
      <c r="N1362" s="362"/>
      <c r="R1362" s="210"/>
      <c r="S1362" s="232"/>
      <c r="T1362" s="270"/>
    </row>
    <row r="1363" spans="14:20" x14ac:dyDescent="0.25">
      <c r="N1363" s="362"/>
      <c r="R1363" s="210"/>
      <c r="S1363" s="232"/>
      <c r="T1363" s="270"/>
    </row>
    <row r="1364" spans="14:20" x14ac:dyDescent="0.25">
      <c r="N1364" s="362"/>
      <c r="R1364" s="210"/>
      <c r="S1364" s="232"/>
      <c r="T1364" s="270"/>
    </row>
    <row r="1365" spans="14:20" x14ac:dyDescent="0.25">
      <c r="N1365" s="362"/>
      <c r="R1365" s="210"/>
      <c r="S1365" s="232"/>
      <c r="T1365" s="270"/>
    </row>
    <row r="1366" spans="14:20" x14ac:dyDescent="0.25">
      <c r="N1366" s="362"/>
      <c r="R1366" s="210"/>
      <c r="S1366" s="232"/>
      <c r="T1366" s="270"/>
    </row>
    <row r="1367" spans="14:20" x14ac:dyDescent="0.25">
      <c r="N1367" s="362"/>
      <c r="R1367" s="210"/>
      <c r="S1367" s="232"/>
      <c r="T1367" s="270"/>
    </row>
    <row r="1368" spans="14:20" x14ac:dyDescent="0.25">
      <c r="N1368" s="362"/>
      <c r="R1368" s="210"/>
      <c r="S1368" s="232"/>
      <c r="T1368" s="270"/>
    </row>
    <row r="1369" spans="14:20" x14ac:dyDescent="0.25">
      <c r="N1369" s="362"/>
      <c r="R1369" s="210"/>
      <c r="S1369" s="232"/>
      <c r="T1369" s="270"/>
    </row>
    <row r="1370" spans="14:20" x14ac:dyDescent="0.25">
      <c r="N1370" s="362"/>
      <c r="R1370" s="210"/>
      <c r="S1370" s="232"/>
      <c r="T1370" s="270"/>
    </row>
    <row r="1371" spans="14:20" x14ac:dyDescent="0.25">
      <c r="N1371" s="362"/>
      <c r="R1371" s="210"/>
      <c r="S1371" s="232"/>
      <c r="T1371" s="270"/>
    </row>
    <row r="1372" spans="14:20" x14ac:dyDescent="0.25">
      <c r="N1372" s="362"/>
      <c r="R1372" s="210"/>
      <c r="S1372" s="232"/>
      <c r="T1372" s="270"/>
    </row>
    <row r="1373" spans="14:20" x14ac:dyDescent="0.25">
      <c r="N1373" s="362"/>
      <c r="R1373" s="210"/>
      <c r="S1373" s="232"/>
      <c r="T1373" s="270"/>
    </row>
    <row r="1374" spans="14:20" x14ac:dyDescent="0.25">
      <c r="N1374" s="362"/>
      <c r="R1374" s="210"/>
      <c r="S1374" s="232"/>
      <c r="T1374" s="270"/>
    </row>
    <row r="1375" spans="14:20" x14ac:dyDescent="0.25">
      <c r="N1375" s="362"/>
      <c r="R1375" s="210"/>
      <c r="S1375" s="232"/>
      <c r="T1375" s="270"/>
    </row>
    <row r="1376" spans="14:20" x14ac:dyDescent="0.25">
      <c r="N1376" s="362"/>
      <c r="R1376" s="210"/>
      <c r="S1376" s="232"/>
      <c r="T1376" s="270"/>
    </row>
    <row r="1377" spans="14:20" x14ac:dyDescent="0.25">
      <c r="N1377" s="362"/>
      <c r="R1377" s="210"/>
      <c r="S1377" s="232"/>
      <c r="T1377" s="270"/>
    </row>
    <row r="1378" spans="14:20" x14ac:dyDescent="0.25">
      <c r="N1378" s="362"/>
      <c r="R1378" s="210"/>
      <c r="S1378" s="232"/>
      <c r="T1378" s="270"/>
    </row>
    <row r="1379" spans="14:20" x14ac:dyDescent="0.25">
      <c r="N1379" s="362"/>
      <c r="R1379" s="210"/>
      <c r="S1379" s="232"/>
      <c r="T1379" s="270"/>
    </row>
    <row r="1380" spans="14:20" x14ac:dyDescent="0.25">
      <c r="N1380" s="362"/>
      <c r="R1380" s="210"/>
      <c r="S1380" s="232"/>
      <c r="T1380" s="270"/>
    </row>
    <row r="1381" spans="14:20" x14ac:dyDescent="0.25">
      <c r="N1381" s="362"/>
      <c r="R1381" s="210"/>
      <c r="S1381" s="232"/>
      <c r="T1381" s="270"/>
    </row>
    <row r="1382" spans="14:20" x14ac:dyDescent="0.25">
      <c r="N1382" s="362"/>
      <c r="R1382" s="210"/>
      <c r="S1382" s="232"/>
      <c r="T1382" s="270"/>
    </row>
    <row r="1383" spans="14:20" x14ac:dyDescent="0.25">
      <c r="N1383" s="362"/>
      <c r="R1383" s="210"/>
      <c r="S1383" s="232"/>
      <c r="T1383" s="270"/>
    </row>
    <row r="1384" spans="14:20" x14ac:dyDescent="0.25">
      <c r="N1384" s="362"/>
      <c r="R1384" s="210"/>
      <c r="S1384" s="232"/>
      <c r="T1384" s="270"/>
    </row>
    <row r="1385" spans="14:20" x14ac:dyDescent="0.25">
      <c r="N1385" s="362"/>
      <c r="R1385" s="210"/>
      <c r="S1385" s="232"/>
      <c r="T1385" s="270"/>
    </row>
    <row r="1386" spans="14:20" x14ac:dyDescent="0.25">
      <c r="N1386" s="362"/>
      <c r="R1386" s="210"/>
      <c r="S1386" s="232"/>
      <c r="T1386" s="270"/>
    </row>
    <row r="1387" spans="14:20" x14ac:dyDescent="0.25">
      <c r="N1387" s="362"/>
      <c r="R1387" s="210"/>
      <c r="S1387" s="232"/>
      <c r="T1387" s="270"/>
    </row>
    <row r="1388" spans="14:20" x14ac:dyDescent="0.25">
      <c r="N1388" s="362"/>
      <c r="R1388" s="210"/>
      <c r="S1388" s="232"/>
      <c r="T1388" s="270"/>
    </row>
    <row r="1389" spans="14:20" x14ac:dyDescent="0.25">
      <c r="N1389" s="362"/>
      <c r="R1389" s="210"/>
      <c r="S1389" s="232"/>
      <c r="T1389" s="270"/>
    </row>
    <row r="1390" spans="14:20" x14ac:dyDescent="0.25">
      <c r="N1390" s="362"/>
      <c r="R1390" s="210"/>
      <c r="S1390" s="232"/>
      <c r="T1390" s="270"/>
    </row>
    <row r="1391" spans="14:20" x14ac:dyDescent="0.25">
      <c r="N1391" s="362"/>
      <c r="R1391" s="210"/>
      <c r="S1391" s="232"/>
      <c r="T1391" s="270"/>
    </row>
    <row r="1392" spans="14:20" x14ac:dyDescent="0.25">
      <c r="N1392" s="362"/>
      <c r="R1392" s="210"/>
      <c r="S1392" s="232"/>
      <c r="T1392" s="270"/>
    </row>
    <row r="1393" spans="14:20" x14ac:dyDescent="0.25">
      <c r="N1393" s="362"/>
      <c r="R1393" s="210"/>
      <c r="S1393" s="232"/>
      <c r="T1393" s="270"/>
    </row>
    <row r="1394" spans="14:20" x14ac:dyDescent="0.25">
      <c r="N1394" s="362"/>
      <c r="R1394" s="210"/>
      <c r="S1394" s="232"/>
      <c r="T1394" s="270"/>
    </row>
    <row r="1395" spans="14:20" x14ac:dyDescent="0.25">
      <c r="N1395" s="362"/>
      <c r="R1395" s="210"/>
      <c r="S1395" s="232"/>
      <c r="T1395" s="270"/>
    </row>
    <row r="1396" spans="14:20" x14ac:dyDescent="0.25">
      <c r="N1396" s="362"/>
      <c r="R1396" s="210"/>
      <c r="S1396" s="232"/>
      <c r="T1396" s="270"/>
    </row>
    <row r="1397" spans="14:20" x14ac:dyDescent="0.25">
      <c r="N1397" s="362"/>
      <c r="R1397" s="210"/>
      <c r="S1397" s="232"/>
      <c r="T1397" s="270"/>
    </row>
    <row r="1398" spans="14:20" x14ac:dyDescent="0.25">
      <c r="N1398" s="362"/>
      <c r="R1398" s="210"/>
      <c r="S1398" s="232"/>
      <c r="T1398" s="270"/>
    </row>
    <row r="1399" spans="14:20" x14ac:dyDescent="0.25">
      <c r="N1399" s="362"/>
      <c r="R1399" s="210"/>
      <c r="S1399" s="232"/>
      <c r="T1399" s="270"/>
    </row>
    <row r="1400" spans="14:20" x14ac:dyDescent="0.25">
      <c r="N1400" s="362"/>
      <c r="R1400" s="210"/>
      <c r="S1400" s="232"/>
      <c r="T1400" s="270"/>
    </row>
    <row r="1401" spans="14:20" x14ac:dyDescent="0.25">
      <c r="N1401" s="362"/>
      <c r="R1401" s="210"/>
      <c r="S1401" s="232"/>
      <c r="T1401" s="270"/>
    </row>
    <row r="1402" spans="14:20" x14ac:dyDescent="0.25">
      <c r="N1402" s="362"/>
      <c r="R1402" s="210"/>
      <c r="S1402" s="232"/>
      <c r="T1402" s="270"/>
    </row>
    <row r="1403" spans="14:20" x14ac:dyDescent="0.25">
      <c r="N1403" s="362"/>
      <c r="R1403" s="210"/>
      <c r="S1403" s="232"/>
      <c r="T1403" s="270"/>
    </row>
    <row r="1404" spans="14:20" x14ac:dyDescent="0.25">
      <c r="N1404" s="362"/>
      <c r="R1404" s="210"/>
      <c r="S1404" s="232"/>
      <c r="T1404" s="270"/>
    </row>
    <row r="1405" spans="14:20" x14ac:dyDescent="0.25">
      <c r="N1405" s="362"/>
      <c r="R1405" s="210"/>
      <c r="S1405" s="232"/>
      <c r="T1405" s="270"/>
    </row>
    <row r="1406" spans="14:20" x14ac:dyDescent="0.25">
      <c r="N1406" s="362"/>
      <c r="R1406" s="210"/>
      <c r="S1406" s="232"/>
      <c r="T1406" s="270"/>
    </row>
    <row r="1407" spans="14:20" x14ac:dyDescent="0.25">
      <c r="N1407" s="362"/>
      <c r="R1407" s="210"/>
      <c r="S1407" s="232"/>
      <c r="T1407" s="270"/>
    </row>
    <row r="1408" spans="14:20" x14ac:dyDescent="0.25">
      <c r="N1408" s="362"/>
      <c r="R1408" s="210"/>
      <c r="S1408" s="232"/>
      <c r="T1408" s="270"/>
    </row>
    <row r="1409" spans="14:20" x14ac:dyDescent="0.25">
      <c r="N1409" s="362"/>
      <c r="R1409" s="210"/>
      <c r="S1409" s="232"/>
      <c r="T1409" s="270"/>
    </row>
    <row r="1410" spans="14:20" x14ac:dyDescent="0.25">
      <c r="N1410" s="362"/>
      <c r="R1410" s="210"/>
      <c r="S1410" s="232"/>
      <c r="T1410" s="270"/>
    </row>
    <row r="1411" spans="14:20" x14ac:dyDescent="0.25">
      <c r="N1411" s="362"/>
      <c r="R1411" s="210"/>
      <c r="S1411" s="232"/>
      <c r="T1411" s="270"/>
    </row>
    <row r="1412" spans="14:20" x14ac:dyDescent="0.25">
      <c r="N1412" s="362"/>
      <c r="R1412" s="210"/>
      <c r="S1412" s="232"/>
      <c r="T1412" s="270"/>
    </row>
    <row r="1413" spans="14:20" x14ac:dyDescent="0.25">
      <c r="N1413" s="362"/>
      <c r="R1413" s="210"/>
      <c r="S1413" s="232"/>
      <c r="T1413" s="270"/>
    </row>
    <row r="1414" spans="14:20" x14ac:dyDescent="0.25">
      <c r="N1414" s="362"/>
      <c r="R1414" s="210"/>
      <c r="S1414" s="232"/>
      <c r="T1414" s="270"/>
    </row>
    <row r="1415" spans="14:20" x14ac:dyDescent="0.25">
      <c r="N1415" s="362"/>
      <c r="R1415" s="210"/>
      <c r="S1415" s="232"/>
      <c r="T1415" s="270"/>
    </row>
    <row r="1416" spans="14:20" x14ac:dyDescent="0.25">
      <c r="N1416" s="362"/>
      <c r="R1416" s="210"/>
      <c r="S1416" s="232"/>
      <c r="T1416" s="270"/>
    </row>
    <row r="1417" spans="14:20" x14ac:dyDescent="0.25">
      <c r="N1417" s="362"/>
      <c r="R1417" s="210"/>
      <c r="S1417" s="232"/>
      <c r="T1417" s="270"/>
    </row>
    <row r="1418" spans="14:20" x14ac:dyDescent="0.25">
      <c r="N1418" s="362"/>
      <c r="R1418" s="210"/>
      <c r="S1418" s="232"/>
      <c r="T1418" s="270"/>
    </row>
    <row r="1419" spans="14:20" x14ac:dyDescent="0.25">
      <c r="N1419" s="362"/>
      <c r="R1419" s="210"/>
      <c r="S1419" s="232"/>
      <c r="T1419" s="270"/>
    </row>
    <row r="1420" spans="14:20" x14ac:dyDescent="0.25">
      <c r="N1420" s="362"/>
      <c r="R1420" s="210"/>
      <c r="S1420" s="232"/>
      <c r="T1420" s="270"/>
    </row>
    <row r="1421" spans="14:20" x14ac:dyDescent="0.25">
      <c r="N1421" s="362"/>
      <c r="R1421" s="210"/>
      <c r="S1421" s="232"/>
      <c r="T1421" s="270"/>
    </row>
    <row r="1422" spans="14:20" x14ac:dyDescent="0.25">
      <c r="N1422" s="362"/>
      <c r="R1422" s="210"/>
      <c r="S1422" s="232"/>
      <c r="T1422" s="270"/>
    </row>
    <row r="1423" spans="14:20" x14ac:dyDescent="0.25">
      <c r="N1423" s="362"/>
      <c r="R1423" s="210"/>
      <c r="S1423" s="232"/>
      <c r="T1423" s="270"/>
    </row>
    <row r="1424" spans="14:20" x14ac:dyDescent="0.25">
      <c r="N1424" s="362"/>
      <c r="R1424" s="210"/>
      <c r="S1424" s="232"/>
      <c r="T1424" s="270"/>
    </row>
    <row r="1425" spans="14:20" x14ac:dyDescent="0.25">
      <c r="N1425" s="362"/>
      <c r="R1425" s="210"/>
      <c r="S1425" s="232"/>
      <c r="T1425" s="270"/>
    </row>
    <row r="1426" spans="14:20" x14ac:dyDescent="0.25">
      <c r="N1426" s="362"/>
      <c r="R1426" s="210"/>
      <c r="S1426" s="232"/>
      <c r="T1426" s="270"/>
    </row>
    <row r="1427" spans="14:20" x14ac:dyDescent="0.25">
      <c r="N1427" s="362"/>
      <c r="R1427" s="210"/>
      <c r="S1427" s="232"/>
      <c r="T1427" s="270"/>
    </row>
    <row r="1428" spans="14:20" x14ac:dyDescent="0.25">
      <c r="N1428" s="362"/>
      <c r="R1428" s="210"/>
      <c r="S1428" s="232"/>
      <c r="T1428" s="270"/>
    </row>
    <row r="1429" spans="14:20" x14ac:dyDescent="0.25">
      <c r="N1429" s="362"/>
      <c r="R1429" s="210"/>
      <c r="S1429" s="232"/>
      <c r="T1429" s="270"/>
    </row>
    <row r="1430" spans="14:20" x14ac:dyDescent="0.25">
      <c r="N1430" s="362"/>
      <c r="R1430" s="210"/>
      <c r="S1430" s="232"/>
      <c r="T1430" s="270"/>
    </row>
    <row r="1431" spans="14:20" x14ac:dyDescent="0.25">
      <c r="N1431" s="362"/>
      <c r="R1431" s="210"/>
      <c r="S1431" s="232"/>
      <c r="T1431" s="270"/>
    </row>
    <row r="1432" spans="14:20" x14ac:dyDescent="0.25">
      <c r="N1432" s="362"/>
      <c r="R1432" s="210"/>
      <c r="S1432" s="232"/>
      <c r="T1432" s="270"/>
    </row>
    <row r="1433" spans="14:20" x14ac:dyDescent="0.25">
      <c r="N1433" s="362"/>
      <c r="R1433" s="210"/>
      <c r="S1433" s="232"/>
      <c r="T1433" s="270"/>
    </row>
    <row r="1434" spans="14:20" x14ac:dyDescent="0.25">
      <c r="N1434" s="362"/>
      <c r="R1434" s="210"/>
      <c r="S1434" s="232"/>
      <c r="T1434" s="270"/>
    </row>
    <row r="1435" spans="14:20" x14ac:dyDescent="0.25">
      <c r="N1435" s="362"/>
      <c r="R1435" s="210"/>
      <c r="S1435" s="232"/>
      <c r="T1435" s="270"/>
    </row>
    <row r="1436" spans="14:20" x14ac:dyDescent="0.25">
      <c r="N1436" s="362"/>
      <c r="R1436" s="210"/>
      <c r="S1436" s="232"/>
      <c r="T1436" s="270"/>
    </row>
    <row r="1437" spans="14:20" x14ac:dyDescent="0.25">
      <c r="N1437" s="362"/>
      <c r="R1437" s="210"/>
      <c r="S1437" s="232"/>
      <c r="T1437" s="270"/>
    </row>
    <row r="1438" spans="14:20" x14ac:dyDescent="0.25">
      <c r="N1438" s="362"/>
      <c r="R1438" s="210"/>
      <c r="S1438" s="232"/>
      <c r="T1438" s="270"/>
    </row>
    <row r="1439" spans="14:20" x14ac:dyDescent="0.25">
      <c r="N1439" s="362"/>
      <c r="R1439" s="210"/>
      <c r="S1439" s="232"/>
      <c r="T1439" s="270"/>
    </row>
    <row r="1440" spans="14:20" x14ac:dyDescent="0.25">
      <c r="N1440" s="362"/>
      <c r="R1440" s="210"/>
      <c r="S1440" s="232"/>
      <c r="T1440" s="270"/>
    </row>
    <row r="1441" spans="14:20" x14ac:dyDescent="0.25">
      <c r="N1441" s="362"/>
      <c r="R1441" s="210"/>
      <c r="S1441" s="232"/>
      <c r="T1441" s="270"/>
    </row>
    <row r="1442" spans="14:20" x14ac:dyDescent="0.25">
      <c r="N1442" s="362"/>
      <c r="R1442" s="210"/>
      <c r="S1442" s="232"/>
      <c r="T1442" s="270"/>
    </row>
    <row r="1443" spans="14:20" x14ac:dyDescent="0.25">
      <c r="N1443" s="362"/>
      <c r="R1443" s="210"/>
      <c r="S1443" s="232"/>
      <c r="T1443" s="270"/>
    </row>
    <row r="1444" spans="14:20" x14ac:dyDescent="0.25">
      <c r="N1444" s="362"/>
      <c r="R1444" s="210"/>
      <c r="S1444" s="232"/>
      <c r="T1444" s="270"/>
    </row>
    <row r="1445" spans="14:20" x14ac:dyDescent="0.25">
      <c r="N1445" s="362"/>
      <c r="R1445" s="210"/>
      <c r="S1445" s="232"/>
      <c r="T1445" s="270"/>
    </row>
    <row r="1446" spans="14:20" x14ac:dyDescent="0.25">
      <c r="N1446" s="362"/>
      <c r="R1446" s="210"/>
      <c r="S1446" s="232"/>
      <c r="T1446" s="270"/>
    </row>
    <row r="1447" spans="14:20" x14ac:dyDescent="0.25">
      <c r="N1447" s="362"/>
      <c r="R1447" s="210"/>
      <c r="S1447" s="232"/>
      <c r="T1447" s="270"/>
    </row>
    <row r="1448" spans="14:20" x14ac:dyDescent="0.25">
      <c r="N1448" s="362"/>
      <c r="R1448" s="210"/>
      <c r="S1448" s="232"/>
      <c r="T1448" s="270"/>
    </row>
    <row r="1449" spans="14:20" x14ac:dyDescent="0.25">
      <c r="N1449" s="362"/>
      <c r="R1449" s="210"/>
      <c r="S1449" s="232"/>
      <c r="T1449" s="270"/>
    </row>
    <row r="1450" spans="14:20" x14ac:dyDescent="0.25">
      <c r="N1450" s="362"/>
      <c r="R1450" s="210"/>
      <c r="S1450" s="232"/>
      <c r="T1450" s="270"/>
    </row>
    <row r="1451" spans="14:20" x14ac:dyDescent="0.25">
      <c r="N1451" s="362"/>
      <c r="R1451" s="210"/>
      <c r="S1451" s="232"/>
      <c r="T1451" s="270"/>
    </row>
    <row r="1452" spans="14:20" x14ac:dyDescent="0.25">
      <c r="N1452" s="362"/>
      <c r="R1452" s="210"/>
      <c r="S1452" s="232"/>
      <c r="T1452" s="270"/>
    </row>
    <row r="1453" spans="14:20" x14ac:dyDescent="0.25">
      <c r="N1453" s="362"/>
      <c r="R1453" s="210"/>
      <c r="S1453" s="232"/>
      <c r="T1453" s="270"/>
    </row>
    <row r="1454" spans="14:20" x14ac:dyDescent="0.25">
      <c r="N1454" s="362"/>
      <c r="R1454" s="210"/>
      <c r="S1454" s="232"/>
      <c r="T1454" s="270"/>
    </row>
    <row r="1455" spans="14:20" x14ac:dyDescent="0.25">
      <c r="N1455" s="362"/>
      <c r="R1455" s="210"/>
      <c r="S1455" s="232"/>
      <c r="T1455" s="270"/>
    </row>
    <row r="1456" spans="14:20" x14ac:dyDescent="0.25">
      <c r="N1456" s="362"/>
      <c r="R1456" s="210"/>
      <c r="S1456" s="232"/>
      <c r="T1456" s="270"/>
    </row>
    <row r="1457" spans="14:20" x14ac:dyDescent="0.25">
      <c r="N1457" s="362"/>
      <c r="R1457" s="210"/>
      <c r="S1457" s="232"/>
      <c r="T1457" s="270"/>
    </row>
    <row r="1458" spans="14:20" x14ac:dyDescent="0.25">
      <c r="N1458" s="362"/>
      <c r="R1458" s="210"/>
      <c r="S1458" s="232"/>
      <c r="T1458" s="270"/>
    </row>
    <row r="1459" spans="14:20" x14ac:dyDescent="0.25">
      <c r="N1459" s="362"/>
      <c r="R1459" s="210"/>
      <c r="S1459" s="232"/>
      <c r="T1459" s="270"/>
    </row>
    <row r="1460" spans="14:20" x14ac:dyDescent="0.25">
      <c r="N1460" s="362"/>
      <c r="R1460" s="210"/>
      <c r="S1460" s="232"/>
      <c r="T1460" s="270"/>
    </row>
    <row r="1461" spans="14:20" x14ac:dyDescent="0.25">
      <c r="N1461" s="362"/>
      <c r="R1461" s="210"/>
      <c r="S1461" s="232"/>
      <c r="T1461" s="270"/>
    </row>
    <row r="1462" spans="14:20" x14ac:dyDescent="0.25">
      <c r="N1462" s="362"/>
      <c r="R1462" s="210"/>
      <c r="S1462" s="232"/>
      <c r="T1462" s="270"/>
    </row>
    <row r="1463" spans="14:20" x14ac:dyDescent="0.25">
      <c r="N1463" s="362"/>
      <c r="R1463" s="210"/>
      <c r="S1463" s="232"/>
      <c r="T1463" s="270"/>
    </row>
    <row r="1464" spans="14:20" x14ac:dyDescent="0.25">
      <c r="N1464" s="362"/>
      <c r="R1464" s="210"/>
      <c r="S1464" s="232"/>
      <c r="T1464" s="270"/>
    </row>
    <row r="1465" spans="14:20" x14ac:dyDescent="0.25">
      <c r="N1465" s="362"/>
      <c r="R1465" s="210"/>
      <c r="S1465" s="232"/>
      <c r="T1465" s="270"/>
    </row>
    <row r="1466" spans="14:20" x14ac:dyDescent="0.25">
      <c r="N1466" s="362"/>
      <c r="R1466" s="210"/>
      <c r="S1466" s="232"/>
      <c r="T1466" s="270"/>
    </row>
    <row r="1467" spans="14:20" x14ac:dyDescent="0.25">
      <c r="N1467" s="362"/>
      <c r="R1467" s="210"/>
      <c r="S1467" s="232"/>
      <c r="T1467" s="270"/>
    </row>
    <row r="1468" spans="14:20" x14ac:dyDescent="0.25">
      <c r="N1468" s="362"/>
      <c r="R1468" s="210"/>
      <c r="S1468" s="232"/>
      <c r="T1468" s="270"/>
    </row>
    <row r="1469" spans="14:20" x14ac:dyDescent="0.25">
      <c r="N1469" s="362"/>
      <c r="R1469" s="210"/>
      <c r="S1469" s="232"/>
      <c r="T1469" s="270"/>
    </row>
    <row r="1470" spans="14:20" x14ac:dyDescent="0.25">
      <c r="N1470" s="362"/>
      <c r="R1470" s="210"/>
      <c r="S1470" s="232"/>
      <c r="T1470" s="270"/>
    </row>
    <row r="1471" spans="14:20" x14ac:dyDescent="0.25">
      <c r="N1471" s="362"/>
      <c r="R1471" s="210"/>
      <c r="S1471" s="232"/>
      <c r="T1471" s="270"/>
    </row>
    <row r="1472" spans="14:20" x14ac:dyDescent="0.25">
      <c r="N1472" s="362"/>
      <c r="R1472" s="210"/>
      <c r="S1472" s="232"/>
      <c r="T1472" s="270"/>
    </row>
    <row r="1473" spans="14:20" x14ac:dyDescent="0.25">
      <c r="N1473" s="362"/>
      <c r="R1473" s="210"/>
      <c r="S1473" s="232"/>
      <c r="T1473" s="270"/>
    </row>
    <row r="1474" spans="14:20" x14ac:dyDescent="0.25">
      <c r="N1474" s="362"/>
      <c r="R1474" s="210"/>
      <c r="S1474" s="232"/>
      <c r="T1474" s="270"/>
    </row>
    <row r="1475" spans="14:20" x14ac:dyDescent="0.25">
      <c r="N1475" s="362"/>
      <c r="R1475" s="210"/>
      <c r="S1475" s="232"/>
      <c r="T1475" s="270"/>
    </row>
    <row r="1476" spans="14:20" x14ac:dyDescent="0.25">
      <c r="N1476" s="362"/>
      <c r="R1476" s="210"/>
      <c r="S1476" s="232"/>
      <c r="T1476" s="270"/>
    </row>
    <row r="1477" spans="14:20" x14ac:dyDescent="0.25">
      <c r="N1477" s="362"/>
      <c r="R1477" s="210"/>
      <c r="S1477" s="232"/>
      <c r="T1477" s="270"/>
    </row>
    <row r="1478" spans="14:20" x14ac:dyDescent="0.25">
      <c r="N1478" s="362"/>
      <c r="R1478" s="210"/>
      <c r="S1478" s="232"/>
      <c r="T1478" s="270"/>
    </row>
    <row r="1479" spans="14:20" x14ac:dyDescent="0.25">
      <c r="N1479" s="362"/>
      <c r="R1479" s="210"/>
      <c r="S1479" s="232"/>
      <c r="T1479" s="270"/>
    </row>
    <row r="1480" spans="14:20" x14ac:dyDescent="0.25">
      <c r="N1480" s="362"/>
      <c r="R1480" s="210"/>
      <c r="S1480" s="232"/>
      <c r="T1480" s="270"/>
    </row>
    <row r="1481" spans="14:20" x14ac:dyDescent="0.25">
      <c r="N1481" s="362"/>
      <c r="R1481" s="210"/>
      <c r="S1481" s="232"/>
      <c r="T1481" s="270"/>
    </row>
    <row r="1482" spans="14:20" x14ac:dyDescent="0.25">
      <c r="N1482" s="362"/>
      <c r="R1482" s="210"/>
      <c r="S1482" s="232"/>
      <c r="T1482" s="270"/>
    </row>
    <row r="1483" spans="14:20" x14ac:dyDescent="0.25">
      <c r="N1483" s="362"/>
      <c r="R1483" s="210"/>
      <c r="S1483" s="232"/>
      <c r="T1483" s="270"/>
    </row>
    <row r="1484" spans="14:20" x14ac:dyDescent="0.25">
      <c r="N1484" s="362"/>
      <c r="R1484" s="210"/>
      <c r="S1484" s="232"/>
      <c r="T1484" s="270"/>
    </row>
    <row r="1485" spans="14:20" x14ac:dyDescent="0.25">
      <c r="N1485" s="362"/>
      <c r="R1485" s="210"/>
      <c r="S1485" s="232"/>
      <c r="T1485" s="270"/>
    </row>
    <row r="1486" spans="14:20" x14ac:dyDescent="0.25">
      <c r="N1486" s="362"/>
      <c r="R1486" s="210"/>
      <c r="S1486" s="232"/>
      <c r="T1486" s="270"/>
    </row>
    <row r="1487" spans="14:20" x14ac:dyDescent="0.25">
      <c r="N1487" s="362"/>
      <c r="R1487" s="210"/>
      <c r="S1487" s="232"/>
      <c r="T1487" s="270"/>
    </row>
    <row r="1488" spans="14:20" x14ac:dyDescent="0.25">
      <c r="N1488" s="362"/>
      <c r="R1488" s="210"/>
      <c r="S1488" s="232"/>
      <c r="T1488" s="270"/>
    </row>
    <row r="1489" spans="14:20" x14ac:dyDescent="0.25">
      <c r="N1489" s="362"/>
      <c r="R1489" s="210"/>
      <c r="S1489" s="232"/>
      <c r="T1489" s="270"/>
    </row>
    <row r="1490" spans="14:20" x14ac:dyDescent="0.25">
      <c r="N1490" s="362"/>
      <c r="R1490" s="210"/>
      <c r="S1490" s="232"/>
      <c r="T1490" s="270"/>
    </row>
    <row r="1491" spans="14:20" x14ac:dyDescent="0.25">
      <c r="N1491" s="362"/>
      <c r="R1491" s="210"/>
      <c r="S1491" s="232"/>
      <c r="T1491" s="270"/>
    </row>
    <row r="1492" spans="14:20" x14ac:dyDescent="0.25">
      <c r="N1492" s="362"/>
      <c r="R1492" s="210"/>
      <c r="S1492" s="232"/>
      <c r="T1492" s="270"/>
    </row>
    <row r="1493" spans="14:20" x14ac:dyDescent="0.25">
      <c r="N1493" s="362"/>
      <c r="R1493" s="210"/>
      <c r="S1493" s="232"/>
      <c r="T1493" s="270"/>
    </row>
    <row r="1494" spans="14:20" x14ac:dyDescent="0.25">
      <c r="N1494" s="362"/>
      <c r="R1494" s="210"/>
      <c r="S1494" s="232"/>
      <c r="T1494" s="270"/>
    </row>
    <row r="1495" spans="14:20" x14ac:dyDescent="0.25">
      <c r="N1495" s="362"/>
      <c r="R1495" s="210"/>
      <c r="S1495" s="232"/>
      <c r="T1495" s="270"/>
    </row>
    <row r="1496" spans="14:20" x14ac:dyDescent="0.25">
      <c r="N1496" s="362"/>
      <c r="R1496" s="210"/>
      <c r="S1496" s="232"/>
      <c r="T1496" s="270"/>
    </row>
    <row r="1497" spans="14:20" x14ac:dyDescent="0.25">
      <c r="N1497" s="362"/>
      <c r="R1497" s="210"/>
      <c r="S1497" s="232"/>
      <c r="T1497" s="270"/>
    </row>
    <row r="1498" spans="14:20" x14ac:dyDescent="0.25">
      <c r="N1498" s="362"/>
      <c r="R1498" s="210"/>
      <c r="S1498" s="232"/>
      <c r="T1498" s="270"/>
    </row>
    <row r="1499" spans="14:20" x14ac:dyDescent="0.25">
      <c r="N1499" s="362"/>
      <c r="R1499" s="210"/>
      <c r="S1499" s="232"/>
      <c r="T1499" s="270"/>
    </row>
    <row r="1500" spans="14:20" x14ac:dyDescent="0.25">
      <c r="N1500" s="362"/>
      <c r="R1500" s="210"/>
      <c r="S1500" s="232"/>
      <c r="T1500" s="270"/>
    </row>
    <row r="1501" spans="14:20" x14ac:dyDescent="0.25">
      <c r="N1501" s="362"/>
      <c r="R1501" s="210"/>
      <c r="S1501" s="232"/>
      <c r="T1501" s="270"/>
    </row>
    <row r="1502" spans="14:20" x14ac:dyDescent="0.25">
      <c r="N1502" s="362"/>
      <c r="R1502" s="210"/>
      <c r="S1502" s="232"/>
      <c r="T1502" s="270"/>
    </row>
    <row r="1503" spans="14:20" x14ac:dyDescent="0.25">
      <c r="N1503" s="362"/>
      <c r="R1503" s="210"/>
      <c r="S1503" s="232"/>
      <c r="T1503" s="270"/>
    </row>
    <row r="1504" spans="14:20" x14ac:dyDescent="0.25">
      <c r="N1504" s="362"/>
      <c r="R1504" s="210"/>
      <c r="S1504" s="232"/>
      <c r="T1504" s="270"/>
    </row>
    <row r="1505" spans="14:20" x14ac:dyDescent="0.25">
      <c r="N1505" s="362"/>
      <c r="R1505" s="210"/>
      <c r="S1505" s="232"/>
      <c r="T1505" s="270"/>
    </row>
    <row r="1506" spans="14:20" x14ac:dyDescent="0.25">
      <c r="N1506" s="362"/>
      <c r="R1506" s="210"/>
      <c r="S1506" s="232"/>
      <c r="T1506" s="270"/>
    </row>
    <row r="1507" spans="14:20" x14ac:dyDescent="0.25">
      <c r="N1507" s="362"/>
      <c r="R1507" s="210"/>
      <c r="S1507" s="232"/>
      <c r="T1507" s="270"/>
    </row>
    <row r="1508" spans="14:20" x14ac:dyDescent="0.25">
      <c r="N1508" s="362"/>
      <c r="R1508" s="210"/>
      <c r="S1508" s="232"/>
      <c r="T1508" s="270"/>
    </row>
    <row r="1509" spans="14:20" x14ac:dyDescent="0.25">
      <c r="N1509" s="362"/>
      <c r="R1509" s="210"/>
      <c r="S1509" s="232"/>
      <c r="T1509" s="270"/>
    </row>
    <row r="1510" spans="14:20" x14ac:dyDescent="0.25">
      <c r="N1510" s="362"/>
      <c r="R1510" s="210"/>
      <c r="S1510" s="232"/>
      <c r="T1510" s="270"/>
    </row>
    <row r="1511" spans="14:20" x14ac:dyDescent="0.25">
      <c r="N1511" s="362"/>
      <c r="R1511" s="210"/>
      <c r="S1511" s="232"/>
      <c r="T1511" s="270"/>
    </row>
    <row r="1512" spans="14:20" x14ac:dyDescent="0.25">
      <c r="N1512" s="362"/>
      <c r="R1512" s="210"/>
      <c r="S1512" s="232"/>
      <c r="T1512" s="270"/>
    </row>
    <row r="1513" spans="14:20" x14ac:dyDescent="0.25">
      <c r="N1513" s="362"/>
      <c r="R1513" s="210"/>
      <c r="S1513" s="232"/>
      <c r="T1513" s="270"/>
    </row>
    <row r="1514" spans="14:20" x14ac:dyDescent="0.25">
      <c r="N1514" s="362"/>
      <c r="R1514" s="210"/>
      <c r="S1514" s="232"/>
      <c r="T1514" s="270"/>
    </row>
    <row r="1515" spans="14:20" x14ac:dyDescent="0.25">
      <c r="N1515" s="362"/>
      <c r="R1515" s="210"/>
      <c r="S1515" s="232"/>
      <c r="T1515" s="270"/>
    </row>
    <row r="1516" spans="14:20" x14ac:dyDescent="0.25">
      <c r="N1516" s="362"/>
      <c r="R1516" s="210"/>
      <c r="S1516" s="232"/>
      <c r="T1516" s="270"/>
    </row>
    <row r="1517" spans="14:20" x14ac:dyDescent="0.25">
      <c r="N1517" s="362"/>
      <c r="R1517" s="210"/>
      <c r="S1517" s="232"/>
      <c r="T1517" s="270"/>
    </row>
    <row r="1518" spans="14:20" x14ac:dyDescent="0.25">
      <c r="N1518" s="362"/>
      <c r="R1518" s="210"/>
      <c r="S1518" s="232"/>
      <c r="T1518" s="270"/>
    </row>
    <row r="1519" spans="14:20" x14ac:dyDescent="0.25">
      <c r="N1519" s="362"/>
      <c r="R1519" s="210"/>
      <c r="S1519" s="232"/>
      <c r="T1519" s="270"/>
    </row>
    <row r="1520" spans="14:20" x14ac:dyDescent="0.25">
      <c r="N1520" s="362"/>
      <c r="R1520" s="210"/>
      <c r="S1520" s="232"/>
      <c r="T1520" s="270"/>
    </row>
    <row r="1521" spans="14:20" x14ac:dyDescent="0.25">
      <c r="N1521" s="362"/>
      <c r="R1521" s="210"/>
      <c r="S1521" s="232"/>
      <c r="T1521" s="270"/>
    </row>
    <row r="1522" spans="14:20" x14ac:dyDescent="0.25">
      <c r="N1522" s="362"/>
      <c r="R1522" s="210"/>
      <c r="S1522" s="232"/>
      <c r="T1522" s="270"/>
    </row>
    <row r="1523" spans="14:20" x14ac:dyDescent="0.25">
      <c r="N1523" s="362"/>
      <c r="R1523" s="210"/>
      <c r="S1523" s="232"/>
      <c r="T1523" s="270"/>
    </row>
    <row r="1524" spans="14:20" x14ac:dyDescent="0.25">
      <c r="N1524" s="362"/>
      <c r="R1524" s="210"/>
      <c r="S1524" s="232"/>
      <c r="T1524" s="270"/>
    </row>
    <row r="1525" spans="14:20" x14ac:dyDescent="0.25">
      <c r="N1525" s="362"/>
      <c r="R1525" s="210"/>
      <c r="S1525" s="232"/>
      <c r="T1525" s="270"/>
    </row>
    <row r="1526" spans="14:20" x14ac:dyDescent="0.25">
      <c r="N1526" s="362"/>
      <c r="R1526" s="210"/>
      <c r="S1526" s="232"/>
      <c r="T1526" s="270"/>
    </row>
    <row r="1527" spans="14:20" x14ac:dyDescent="0.25">
      <c r="N1527" s="362"/>
      <c r="R1527" s="210"/>
      <c r="S1527" s="232"/>
      <c r="T1527" s="270"/>
    </row>
    <row r="1528" spans="14:20" x14ac:dyDescent="0.25">
      <c r="N1528" s="362"/>
      <c r="R1528" s="210"/>
      <c r="S1528" s="232"/>
      <c r="T1528" s="270"/>
    </row>
    <row r="1529" spans="14:20" x14ac:dyDescent="0.25">
      <c r="N1529" s="362"/>
      <c r="R1529" s="210"/>
      <c r="S1529" s="232"/>
      <c r="T1529" s="270"/>
    </row>
    <row r="1530" spans="14:20" x14ac:dyDescent="0.25">
      <c r="N1530" s="362"/>
      <c r="R1530" s="210"/>
      <c r="S1530" s="232"/>
      <c r="T1530" s="270"/>
    </row>
    <row r="1531" spans="14:20" x14ac:dyDescent="0.25">
      <c r="N1531" s="362"/>
      <c r="R1531" s="210"/>
      <c r="S1531" s="232"/>
      <c r="T1531" s="270"/>
    </row>
    <row r="1532" spans="14:20" x14ac:dyDescent="0.25">
      <c r="N1532" s="362"/>
      <c r="R1532" s="210"/>
      <c r="S1532" s="232"/>
      <c r="T1532" s="270"/>
    </row>
    <row r="1533" spans="14:20" x14ac:dyDescent="0.25">
      <c r="N1533" s="362"/>
      <c r="R1533" s="210"/>
      <c r="S1533" s="232"/>
      <c r="T1533" s="270"/>
    </row>
    <row r="1534" spans="14:20" x14ac:dyDescent="0.25">
      <c r="N1534" s="362"/>
      <c r="R1534" s="210"/>
      <c r="S1534" s="232"/>
      <c r="T1534" s="270"/>
    </row>
    <row r="1535" spans="14:20" x14ac:dyDescent="0.25">
      <c r="N1535" s="362"/>
      <c r="R1535" s="210"/>
      <c r="S1535" s="232"/>
      <c r="T1535" s="270"/>
    </row>
    <row r="1536" spans="14:20" x14ac:dyDescent="0.25">
      <c r="N1536" s="362"/>
      <c r="R1536" s="210"/>
      <c r="S1536" s="232"/>
      <c r="T1536" s="270"/>
    </row>
    <row r="1537" spans="14:20" x14ac:dyDescent="0.25">
      <c r="N1537" s="362"/>
      <c r="R1537" s="210"/>
      <c r="S1537" s="232"/>
      <c r="T1537" s="270"/>
    </row>
    <row r="1538" spans="14:20" x14ac:dyDescent="0.25">
      <c r="N1538" s="362"/>
      <c r="R1538" s="210"/>
      <c r="S1538" s="232"/>
      <c r="T1538" s="270"/>
    </row>
    <row r="1539" spans="14:20" x14ac:dyDescent="0.25">
      <c r="N1539" s="362"/>
      <c r="R1539" s="210"/>
      <c r="S1539" s="232"/>
      <c r="T1539" s="270"/>
    </row>
    <row r="1540" spans="14:20" x14ac:dyDescent="0.25">
      <c r="N1540" s="362"/>
      <c r="R1540" s="210"/>
      <c r="S1540" s="232"/>
      <c r="T1540" s="270"/>
    </row>
    <row r="1541" spans="14:20" x14ac:dyDescent="0.25">
      <c r="N1541" s="362"/>
      <c r="R1541" s="210"/>
      <c r="S1541" s="232"/>
      <c r="T1541" s="270"/>
    </row>
    <row r="1542" spans="14:20" x14ac:dyDescent="0.25">
      <c r="N1542" s="362"/>
      <c r="R1542" s="210"/>
      <c r="S1542" s="232"/>
      <c r="T1542" s="270"/>
    </row>
    <row r="1543" spans="14:20" x14ac:dyDescent="0.25">
      <c r="N1543" s="362"/>
      <c r="R1543" s="210"/>
      <c r="S1543" s="232"/>
      <c r="T1543" s="270"/>
    </row>
    <row r="1544" spans="14:20" x14ac:dyDescent="0.25">
      <c r="N1544" s="362"/>
      <c r="R1544" s="210"/>
      <c r="S1544" s="232"/>
      <c r="T1544" s="270"/>
    </row>
    <row r="1545" spans="14:20" x14ac:dyDescent="0.25">
      <c r="N1545" s="362"/>
      <c r="R1545" s="210"/>
      <c r="S1545" s="232"/>
      <c r="T1545" s="270"/>
    </row>
    <row r="1546" spans="14:20" x14ac:dyDescent="0.25">
      <c r="N1546" s="362"/>
      <c r="R1546" s="210"/>
      <c r="S1546" s="232"/>
      <c r="T1546" s="270"/>
    </row>
    <row r="1547" spans="14:20" x14ac:dyDescent="0.25">
      <c r="N1547" s="362"/>
      <c r="R1547" s="210"/>
      <c r="S1547" s="232"/>
      <c r="T1547" s="270"/>
    </row>
    <row r="1548" spans="14:20" x14ac:dyDescent="0.25">
      <c r="N1548" s="362"/>
      <c r="R1548" s="210"/>
      <c r="S1548" s="232"/>
      <c r="T1548" s="270"/>
    </row>
    <row r="1549" spans="14:20" x14ac:dyDescent="0.25">
      <c r="N1549" s="362"/>
      <c r="R1549" s="210"/>
      <c r="S1549" s="232"/>
      <c r="T1549" s="270"/>
    </row>
    <row r="1550" spans="14:20" x14ac:dyDescent="0.25">
      <c r="N1550" s="362"/>
      <c r="R1550" s="210"/>
      <c r="S1550" s="232"/>
      <c r="T1550" s="270"/>
    </row>
    <row r="1551" spans="14:20" x14ac:dyDescent="0.25">
      <c r="N1551" s="362"/>
      <c r="R1551" s="210"/>
      <c r="S1551" s="232"/>
      <c r="T1551" s="270"/>
    </row>
    <row r="1552" spans="14:20" x14ac:dyDescent="0.25">
      <c r="N1552" s="362"/>
      <c r="R1552" s="210"/>
      <c r="S1552" s="232"/>
      <c r="T1552" s="270"/>
    </row>
    <row r="1553" spans="14:20" x14ac:dyDescent="0.25">
      <c r="N1553" s="362"/>
      <c r="R1553" s="210"/>
      <c r="S1553" s="232"/>
      <c r="T1553" s="270"/>
    </row>
    <row r="1554" spans="14:20" x14ac:dyDescent="0.25">
      <c r="N1554" s="362"/>
      <c r="R1554" s="210"/>
      <c r="S1554" s="232"/>
      <c r="T1554" s="270"/>
    </row>
    <row r="1555" spans="14:20" x14ac:dyDescent="0.25">
      <c r="N1555" s="362"/>
      <c r="R1555" s="210"/>
      <c r="S1555" s="232"/>
      <c r="T1555" s="270"/>
    </row>
    <row r="1556" spans="14:20" x14ac:dyDescent="0.25">
      <c r="N1556" s="362"/>
      <c r="R1556" s="210"/>
      <c r="S1556" s="232"/>
      <c r="T1556" s="270"/>
    </row>
    <row r="1557" spans="14:20" x14ac:dyDescent="0.25">
      <c r="N1557" s="362"/>
      <c r="R1557" s="210"/>
      <c r="S1557" s="232"/>
      <c r="T1557" s="270"/>
    </row>
    <row r="1558" spans="14:20" x14ac:dyDescent="0.25">
      <c r="N1558" s="362"/>
      <c r="R1558" s="210"/>
      <c r="S1558" s="232"/>
      <c r="T1558" s="270"/>
    </row>
    <row r="1559" spans="14:20" x14ac:dyDescent="0.25">
      <c r="N1559" s="362"/>
      <c r="R1559" s="210"/>
      <c r="S1559" s="232"/>
      <c r="T1559" s="270"/>
    </row>
    <row r="1560" spans="14:20" x14ac:dyDescent="0.25">
      <c r="N1560" s="362"/>
      <c r="R1560" s="210"/>
      <c r="S1560" s="232"/>
      <c r="T1560" s="270"/>
    </row>
    <row r="1561" spans="14:20" x14ac:dyDescent="0.25">
      <c r="N1561" s="362"/>
      <c r="R1561" s="210"/>
      <c r="S1561" s="232"/>
      <c r="T1561" s="270"/>
    </row>
    <row r="1562" spans="14:20" x14ac:dyDescent="0.25">
      <c r="N1562" s="362"/>
      <c r="R1562" s="210"/>
      <c r="S1562" s="232"/>
      <c r="T1562" s="270"/>
    </row>
    <row r="1563" spans="14:20" x14ac:dyDescent="0.25">
      <c r="N1563" s="362"/>
      <c r="R1563" s="210"/>
      <c r="S1563" s="232"/>
      <c r="T1563" s="270"/>
    </row>
    <row r="1564" spans="14:20" x14ac:dyDescent="0.25">
      <c r="N1564" s="362"/>
      <c r="R1564" s="210"/>
      <c r="S1564" s="232"/>
      <c r="T1564" s="270"/>
    </row>
    <row r="1565" spans="14:20" x14ac:dyDescent="0.25">
      <c r="N1565" s="362"/>
      <c r="R1565" s="210"/>
      <c r="S1565" s="232"/>
      <c r="T1565" s="270"/>
    </row>
    <row r="1566" spans="14:20" x14ac:dyDescent="0.25">
      <c r="N1566" s="362"/>
      <c r="R1566" s="210"/>
      <c r="S1566" s="232"/>
      <c r="T1566" s="270"/>
    </row>
    <row r="1567" spans="14:20" x14ac:dyDescent="0.25">
      <c r="N1567" s="362"/>
      <c r="R1567" s="210"/>
      <c r="S1567" s="232"/>
      <c r="T1567" s="270"/>
    </row>
    <row r="1568" spans="14:20" x14ac:dyDescent="0.25">
      <c r="N1568" s="362"/>
      <c r="R1568" s="210"/>
      <c r="S1568" s="232"/>
      <c r="T1568" s="270"/>
    </row>
    <row r="1569" spans="14:20" x14ac:dyDescent="0.25">
      <c r="N1569" s="362"/>
      <c r="R1569" s="210"/>
      <c r="S1569" s="232"/>
      <c r="T1569" s="270"/>
    </row>
    <row r="1570" spans="14:20" x14ac:dyDescent="0.25">
      <c r="N1570" s="362"/>
      <c r="R1570" s="210"/>
      <c r="S1570" s="232"/>
      <c r="T1570" s="270"/>
    </row>
    <row r="1571" spans="14:20" x14ac:dyDescent="0.25">
      <c r="N1571" s="362"/>
      <c r="R1571" s="210"/>
      <c r="S1571" s="232"/>
      <c r="T1571" s="270"/>
    </row>
    <row r="1572" spans="14:20" x14ac:dyDescent="0.25">
      <c r="N1572" s="362"/>
      <c r="R1572" s="210"/>
      <c r="S1572" s="232"/>
      <c r="T1572" s="270"/>
    </row>
    <row r="1573" spans="14:20" x14ac:dyDescent="0.25">
      <c r="N1573" s="362"/>
      <c r="R1573" s="210"/>
      <c r="S1573" s="232"/>
      <c r="T1573" s="270"/>
    </row>
    <row r="1574" spans="14:20" x14ac:dyDescent="0.25">
      <c r="N1574" s="362"/>
      <c r="R1574" s="210"/>
      <c r="S1574" s="232"/>
      <c r="T1574" s="270"/>
    </row>
    <row r="1575" spans="14:20" x14ac:dyDescent="0.25">
      <c r="N1575" s="362"/>
      <c r="R1575" s="210"/>
      <c r="S1575" s="232"/>
      <c r="T1575" s="270"/>
    </row>
    <row r="1576" spans="14:20" x14ac:dyDescent="0.25">
      <c r="N1576" s="362"/>
      <c r="R1576" s="210"/>
      <c r="S1576" s="232"/>
      <c r="T1576" s="270"/>
    </row>
    <row r="1577" spans="14:20" x14ac:dyDescent="0.25">
      <c r="N1577" s="362"/>
      <c r="R1577" s="210"/>
      <c r="S1577" s="232"/>
      <c r="T1577" s="270"/>
    </row>
    <row r="1578" spans="14:20" x14ac:dyDescent="0.25">
      <c r="N1578" s="362"/>
      <c r="R1578" s="210"/>
      <c r="S1578" s="232"/>
      <c r="T1578" s="270"/>
    </row>
    <row r="1579" spans="14:20" x14ac:dyDescent="0.25">
      <c r="N1579" s="362"/>
      <c r="R1579" s="210"/>
      <c r="S1579" s="232"/>
      <c r="T1579" s="270"/>
    </row>
    <row r="1580" spans="14:20" x14ac:dyDescent="0.25">
      <c r="N1580" s="362"/>
      <c r="R1580" s="210"/>
      <c r="S1580" s="232"/>
      <c r="T1580" s="270"/>
    </row>
    <row r="1581" spans="14:20" x14ac:dyDescent="0.25">
      <c r="N1581" s="362"/>
      <c r="R1581" s="210"/>
      <c r="S1581" s="232"/>
      <c r="T1581" s="270"/>
    </row>
    <row r="1582" spans="14:20" x14ac:dyDescent="0.25">
      <c r="N1582" s="362"/>
      <c r="R1582" s="210"/>
      <c r="S1582" s="232"/>
      <c r="T1582" s="270"/>
    </row>
    <row r="1583" spans="14:20" x14ac:dyDescent="0.25">
      <c r="N1583" s="362"/>
      <c r="R1583" s="210"/>
      <c r="S1583" s="232"/>
      <c r="T1583" s="270"/>
    </row>
    <row r="1584" spans="14:20" x14ac:dyDescent="0.25">
      <c r="N1584" s="362"/>
      <c r="R1584" s="210"/>
      <c r="S1584" s="232"/>
      <c r="T1584" s="270"/>
    </row>
    <row r="1585" spans="14:20" x14ac:dyDescent="0.25">
      <c r="N1585" s="362"/>
      <c r="R1585" s="210"/>
      <c r="S1585" s="232"/>
      <c r="T1585" s="270"/>
    </row>
    <row r="1586" spans="14:20" x14ac:dyDescent="0.25">
      <c r="N1586" s="362"/>
      <c r="R1586" s="210"/>
      <c r="S1586" s="232"/>
      <c r="T1586" s="270"/>
    </row>
    <row r="1587" spans="14:20" x14ac:dyDescent="0.25">
      <c r="N1587" s="362"/>
      <c r="R1587" s="210"/>
      <c r="S1587" s="232"/>
      <c r="T1587" s="270"/>
    </row>
    <row r="1588" spans="14:20" x14ac:dyDescent="0.25">
      <c r="N1588" s="362"/>
      <c r="R1588" s="210"/>
      <c r="S1588" s="232"/>
      <c r="T1588" s="270"/>
    </row>
    <row r="1589" spans="14:20" x14ac:dyDescent="0.25">
      <c r="N1589" s="362"/>
      <c r="R1589" s="210"/>
      <c r="S1589" s="232"/>
      <c r="T1589" s="270"/>
    </row>
    <row r="1590" spans="14:20" x14ac:dyDescent="0.25">
      <c r="N1590" s="362"/>
      <c r="R1590" s="210"/>
      <c r="S1590" s="232"/>
      <c r="T1590" s="270"/>
    </row>
    <row r="1591" spans="14:20" x14ac:dyDescent="0.25">
      <c r="N1591" s="362"/>
      <c r="R1591" s="210"/>
      <c r="S1591" s="232"/>
      <c r="T1591" s="270"/>
    </row>
    <row r="1592" spans="14:20" x14ac:dyDescent="0.25">
      <c r="N1592" s="362"/>
      <c r="R1592" s="210"/>
      <c r="S1592" s="232"/>
      <c r="T1592" s="270"/>
    </row>
    <row r="1593" spans="14:20" x14ac:dyDescent="0.25">
      <c r="N1593" s="362"/>
      <c r="R1593" s="210"/>
      <c r="S1593" s="232"/>
      <c r="T1593" s="270"/>
    </row>
    <row r="1594" spans="14:20" x14ac:dyDescent="0.25">
      <c r="N1594" s="362"/>
      <c r="R1594" s="210"/>
      <c r="S1594" s="232"/>
      <c r="T1594" s="270"/>
    </row>
    <row r="1595" spans="14:20" x14ac:dyDescent="0.25">
      <c r="N1595" s="362"/>
      <c r="R1595" s="210"/>
      <c r="S1595" s="232"/>
      <c r="T1595" s="270"/>
    </row>
    <row r="1596" spans="14:20" x14ac:dyDescent="0.25">
      <c r="N1596" s="362"/>
      <c r="R1596" s="210"/>
      <c r="S1596" s="232"/>
      <c r="T1596" s="270"/>
    </row>
    <row r="1597" spans="14:20" x14ac:dyDescent="0.25">
      <c r="N1597" s="362"/>
      <c r="R1597" s="210"/>
      <c r="S1597" s="232"/>
      <c r="T1597" s="270"/>
    </row>
    <row r="1598" spans="14:20" x14ac:dyDescent="0.25">
      <c r="N1598" s="362"/>
      <c r="R1598" s="210"/>
      <c r="S1598" s="232"/>
      <c r="T1598" s="270"/>
    </row>
    <row r="1599" spans="14:20" x14ac:dyDescent="0.25">
      <c r="N1599" s="362"/>
      <c r="R1599" s="210"/>
      <c r="S1599" s="232"/>
      <c r="T1599" s="270"/>
    </row>
    <row r="1600" spans="14:20" x14ac:dyDescent="0.25">
      <c r="N1600" s="362"/>
      <c r="R1600" s="210"/>
      <c r="S1600" s="232"/>
      <c r="T1600" s="270"/>
    </row>
    <row r="1601" spans="14:20" x14ac:dyDescent="0.25">
      <c r="N1601" s="362"/>
      <c r="R1601" s="210"/>
      <c r="S1601" s="232"/>
      <c r="T1601" s="270"/>
    </row>
    <row r="1602" spans="14:20" x14ac:dyDescent="0.25">
      <c r="N1602" s="362"/>
      <c r="R1602" s="210"/>
      <c r="S1602" s="232"/>
      <c r="T1602" s="270"/>
    </row>
    <row r="1603" spans="14:20" x14ac:dyDescent="0.25">
      <c r="N1603" s="362"/>
      <c r="R1603" s="210"/>
      <c r="S1603" s="232"/>
      <c r="T1603" s="270"/>
    </row>
    <row r="1604" spans="14:20" x14ac:dyDescent="0.25">
      <c r="N1604" s="362"/>
      <c r="R1604" s="210"/>
      <c r="S1604" s="232"/>
      <c r="T1604" s="270"/>
    </row>
    <row r="1605" spans="14:20" x14ac:dyDescent="0.25">
      <c r="N1605" s="362"/>
      <c r="R1605" s="210"/>
      <c r="S1605" s="232"/>
      <c r="T1605" s="270"/>
    </row>
    <row r="1606" spans="14:20" x14ac:dyDescent="0.25">
      <c r="N1606" s="362"/>
      <c r="R1606" s="210"/>
      <c r="S1606" s="232"/>
      <c r="T1606" s="270"/>
    </row>
    <row r="1607" spans="14:20" x14ac:dyDescent="0.25">
      <c r="N1607" s="362"/>
      <c r="R1607" s="210"/>
      <c r="S1607" s="232"/>
      <c r="T1607" s="270"/>
    </row>
    <row r="1608" spans="14:20" x14ac:dyDescent="0.25">
      <c r="N1608" s="362"/>
      <c r="R1608" s="210"/>
      <c r="S1608" s="232"/>
      <c r="T1608" s="270"/>
    </row>
    <row r="1609" spans="14:20" x14ac:dyDescent="0.25">
      <c r="N1609" s="362"/>
      <c r="R1609" s="210"/>
      <c r="S1609" s="232"/>
      <c r="T1609" s="270"/>
    </row>
    <row r="1610" spans="14:20" x14ac:dyDescent="0.25">
      <c r="N1610" s="362"/>
      <c r="R1610" s="210"/>
      <c r="S1610" s="232"/>
      <c r="T1610" s="270"/>
    </row>
    <row r="1611" spans="14:20" x14ac:dyDescent="0.25">
      <c r="N1611" s="362"/>
      <c r="R1611" s="210"/>
      <c r="S1611" s="232"/>
      <c r="T1611" s="270"/>
    </row>
    <row r="1612" spans="14:20" x14ac:dyDescent="0.25">
      <c r="N1612" s="362"/>
      <c r="R1612" s="210"/>
      <c r="S1612" s="232"/>
      <c r="T1612" s="270"/>
    </row>
    <row r="1613" spans="14:20" x14ac:dyDescent="0.25">
      <c r="N1613" s="362"/>
      <c r="R1613" s="210"/>
      <c r="S1613" s="232"/>
      <c r="T1613" s="270"/>
    </row>
    <row r="1614" spans="14:20" x14ac:dyDescent="0.25">
      <c r="N1614" s="362"/>
      <c r="R1614" s="210"/>
      <c r="S1614" s="232"/>
      <c r="T1614" s="270"/>
    </row>
    <row r="1615" spans="14:20" x14ac:dyDescent="0.25">
      <c r="N1615" s="362"/>
      <c r="R1615" s="210"/>
      <c r="S1615" s="232"/>
      <c r="T1615" s="270"/>
    </row>
    <row r="1616" spans="14:20" x14ac:dyDescent="0.25">
      <c r="N1616" s="362"/>
      <c r="R1616" s="210"/>
      <c r="S1616" s="232"/>
      <c r="T1616" s="270"/>
    </row>
    <row r="1617" spans="14:20" x14ac:dyDescent="0.25">
      <c r="N1617" s="362"/>
      <c r="R1617" s="210"/>
      <c r="S1617" s="232"/>
      <c r="T1617" s="270"/>
    </row>
    <row r="1618" spans="14:20" x14ac:dyDescent="0.25">
      <c r="N1618" s="362"/>
      <c r="R1618" s="210"/>
      <c r="S1618" s="232"/>
      <c r="T1618" s="270"/>
    </row>
    <row r="1619" spans="14:20" x14ac:dyDescent="0.25">
      <c r="N1619" s="362"/>
      <c r="R1619" s="210"/>
      <c r="S1619" s="232"/>
      <c r="T1619" s="270"/>
    </row>
    <row r="1620" spans="14:20" x14ac:dyDescent="0.25">
      <c r="N1620" s="362"/>
      <c r="R1620" s="210"/>
      <c r="S1620" s="232"/>
      <c r="T1620" s="270"/>
    </row>
    <row r="1621" spans="14:20" x14ac:dyDescent="0.25">
      <c r="N1621" s="362"/>
      <c r="R1621" s="210"/>
      <c r="S1621" s="232"/>
      <c r="T1621" s="270"/>
    </row>
    <row r="1622" spans="14:20" x14ac:dyDescent="0.25">
      <c r="N1622" s="362"/>
      <c r="R1622" s="210"/>
      <c r="S1622" s="232"/>
      <c r="T1622" s="270"/>
    </row>
    <row r="1623" spans="14:20" x14ac:dyDescent="0.25">
      <c r="N1623" s="362"/>
      <c r="R1623" s="210"/>
      <c r="S1623" s="232"/>
      <c r="T1623" s="270"/>
    </row>
    <row r="1624" spans="14:20" x14ac:dyDescent="0.25">
      <c r="N1624" s="362"/>
      <c r="R1624" s="210"/>
      <c r="S1624" s="232"/>
      <c r="T1624" s="270"/>
    </row>
    <row r="1625" spans="14:20" x14ac:dyDescent="0.25">
      <c r="N1625" s="362"/>
      <c r="R1625" s="210"/>
      <c r="S1625" s="232"/>
      <c r="T1625" s="270"/>
    </row>
    <row r="1626" spans="14:20" x14ac:dyDescent="0.25">
      <c r="N1626" s="362"/>
      <c r="R1626" s="210"/>
      <c r="S1626" s="232"/>
      <c r="T1626" s="270"/>
    </row>
    <row r="1627" spans="14:20" x14ac:dyDescent="0.25">
      <c r="N1627" s="362"/>
      <c r="R1627" s="210"/>
      <c r="S1627" s="232"/>
      <c r="T1627" s="270"/>
    </row>
    <row r="1628" spans="14:20" x14ac:dyDescent="0.25">
      <c r="N1628" s="362"/>
      <c r="R1628" s="210"/>
      <c r="S1628" s="232"/>
      <c r="T1628" s="270"/>
    </row>
    <row r="1629" spans="14:20" x14ac:dyDescent="0.25">
      <c r="N1629" s="362"/>
      <c r="R1629" s="210"/>
      <c r="S1629" s="232"/>
      <c r="T1629" s="270"/>
    </row>
    <row r="1630" spans="14:20" x14ac:dyDescent="0.25">
      <c r="N1630" s="362"/>
      <c r="R1630" s="210"/>
      <c r="S1630" s="232"/>
      <c r="T1630" s="270"/>
    </row>
    <row r="1631" spans="14:20" x14ac:dyDescent="0.25">
      <c r="N1631" s="362"/>
      <c r="R1631" s="210"/>
      <c r="S1631" s="232"/>
      <c r="T1631" s="270"/>
    </row>
    <row r="1632" spans="14:20" x14ac:dyDescent="0.25">
      <c r="N1632" s="362"/>
      <c r="R1632" s="210"/>
      <c r="S1632" s="232"/>
      <c r="T1632" s="270"/>
    </row>
    <row r="1633" spans="14:20" x14ac:dyDescent="0.25">
      <c r="N1633" s="362"/>
      <c r="R1633" s="210"/>
      <c r="S1633" s="232"/>
      <c r="T1633" s="270"/>
    </row>
    <row r="1634" spans="14:20" x14ac:dyDescent="0.25">
      <c r="N1634" s="362"/>
      <c r="R1634" s="210"/>
      <c r="S1634" s="232"/>
      <c r="T1634" s="270"/>
    </row>
    <row r="1635" spans="14:20" x14ac:dyDescent="0.25">
      <c r="N1635" s="362"/>
      <c r="R1635" s="210"/>
      <c r="S1635" s="232"/>
      <c r="T1635" s="270"/>
    </row>
    <row r="1636" spans="14:20" x14ac:dyDescent="0.25">
      <c r="N1636" s="362"/>
      <c r="R1636" s="210"/>
      <c r="S1636" s="232"/>
      <c r="T1636" s="270"/>
    </row>
    <row r="1637" spans="14:20" x14ac:dyDescent="0.25">
      <c r="N1637" s="362"/>
      <c r="R1637" s="210"/>
      <c r="S1637" s="232"/>
      <c r="T1637" s="270"/>
    </row>
    <row r="1638" spans="14:20" x14ac:dyDescent="0.25">
      <c r="N1638" s="362"/>
      <c r="R1638" s="210"/>
      <c r="S1638" s="232"/>
      <c r="T1638" s="270"/>
    </row>
    <row r="1639" spans="14:20" x14ac:dyDescent="0.25">
      <c r="N1639" s="362"/>
      <c r="R1639" s="210"/>
      <c r="S1639" s="232"/>
      <c r="T1639" s="270"/>
    </row>
    <row r="1640" spans="14:20" x14ac:dyDescent="0.25">
      <c r="N1640" s="362"/>
      <c r="R1640" s="210"/>
      <c r="S1640" s="232"/>
      <c r="T1640" s="270"/>
    </row>
    <row r="1641" spans="14:20" x14ac:dyDescent="0.25">
      <c r="N1641" s="362"/>
      <c r="R1641" s="210"/>
      <c r="S1641" s="232"/>
      <c r="T1641" s="270"/>
    </row>
    <row r="1642" spans="14:20" x14ac:dyDescent="0.25">
      <c r="N1642" s="362"/>
      <c r="R1642" s="210"/>
      <c r="S1642" s="232"/>
      <c r="T1642" s="270"/>
    </row>
    <row r="1643" spans="14:20" x14ac:dyDescent="0.25">
      <c r="N1643" s="362"/>
      <c r="R1643" s="210"/>
      <c r="S1643" s="232"/>
      <c r="T1643" s="270"/>
    </row>
    <row r="1644" spans="14:20" x14ac:dyDescent="0.25">
      <c r="N1644" s="362"/>
      <c r="R1644" s="210"/>
      <c r="S1644" s="232"/>
      <c r="T1644" s="270"/>
    </row>
    <row r="1645" spans="14:20" x14ac:dyDescent="0.25">
      <c r="N1645" s="362"/>
      <c r="R1645" s="210"/>
      <c r="S1645" s="232"/>
      <c r="T1645" s="270"/>
    </row>
    <row r="1646" spans="14:20" x14ac:dyDescent="0.25">
      <c r="N1646" s="362"/>
      <c r="R1646" s="210"/>
      <c r="S1646" s="232"/>
      <c r="T1646" s="270"/>
    </row>
    <row r="1647" spans="14:20" x14ac:dyDescent="0.25">
      <c r="N1647" s="362"/>
      <c r="R1647" s="210"/>
      <c r="S1647" s="232"/>
      <c r="T1647" s="270"/>
    </row>
    <row r="1648" spans="14:20" x14ac:dyDescent="0.25">
      <c r="N1648" s="362"/>
      <c r="R1648" s="210"/>
      <c r="S1648" s="232"/>
      <c r="T1648" s="270"/>
    </row>
    <row r="1649" spans="14:20" x14ac:dyDescent="0.25">
      <c r="N1649" s="362"/>
      <c r="R1649" s="210"/>
      <c r="S1649" s="232"/>
      <c r="T1649" s="270"/>
    </row>
    <row r="1650" spans="14:20" x14ac:dyDescent="0.25">
      <c r="N1650" s="362"/>
      <c r="R1650" s="210"/>
      <c r="S1650" s="232"/>
      <c r="T1650" s="270"/>
    </row>
    <row r="1651" spans="14:20" x14ac:dyDescent="0.25">
      <c r="N1651" s="362"/>
      <c r="R1651" s="210"/>
      <c r="S1651" s="232"/>
      <c r="T1651" s="270"/>
    </row>
    <row r="1652" spans="14:20" x14ac:dyDescent="0.25">
      <c r="N1652" s="362"/>
      <c r="R1652" s="210"/>
      <c r="S1652" s="232"/>
      <c r="T1652" s="270"/>
    </row>
    <row r="1653" spans="14:20" x14ac:dyDescent="0.25">
      <c r="N1653" s="362"/>
      <c r="R1653" s="210"/>
      <c r="S1653" s="232"/>
      <c r="T1653" s="270"/>
    </row>
    <row r="1654" spans="14:20" x14ac:dyDescent="0.25">
      <c r="N1654" s="362"/>
      <c r="R1654" s="210"/>
      <c r="S1654" s="232"/>
      <c r="T1654" s="270"/>
    </row>
    <row r="1655" spans="14:20" x14ac:dyDescent="0.25">
      <c r="N1655" s="362"/>
      <c r="R1655" s="210"/>
      <c r="S1655" s="232"/>
      <c r="T1655" s="270"/>
    </row>
    <row r="1656" spans="14:20" x14ac:dyDescent="0.25">
      <c r="N1656" s="362"/>
      <c r="R1656" s="210"/>
      <c r="S1656" s="232"/>
      <c r="T1656" s="270"/>
    </row>
    <row r="1657" spans="14:20" x14ac:dyDescent="0.25">
      <c r="N1657" s="362"/>
      <c r="R1657" s="210"/>
      <c r="S1657" s="232"/>
      <c r="T1657" s="270"/>
    </row>
    <row r="1658" spans="14:20" x14ac:dyDescent="0.25">
      <c r="N1658" s="362"/>
      <c r="R1658" s="210"/>
      <c r="S1658" s="232"/>
      <c r="T1658" s="270"/>
    </row>
    <row r="1659" spans="14:20" x14ac:dyDescent="0.25">
      <c r="N1659" s="362"/>
      <c r="R1659" s="210"/>
      <c r="S1659" s="232"/>
      <c r="T1659" s="270"/>
    </row>
    <row r="1660" spans="14:20" x14ac:dyDescent="0.25">
      <c r="N1660" s="362"/>
      <c r="R1660" s="210"/>
      <c r="S1660" s="232"/>
      <c r="T1660" s="270"/>
    </row>
    <row r="1661" spans="14:20" x14ac:dyDescent="0.25">
      <c r="N1661" s="362"/>
      <c r="R1661" s="210"/>
      <c r="S1661" s="232"/>
      <c r="T1661" s="270"/>
    </row>
    <row r="1662" spans="14:20" x14ac:dyDescent="0.25">
      <c r="N1662" s="362"/>
      <c r="R1662" s="210"/>
      <c r="S1662" s="232"/>
      <c r="T1662" s="270"/>
    </row>
    <row r="1663" spans="14:20" x14ac:dyDescent="0.25">
      <c r="N1663" s="362"/>
      <c r="R1663" s="210"/>
      <c r="S1663" s="232"/>
      <c r="T1663" s="270"/>
    </row>
    <row r="1664" spans="14:20" x14ac:dyDescent="0.25">
      <c r="N1664" s="362"/>
      <c r="R1664" s="210"/>
      <c r="S1664" s="232"/>
      <c r="T1664" s="270"/>
    </row>
    <row r="1665" spans="14:20" x14ac:dyDescent="0.25">
      <c r="N1665" s="362"/>
      <c r="R1665" s="210"/>
      <c r="S1665" s="232"/>
      <c r="T1665" s="270"/>
    </row>
    <row r="1666" spans="14:20" x14ac:dyDescent="0.25">
      <c r="N1666" s="362"/>
      <c r="R1666" s="210"/>
      <c r="S1666" s="232"/>
      <c r="T1666" s="270"/>
    </row>
    <row r="1667" spans="14:20" x14ac:dyDescent="0.25">
      <c r="N1667" s="362"/>
      <c r="R1667" s="210"/>
      <c r="S1667" s="232"/>
      <c r="T1667" s="270"/>
    </row>
    <row r="1668" spans="14:20" x14ac:dyDescent="0.25">
      <c r="N1668" s="362"/>
      <c r="R1668" s="210"/>
      <c r="S1668" s="232"/>
      <c r="T1668" s="270"/>
    </row>
    <row r="1669" spans="14:20" x14ac:dyDescent="0.25">
      <c r="N1669" s="362"/>
      <c r="R1669" s="210"/>
      <c r="S1669" s="232"/>
      <c r="T1669" s="270"/>
    </row>
    <row r="1670" spans="14:20" x14ac:dyDescent="0.25">
      <c r="N1670" s="362"/>
      <c r="R1670" s="210"/>
      <c r="S1670" s="232"/>
      <c r="T1670" s="270"/>
    </row>
    <row r="1671" spans="14:20" x14ac:dyDescent="0.25">
      <c r="N1671" s="362"/>
      <c r="R1671" s="210"/>
      <c r="S1671" s="232"/>
      <c r="T1671" s="270"/>
    </row>
    <row r="1672" spans="14:20" x14ac:dyDescent="0.25">
      <c r="N1672" s="362"/>
      <c r="R1672" s="210"/>
      <c r="S1672" s="232"/>
      <c r="T1672" s="270"/>
    </row>
    <row r="1673" spans="14:20" x14ac:dyDescent="0.25">
      <c r="N1673" s="362"/>
      <c r="R1673" s="210"/>
      <c r="S1673" s="232"/>
      <c r="T1673" s="270"/>
    </row>
    <row r="1674" spans="14:20" x14ac:dyDescent="0.25">
      <c r="N1674" s="362"/>
      <c r="R1674" s="210"/>
      <c r="S1674" s="232"/>
      <c r="T1674" s="270"/>
    </row>
    <row r="1675" spans="14:20" x14ac:dyDescent="0.25">
      <c r="N1675" s="362"/>
      <c r="R1675" s="210"/>
      <c r="S1675" s="232"/>
      <c r="T1675" s="270"/>
    </row>
    <row r="1676" spans="14:20" x14ac:dyDescent="0.25">
      <c r="N1676" s="362"/>
      <c r="R1676" s="210"/>
      <c r="S1676" s="232"/>
      <c r="T1676" s="270"/>
    </row>
    <row r="1677" spans="14:20" x14ac:dyDescent="0.25">
      <c r="N1677" s="362"/>
      <c r="R1677" s="210"/>
      <c r="S1677" s="232"/>
      <c r="T1677" s="270"/>
    </row>
    <row r="1678" spans="14:20" x14ac:dyDescent="0.25">
      <c r="N1678" s="362"/>
      <c r="R1678" s="210"/>
      <c r="S1678" s="232"/>
      <c r="T1678" s="270"/>
    </row>
    <row r="1679" spans="14:20" x14ac:dyDescent="0.25">
      <c r="N1679" s="362"/>
      <c r="R1679" s="210"/>
      <c r="S1679" s="232"/>
      <c r="T1679" s="270"/>
    </row>
    <row r="1680" spans="14:20" x14ac:dyDescent="0.25">
      <c r="N1680" s="362"/>
      <c r="R1680" s="210"/>
      <c r="S1680" s="232"/>
      <c r="T1680" s="270"/>
    </row>
    <row r="1681" spans="14:20" x14ac:dyDescent="0.25">
      <c r="N1681" s="362"/>
      <c r="R1681" s="210"/>
      <c r="S1681" s="232"/>
      <c r="T1681" s="270"/>
    </row>
    <row r="1682" spans="14:20" x14ac:dyDescent="0.25">
      <c r="N1682" s="362"/>
      <c r="R1682" s="210"/>
      <c r="S1682" s="232"/>
      <c r="T1682" s="270"/>
    </row>
    <row r="1683" spans="14:20" x14ac:dyDescent="0.25">
      <c r="N1683" s="362"/>
      <c r="R1683" s="210"/>
      <c r="S1683" s="232"/>
      <c r="T1683" s="270"/>
    </row>
    <row r="1684" spans="14:20" x14ac:dyDescent="0.25">
      <c r="N1684" s="362"/>
      <c r="R1684" s="210"/>
      <c r="S1684" s="232"/>
      <c r="T1684" s="270"/>
    </row>
    <row r="1685" spans="14:20" x14ac:dyDescent="0.25">
      <c r="N1685" s="362"/>
      <c r="R1685" s="210"/>
      <c r="S1685" s="232"/>
      <c r="T1685" s="270"/>
    </row>
    <row r="1686" spans="14:20" x14ac:dyDescent="0.25">
      <c r="N1686" s="362"/>
      <c r="R1686" s="210"/>
      <c r="S1686" s="232"/>
      <c r="T1686" s="270"/>
    </row>
    <row r="1687" spans="14:20" x14ac:dyDescent="0.25">
      <c r="N1687" s="362"/>
      <c r="R1687" s="210"/>
      <c r="S1687" s="232"/>
      <c r="T1687" s="270"/>
    </row>
    <row r="1688" spans="14:20" x14ac:dyDescent="0.25">
      <c r="N1688" s="362"/>
      <c r="R1688" s="210"/>
      <c r="S1688" s="232"/>
      <c r="T1688" s="270"/>
    </row>
    <row r="1689" spans="14:20" x14ac:dyDescent="0.25">
      <c r="N1689" s="362"/>
      <c r="R1689" s="210"/>
      <c r="S1689" s="232"/>
      <c r="T1689" s="270"/>
    </row>
    <row r="1690" spans="14:20" x14ac:dyDescent="0.25">
      <c r="N1690" s="362"/>
      <c r="R1690" s="210"/>
      <c r="S1690" s="232"/>
      <c r="T1690" s="270"/>
    </row>
    <row r="1691" spans="14:20" x14ac:dyDescent="0.25">
      <c r="N1691" s="362"/>
      <c r="R1691" s="210"/>
      <c r="S1691" s="232"/>
      <c r="T1691" s="270"/>
    </row>
    <row r="1692" spans="14:20" x14ac:dyDescent="0.25">
      <c r="N1692" s="362"/>
      <c r="R1692" s="210"/>
      <c r="S1692" s="232"/>
      <c r="T1692" s="270"/>
    </row>
    <row r="1693" spans="14:20" x14ac:dyDescent="0.25">
      <c r="N1693" s="362"/>
      <c r="R1693" s="210"/>
      <c r="S1693" s="232"/>
      <c r="T1693" s="270"/>
    </row>
    <row r="1694" spans="14:20" x14ac:dyDescent="0.25">
      <c r="N1694" s="362"/>
      <c r="R1694" s="210"/>
      <c r="S1694" s="232"/>
      <c r="T1694" s="270"/>
    </row>
    <row r="1695" spans="14:20" x14ac:dyDescent="0.25">
      <c r="N1695" s="362"/>
      <c r="R1695" s="210"/>
      <c r="S1695" s="232"/>
      <c r="T1695" s="270"/>
    </row>
    <row r="1696" spans="14:20" x14ac:dyDescent="0.25">
      <c r="N1696" s="362"/>
      <c r="R1696" s="210"/>
      <c r="S1696" s="232"/>
      <c r="T1696" s="270"/>
    </row>
    <row r="1697" spans="14:20" x14ac:dyDescent="0.25">
      <c r="N1697" s="362"/>
      <c r="R1697" s="210"/>
      <c r="S1697" s="232"/>
      <c r="T1697" s="270"/>
    </row>
    <row r="1698" spans="14:20" x14ac:dyDescent="0.25">
      <c r="N1698" s="362"/>
      <c r="R1698" s="210"/>
      <c r="S1698" s="232"/>
      <c r="T1698" s="270"/>
    </row>
    <row r="1699" spans="14:20" x14ac:dyDescent="0.25">
      <c r="N1699" s="362"/>
      <c r="R1699" s="210"/>
      <c r="S1699" s="232"/>
      <c r="T1699" s="270"/>
    </row>
    <row r="1700" spans="14:20" x14ac:dyDescent="0.25">
      <c r="N1700" s="362"/>
      <c r="R1700" s="210"/>
      <c r="S1700" s="232"/>
      <c r="T1700" s="270"/>
    </row>
    <row r="1701" spans="14:20" x14ac:dyDescent="0.25">
      <c r="N1701" s="362"/>
      <c r="R1701" s="210"/>
      <c r="S1701" s="232"/>
      <c r="T1701" s="270"/>
    </row>
    <row r="1702" spans="14:20" x14ac:dyDescent="0.25">
      <c r="N1702" s="362"/>
      <c r="R1702" s="210"/>
      <c r="S1702" s="232"/>
      <c r="T1702" s="270"/>
    </row>
    <row r="1703" spans="14:20" x14ac:dyDescent="0.25">
      <c r="N1703" s="362"/>
      <c r="R1703" s="210"/>
      <c r="S1703" s="232"/>
      <c r="T1703" s="270"/>
    </row>
    <row r="1704" spans="14:20" x14ac:dyDescent="0.25">
      <c r="N1704" s="362"/>
      <c r="R1704" s="210"/>
      <c r="S1704" s="232"/>
      <c r="T1704" s="270"/>
    </row>
    <row r="1705" spans="14:20" x14ac:dyDescent="0.25">
      <c r="N1705" s="362"/>
      <c r="R1705" s="210"/>
      <c r="S1705" s="232"/>
      <c r="T1705" s="270"/>
    </row>
    <row r="1706" spans="14:20" x14ac:dyDescent="0.25">
      <c r="N1706" s="362"/>
      <c r="R1706" s="210"/>
      <c r="S1706" s="232"/>
      <c r="T1706" s="270"/>
    </row>
    <row r="1707" spans="14:20" x14ac:dyDescent="0.25">
      <c r="N1707" s="362"/>
      <c r="R1707" s="210"/>
      <c r="S1707" s="232"/>
      <c r="T1707" s="270"/>
    </row>
    <row r="1708" spans="14:20" x14ac:dyDescent="0.25">
      <c r="N1708" s="362"/>
      <c r="R1708" s="210"/>
      <c r="S1708" s="232"/>
      <c r="T1708" s="270"/>
    </row>
    <row r="1709" spans="14:20" x14ac:dyDescent="0.25">
      <c r="N1709" s="362"/>
      <c r="R1709" s="210"/>
      <c r="S1709" s="232"/>
      <c r="T1709" s="270"/>
    </row>
    <row r="1710" spans="14:20" x14ac:dyDescent="0.25">
      <c r="N1710" s="362"/>
      <c r="R1710" s="210"/>
      <c r="S1710" s="232"/>
      <c r="T1710" s="270"/>
    </row>
    <row r="1711" spans="14:20" x14ac:dyDescent="0.25">
      <c r="N1711" s="362"/>
      <c r="R1711" s="210"/>
      <c r="S1711" s="232"/>
      <c r="T1711" s="270"/>
    </row>
    <row r="1712" spans="14:20" x14ac:dyDescent="0.25">
      <c r="N1712" s="362"/>
      <c r="R1712" s="210"/>
      <c r="S1712" s="232"/>
      <c r="T1712" s="270"/>
    </row>
    <row r="1713" spans="14:20" x14ac:dyDescent="0.25">
      <c r="N1713" s="362"/>
      <c r="R1713" s="210"/>
      <c r="S1713" s="232"/>
      <c r="T1713" s="270"/>
    </row>
    <row r="1714" spans="14:20" x14ac:dyDescent="0.25">
      <c r="N1714" s="362"/>
      <c r="R1714" s="210"/>
      <c r="S1714" s="232"/>
      <c r="T1714" s="270"/>
    </row>
    <row r="1715" spans="14:20" x14ac:dyDescent="0.25">
      <c r="N1715" s="362"/>
      <c r="R1715" s="210"/>
      <c r="S1715" s="232"/>
      <c r="T1715" s="270"/>
    </row>
    <row r="1716" spans="14:20" x14ac:dyDescent="0.25">
      <c r="N1716" s="362"/>
      <c r="R1716" s="210"/>
      <c r="S1716" s="232"/>
      <c r="T1716" s="270"/>
    </row>
    <row r="1717" spans="14:20" x14ac:dyDescent="0.25">
      <c r="N1717" s="362"/>
      <c r="R1717" s="210"/>
      <c r="S1717" s="232"/>
      <c r="T1717" s="270"/>
    </row>
    <row r="1718" spans="14:20" x14ac:dyDescent="0.25">
      <c r="N1718" s="362"/>
      <c r="R1718" s="210"/>
      <c r="S1718" s="232"/>
      <c r="T1718" s="270"/>
    </row>
    <row r="1719" spans="14:20" x14ac:dyDescent="0.25">
      <c r="N1719" s="362"/>
      <c r="R1719" s="210"/>
      <c r="S1719" s="232"/>
      <c r="T1719" s="270"/>
    </row>
    <row r="1720" spans="14:20" x14ac:dyDescent="0.25">
      <c r="N1720" s="362"/>
      <c r="R1720" s="210"/>
      <c r="S1720" s="232"/>
      <c r="T1720" s="270"/>
    </row>
    <row r="1721" spans="14:20" x14ac:dyDescent="0.25">
      <c r="N1721" s="362"/>
      <c r="R1721" s="210"/>
      <c r="S1721" s="232"/>
      <c r="T1721" s="270"/>
    </row>
    <row r="1722" spans="14:20" x14ac:dyDescent="0.25">
      <c r="N1722" s="362"/>
      <c r="R1722" s="210"/>
      <c r="S1722" s="232"/>
      <c r="T1722" s="270"/>
    </row>
    <row r="1723" spans="14:20" x14ac:dyDescent="0.25">
      <c r="N1723" s="362"/>
      <c r="R1723" s="210"/>
      <c r="S1723" s="232"/>
      <c r="T1723" s="270"/>
    </row>
    <row r="1724" spans="14:20" x14ac:dyDescent="0.25">
      <c r="N1724" s="362"/>
      <c r="R1724" s="210"/>
      <c r="S1724" s="232"/>
      <c r="T1724" s="270"/>
    </row>
    <row r="1725" spans="14:20" x14ac:dyDescent="0.25">
      <c r="N1725" s="362"/>
      <c r="R1725" s="210"/>
      <c r="S1725" s="232"/>
      <c r="T1725" s="270"/>
    </row>
    <row r="1726" spans="14:20" x14ac:dyDescent="0.25">
      <c r="N1726" s="362"/>
      <c r="R1726" s="210"/>
      <c r="S1726" s="232"/>
      <c r="T1726" s="270"/>
    </row>
    <row r="1727" spans="14:20" x14ac:dyDescent="0.25">
      <c r="N1727" s="362"/>
      <c r="R1727" s="210"/>
      <c r="S1727" s="232"/>
      <c r="T1727" s="270"/>
    </row>
    <row r="1728" spans="14:20" x14ac:dyDescent="0.25">
      <c r="N1728" s="362"/>
      <c r="R1728" s="210"/>
      <c r="S1728" s="232"/>
      <c r="T1728" s="270"/>
    </row>
    <row r="1729" spans="14:20" x14ac:dyDescent="0.25">
      <c r="N1729" s="362"/>
      <c r="R1729" s="210"/>
      <c r="S1729" s="232"/>
      <c r="T1729" s="270"/>
    </row>
    <row r="1730" spans="14:20" x14ac:dyDescent="0.25">
      <c r="N1730" s="362"/>
      <c r="R1730" s="210"/>
      <c r="S1730" s="232"/>
      <c r="T1730" s="270"/>
    </row>
    <row r="1731" spans="14:20" x14ac:dyDescent="0.25">
      <c r="N1731" s="362"/>
      <c r="R1731" s="210"/>
      <c r="S1731" s="232"/>
      <c r="T1731" s="270"/>
    </row>
    <row r="1732" spans="14:20" x14ac:dyDescent="0.25">
      <c r="N1732" s="362"/>
      <c r="R1732" s="210"/>
      <c r="S1732" s="232"/>
      <c r="T1732" s="270"/>
    </row>
    <row r="1733" spans="14:20" x14ac:dyDescent="0.25">
      <c r="N1733" s="362"/>
      <c r="R1733" s="210"/>
      <c r="S1733" s="232"/>
      <c r="T1733" s="270"/>
    </row>
    <row r="1734" spans="14:20" x14ac:dyDescent="0.25">
      <c r="N1734" s="362"/>
      <c r="R1734" s="210"/>
      <c r="S1734" s="232"/>
      <c r="T1734" s="270"/>
    </row>
    <row r="1735" spans="14:20" x14ac:dyDescent="0.25">
      <c r="N1735" s="362"/>
      <c r="R1735" s="210"/>
      <c r="S1735" s="232"/>
      <c r="T1735" s="270"/>
    </row>
    <row r="1736" spans="14:20" x14ac:dyDescent="0.25">
      <c r="N1736" s="362"/>
      <c r="R1736" s="210"/>
      <c r="S1736" s="232"/>
      <c r="T1736" s="270"/>
    </row>
    <row r="1737" spans="14:20" x14ac:dyDescent="0.25">
      <c r="N1737" s="362"/>
      <c r="R1737" s="210"/>
      <c r="S1737" s="232"/>
      <c r="T1737" s="270"/>
    </row>
    <row r="1738" spans="14:20" x14ac:dyDescent="0.25">
      <c r="N1738" s="362"/>
      <c r="R1738" s="210"/>
      <c r="S1738" s="232"/>
      <c r="T1738" s="270"/>
    </row>
    <row r="1739" spans="14:20" x14ac:dyDescent="0.25">
      <c r="N1739" s="362"/>
      <c r="R1739" s="210"/>
      <c r="S1739" s="232"/>
      <c r="T1739" s="270"/>
    </row>
    <row r="1740" spans="14:20" x14ac:dyDescent="0.25">
      <c r="N1740" s="362"/>
      <c r="R1740" s="210"/>
      <c r="S1740" s="232"/>
      <c r="T1740" s="270"/>
    </row>
    <row r="1741" spans="14:20" x14ac:dyDescent="0.25">
      <c r="N1741" s="362"/>
      <c r="R1741" s="210"/>
      <c r="S1741" s="232"/>
      <c r="T1741" s="270"/>
    </row>
    <row r="1742" spans="14:20" x14ac:dyDescent="0.25">
      <c r="N1742" s="362"/>
      <c r="R1742" s="210"/>
      <c r="S1742" s="232"/>
      <c r="T1742" s="270"/>
    </row>
    <row r="1743" spans="14:20" x14ac:dyDescent="0.25">
      <c r="N1743" s="362"/>
      <c r="R1743" s="210"/>
      <c r="S1743" s="232"/>
      <c r="T1743" s="270"/>
    </row>
    <row r="1744" spans="14:20" x14ac:dyDescent="0.25">
      <c r="N1744" s="362"/>
      <c r="R1744" s="210"/>
      <c r="S1744" s="232"/>
      <c r="T1744" s="270"/>
    </row>
    <row r="1745" spans="14:20" x14ac:dyDescent="0.25">
      <c r="N1745" s="362"/>
      <c r="R1745" s="210"/>
      <c r="S1745" s="232"/>
      <c r="T1745" s="270"/>
    </row>
    <row r="1746" spans="14:20" x14ac:dyDescent="0.25">
      <c r="N1746" s="362"/>
      <c r="R1746" s="210"/>
      <c r="S1746" s="232"/>
      <c r="T1746" s="270"/>
    </row>
    <row r="1747" spans="14:20" x14ac:dyDescent="0.25">
      <c r="N1747" s="362"/>
      <c r="R1747" s="210"/>
      <c r="S1747" s="232"/>
      <c r="T1747" s="270"/>
    </row>
    <row r="1748" spans="14:20" x14ac:dyDescent="0.25">
      <c r="N1748" s="362"/>
      <c r="R1748" s="210"/>
      <c r="S1748" s="232"/>
      <c r="T1748" s="270"/>
    </row>
    <row r="1749" spans="14:20" x14ac:dyDescent="0.25">
      <c r="N1749" s="362"/>
      <c r="R1749" s="210"/>
      <c r="S1749" s="232"/>
      <c r="T1749" s="270"/>
    </row>
    <row r="1750" spans="14:20" x14ac:dyDescent="0.25">
      <c r="N1750" s="362"/>
      <c r="R1750" s="210"/>
      <c r="S1750" s="232"/>
      <c r="T1750" s="270"/>
    </row>
    <row r="1751" spans="14:20" x14ac:dyDescent="0.25">
      <c r="N1751" s="362"/>
      <c r="R1751" s="210"/>
      <c r="S1751" s="232"/>
      <c r="T1751" s="270"/>
    </row>
    <row r="1752" spans="14:20" x14ac:dyDescent="0.25">
      <c r="N1752" s="362"/>
      <c r="R1752" s="210"/>
      <c r="S1752" s="232"/>
      <c r="T1752" s="270"/>
    </row>
    <row r="1753" spans="14:20" x14ac:dyDescent="0.25">
      <c r="N1753" s="362"/>
      <c r="R1753" s="210"/>
      <c r="S1753" s="232"/>
      <c r="T1753" s="270"/>
    </row>
    <row r="1754" spans="14:20" x14ac:dyDescent="0.25">
      <c r="N1754" s="362"/>
      <c r="R1754" s="210"/>
      <c r="S1754" s="232"/>
      <c r="T1754" s="270"/>
    </row>
    <row r="1755" spans="14:20" x14ac:dyDescent="0.25">
      <c r="N1755" s="362"/>
      <c r="R1755" s="210"/>
      <c r="S1755" s="232"/>
      <c r="T1755" s="270"/>
    </row>
    <row r="1756" spans="14:20" x14ac:dyDescent="0.25">
      <c r="N1756" s="362"/>
      <c r="R1756" s="210"/>
      <c r="S1756" s="232"/>
      <c r="T1756" s="270"/>
    </row>
    <row r="1757" spans="14:20" x14ac:dyDescent="0.25">
      <c r="N1757" s="362"/>
      <c r="R1757" s="210"/>
      <c r="S1757" s="232"/>
      <c r="T1757" s="270"/>
    </row>
    <row r="1758" spans="14:20" x14ac:dyDescent="0.25">
      <c r="N1758" s="362"/>
      <c r="R1758" s="210"/>
      <c r="S1758" s="232"/>
      <c r="T1758" s="270"/>
    </row>
    <row r="1759" spans="14:20" x14ac:dyDescent="0.25">
      <c r="N1759" s="362"/>
      <c r="R1759" s="210"/>
      <c r="S1759" s="232"/>
      <c r="T1759" s="270"/>
    </row>
    <row r="1760" spans="14:20" x14ac:dyDescent="0.25">
      <c r="N1760" s="362"/>
      <c r="R1760" s="210"/>
      <c r="S1760" s="232"/>
      <c r="T1760" s="270"/>
    </row>
    <row r="1761" spans="14:20" x14ac:dyDescent="0.25">
      <c r="N1761" s="362"/>
      <c r="R1761" s="210"/>
      <c r="S1761" s="232"/>
      <c r="T1761" s="270"/>
    </row>
    <row r="1762" spans="14:20" x14ac:dyDescent="0.25">
      <c r="N1762" s="362"/>
      <c r="R1762" s="210"/>
      <c r="S1762" s="232"/>
      <c r="T1762" s="270"/>
    </row>
    <row r="1763" spans="14:20" x14ac:dyDescent="0.25">
      <c r="N1763" s="362"/>
      <c r="R1763" s="210"/>
      <c r="S1763" s="232"/>
      <c r="T1763" s="270"/>
    </row>
    <row r="1764" spans="14:20" x14ac:dyDescent="0.25">
      <c r="N1764" s="362"/>
      <c r="R1764" s="210"/>
      <c r="S1764" s="232"/>
      <c r="T1764" s="270"/>
    </row>
    <row r="1765" spans="14:20" x14ac:dyDescent="0.25">
      <c r="N1765" s="362"/>
      <c r="R1765" s="210"/>
      <c r="S1765" s="232"/>
      <c r="T1765" s="270"/>
    </row>
    <row r="1766" spans="14:20" x14ac:dyDescent="0.25">
      <c r="N1766" s="362"/>
      <c r="R1766" s="210"/>
      <c r="S1766" s="232"/>
      <c r="T1766" s="270"/>
    </row>
    <row r="1767" spans="14:20" x14ac:dyDescent="0.25">
      <c r="N1767" s="362"/>
      <c r="R1767" s="210"/>
      <c r="S1767" s="232"/>
      <c r="T1767" s="270"/>
    </row>
    <row r="1768" spans="14:20" x14ac:dyDescent="0.25">
      <c r="N1768" s="362"/>
      <c r="R1768" s="210"/>
      <c r="S1768" s="232"/>
      <c r="T1768" s="270"/>
    </row>
    <row r="1769" spans="14:20" x14ac:dyDescent="0.25">
      <c r="N1769" s="362"/>
      <c r="R1769" s="210"/>
      <c r="S1769" s="232"/>
      <c r="T1769" s="270"/>
    </row>
    <row r="1770" spans="14:20" x14ac:dyDescent="0.25">
      <c r="N1770" s="362"/>
      <c r="R1770" s="210"/>
      <c r="S1770" s="232"/>
      <c r="T1770" s="270"/>
    </row>
    <row r="1771" spans="14:20" x14ac:dyDescent="0.25">
      <c r="N1771" s="362"/>
      <c r="R1771" s="210"/>
      <c r="S1771" s="232"/>
      <c r="T1771" s="270"/>
    </row>
    <row r="1772" spans="14:20" x14ac:dyDescent="0.25">
      <c r="N1772" s="362"/>
      <c r="R1772" s="210"/>
      <c r="S1772" s="232"/>
      <c r="T1772" s="270"/>
    </row>
    <row r="1773" spans="14:20" x14ac:dyDescent="0.25">
      <c r="N1773" s="362"/>
      <c r="R1773" s="210"/>
      <c r="S1773" s="232"/>
      <c r="T1773" s="270"/>
    </row>
    <row r="1774" spans="14:20" x14ac:dyDescent="0.25">
      <c r="N1774" s="362"/>
      <c r="R1774" s="210"/>
      <c r="S1774" s="232"/>
      <c r="T1774" s="270"/>
    </row>
    <row r="1775" spans="14:20" x14ac:dyDescent="0.25">
      <c r="N1775" s="362"/>
      <c r="R1775" s="210"/>
      <c r="S1775" s="232"/>
      <c r="T1775" s="270"/>
    </row>
    <row r="1776" spans="14:20" x14ac:dyDescent="0.25">
      <c r="N1776" s="362"/>
      <c r="R1776" s="210"/>
      <c r="S1776" s="232"/>
      <c r="T1776" s="270"/>
    </row>
    <row r="1777" spans="14:20" x14ac:dyDescent="0.25">
      <c r="N1777" s="362"/>
      <c r="R1777" s="210"/>
      <c r="S1777" s="232"/>
      <c r="T1777" s="270"/>
    </row>
    <row r="1778" spans="14:20" x14ac:dyDescent="0.25">
      <c r="N1778" s="362"/>
      <c r="R1778" s="210"/>
      <c r="S1778" s="232"/>
      <c r="T1778" s="270"/>
    </row>
    <row r="1779" spans="14:20" x14ac:dyDescent="0.25">
      <c r="N1779" s="362"/>
      <c r="R1779" s="210"/>
      <c r="S1779" s="232"/>
      <c r="T1779" s="270"/>
    </row>
    <row r="1780" spans="14:20" x14ac:dyDescent="0.25">
      <c r="N1780" s="362"/>
      <c r="R1780" s="210"/>
      <c r="S1780" s="232"/>
      <c r="T1780" s="270"/>
    </row>
    <row r="1781" spans="14:20" x14ac:dyDescent="0.25">
      <c r="N1781" s="362"/>
      <c r="R1781" s="210"/>
      <c r="S1781" s="232"/>
      <c r="T1781" s="270"/>
    </row>
    <row r="1782" spans="14:20" x14ac:dyDescent="0.25">
      <c r="N1782" s="362"/>
      <c r="R1782" s="210"/>
      <c r="S1782" s="232"/>
      <c r="T1782" s="270"/>
    </row>
    <row r="1783" spans="14:20" x14ac:dyDescent="0.25">
      <c r="N1783" s="362"/>
      <c r="R1783" s="210"/>
      <c r="S1783" s="232"/>
      <c r="T1783" s="270"/>
    </row>
    <row r="1784" spans="14:20" x14ac:dyDescent="0.25">
      <c r="N1784" s="362"/>
      <c r="R1784" s="210"/>
      <c r="S1784" s="232"/>
      <c r="T1784" s="270"/>
    </row>
    <row r="1785" spans="14:20" x14ac:dyDescent="0.25">
      <c r="N1785" s="362"/>
      <c r="R1785" s="210"/>
      <c r="S1785" s="232"/>
      <c r="T1785" s="270"/>
    </row>
    <row r="1786" spans="14:20" x14ac:dyDescent="0.25">
      <c r="N1786" s="362"/>
      <c r="R1786" s="210"/>
      <c r="S1786" s="232"/>
      <c r="T1786" s="270"/>
    </row>
    <row r="1787" spans="14:20" x14ac:dyDescent="0.25">
      <c r="N1787" s="362"/>
      <c r="R1787" s="210"/>
      <c r="S1787" s="232"/>
      <c r="T1787" s="270"/>
    </row>
    <row r="1788" spans="14:20" x14ac:dyDescent="0.25">
      <c r="N1788" s="362"/>
      <c r="R1788" s="210"/>
      <c r="S1788" s="232"/>
      <c r="T1788" s="270"/>
    </row>
    <row r="1789" spans="14:20" x14ac:dyDescent="0.25">
      <c r="N1789" s="362"/>
      <c r="R1789" s="210"/>
      <c r="S1789" s="232"/>
      <c r="T1789" s="270"/>
    </row>
    <row r="1790" spans="14:20" x14ac:dyDescent="0.25">
      <c r="N1790" s="362"/>
      <c r="R1790" s="210"/>
      <c r="S1790" s="232"/>
      <c r="T1790" s="270"/>
    </row>
    <row r="1791" spans="14:20" x14ac:dyDescent="0.25">
      <c r="N1791" s="362"/>
      <c r="R1791" s="210"/>
      <c r="S1791" s="232"/>
      <c r="T1791" s="270"/>
    </row>
    <row r="1792" spans="14:20" x14ac:dyDescent="0.25">
      <c r="N1792" s="362"/>
      <c r="R1792" s="210"/>
      <c r="S1792" s="232"/>
      <c r="T1792" s="270"/>
    </row>
    <row r="1793" spans="14:20" x14ac:dyDescent="0.25">
      <c r="N1793" s="362"/>
      <c r="R1793" s="210"/>
      <c r="S1793" s="232"/>
      <c r="T1793" s="270"/>
    </row>
    <row r="1794" spans="14:20" x14ac:dyDescent="0.25">
      <c r="N1794" s="362"/>
      <c r="R1794" s="210"/>
      <c r="S1794" s="232"/>
      <c r="T1794" s="270"/>
    </row>
    <row r="1795" spans="14:20" x14ac:dyDescent="0.25">
      <c r="N1795" s="362"/>
      <c r="R1795" s="210"/>
      <c r="S1795" s="232"/>
      <c r="T1795" s="270"/>
    </row>
    <row r="1796" spans="14:20" x14ac:dyDescent="0.25">
      <c r="N1796" s="362"/>
      <c r="R1796" s="210"/>
      <c r="S1796" s="232"/>
      <c r="T1796" s="270"/>
    </row>
    <row r="1797" spans="14:20" x14ac:dyDescent="0.25">
      <c r="N1797" s="362"/>
      <c r="R1797" s="210"/>
      <c r="S1797" s="232"/>
      <c r="T1797" s="270"/>
    </row>
    <row r="1798" spans="14:20" x14ac:dyDescent="0.25">
      <c r="N1798" s="362"/>
      <c r="R1798" s="210"/>
      <c r="S1798" s="232"/>
      <c r="T1798" s="270"/>
    </row>
    <row r="1799" spans="14:20" x14ac:dyDescent="0.25">
      <c r="N1799" s="362"/>
      <c r="R1799" s="210"/>
      <c r="S1799" s="232"/>
      <c r="T1799" s="270"/>
    </row>
    <row r="1800" spans="14:20" x14ac:dyDescent="0.25">
      <c r="N1800" s="362"/>
      <c r="R1800" s="210"/>
      <c r="S1800" s="232"/>
      <c r="T1800" s="270"/>
    </row>
    <row r="1801" spans="14:20" x14ac:dyDescent="0.25">
      <c r="N1801" s="362"/>
      <c r="R1801" s="210"/>
      <c r="S1801" s="232"/>
      <c r="T1801" s="270"/>
    </row>
    <row r="1802" spans="14:20" x14ac:dyDescent="0.25">
      <c r="N1802" s="362"/>
      <c r="R1802" s="210"/>
      <c r="S1802" s="232"/>
      <c r="T1802" s="270"/>
    </row>
    <row r="1803" spans="14:20" x14ac:dyDescent="0.25">
      <c r="N1803" s="362"/>
      <c r="R1803" s="210"/>
      <c r="S1803" s="232"/>
      <c r="T1803" s="270"/>
    </row>
    <row r="1804" spans="14:20" x14ac:dyDescent="0.25">
      <c r="N1804" s="362"/>
      <c r="R1804" s="210"/>
      <c r="S1804" s="232"/>
      <c r="T1804" s="270"/>
    </row>
    <row r="1805" spans="14:20" x14ac:dyDescent="0.25">
      <c r="N1805" s="362"/>
      <c r="R1805" s="210"/>
      <c r="S1805" s="232"/>
      <c r="T1805" s="270"/>
    </row>
    <row r="1806" spans="14:20" x14ac:dyDescent="0.25">
      <c r="N1806" s="362"/>
      <c r="R1806" s="210"/>
      <c r="S1806" s="232"/>
      <c r="T1806" s="270"/>
    </row>
    <row r="1807" spans="14:20" x14ac:dyDescent="0.25">
      <c r="N1807" s="362"/>
      <c r="R1807" s="210"/>
      <c r="S1807" s="232"/>
      <c r="T1807" s="270"/>
    </row>
    <row r="1808" spans="14:20" x14ac:dyDescent="0.25">
      <c r="N1808" s="362"/>
      <c r="R1808" s="210"/>
      <c r="S1808" s="232"/>
      <c r="T1808" s="270"/>
    </row>
    <row r="1809" spans="14:20" x14ac:dyDescent="0.25">
      <c r="N1809" s="362"/>
      <c r="R1809" s="210"/>
      <c r="S1809" s="232"/>
      <c r="T1809" s="270"/>
    </row>
    <row r="1810" spans="14:20" x14ac:dyDescent="0.25">
      <c r="N1810" s="362"/>
      <c r="R1810" s="210"/>
      <c r="S1810" s="232"/>
      <c r="T1810" s="270"/>
    </row>
    <row r="1811" spans="14:20" x14ac:dyDescent="0.25">
      <c r="N1811" s="362"/>
      <c r="R1811" s="210"/>
      <c r="S1811" s="232"/>
      <c r="T1811" s="270"/>
    </row>
    <row r="1812" spans="14:20" x14ac:dyDescent="0.25">
      <c r="N1812" s="362"/>
      <c r="R1812" s="210"/>
      <c r="S1812" s="232"/>
      <c r="T1812" s="270"/>
    </row>
    <row r="1813" spans="14:20" x14ac:dyDescent="0.25">
      <c r="N1813" s="362"/>
      <c r="R1813" s="210"/>
      <c r="S1813" s="232"/>
      <c r="T1813" s="270"/>
    </row>
    <row r="1814" spans="14:20" x14ac:dyDescent="0.25">
      <c r="N1814" s="362"/>
      <c r="R1814" s="210"/>
      <c r="S1814" s="232"/>
      <c r="T1814" s="270"/>
    </row>
    <row r="1815" spans="14:20" x14ac:dyDescent="0.25">
      <c r="N1815" s="362"/>
      <c r="R1815" s="210"/>
      <c r="S1815" s="232"/>
      <c r="T1815" s="270"/>
    </row>
    <row r="1816" spans="14:20" x14ac:dyDescent="0.25">
      <c r="N1816" s="362"/>
      <c r="R1816" s="210"/>
      <c r="S1816" s="232"/>
      <c r="T1816" s="270"/>
    </row>
    <row r="1817" spans="14:20" x14ac:dyDescent="0.25">
      <c r="N1817" s="362"/>
      <c r="R1817" s="210"/>
      <c r="S1817" s="232"/>
      <c r="T1817" s="270"/>
    </row>
    <row r="1818" spans="14:20" x14ac:dyDescent="0.25">
      <c r="N1818" s="362"/>
      <c r="R1818" s="210"/>
      <c r="S1818" s="232"/>
      <c r="T1818" s="270"/>
    </row>
    <row r="1819" spans="14:20" x14ac:dyDescent="0.25">
      <c r="N1819" s="362"/>
      <c r="R1819" s="210"/>
      <c r="S1819" s="232"/>
      <c r="T1819" s="270"/>
    </row>
    <row r="1820" spans="14:20" x14ac:dyDescent="0.25">
      <c r="N1820" s="362"/>
      <c r="R1820" s="210"/>
      <c r="S1820" s="232"/>
      <c r="T1820" s="270"/>
    </row>
    <row r="1821" spans="14:20" x14ac:dyDescent="0.25">
      <c r="N1821" s="362"/>
      <c r="R1821" s="210"/>
      <c r="S1821" s="232"/>
      <c r="T1821" s="270"/>
    </row>
    <row r="1822" spans="14:20" x14ac:dyDescent="0.25">
      <c r="N1822" s="362"/>
      <c r="R1822" s="210"/>
      <c r="S1822" s="232"/>
      <c r="T1822" s="270"/>
    </row>
    <row r="1823" spans="14:20" x14ac:dyDescent="0.25">
      <c r="N1823" s="362"/>
      <c r="R1823" s="210"/>
      <c r="S1823" s="232"/>
      <c r="T1823" s="270"/>
    </row>
    <row r="1824" spans="14:20" x14ac:dyDescent="0.25">
      <c r="N1824" s="362"/>
      <c r="R1824" s="210"/>
      <c r="S1824" s="232"/>
      <c r="T1824" s="270"/>
    </row>
    <row r="1825" spans="14:20" x14ac:dyDescent="0.25">
      <c r="N1825" s="362"/>
      <c r="R1825" s="210"/>
      <c r="S1825" s="232"/>
      <c r="T1825" s="270"/>
    </row>
    <row r="1826" spans="14:20" x14ac:dyDescent="0.25">
      <c r="N1826" s="362"/>
      <c r="R1826" s="210"/>
      <c r="S1826" s="232"/>
      <c r="T1826" s="270"/>
    </row>
    <row r="1827" spans="14:20" x14ac:dyDescent="0.25">
      <c r="N1827" s="362"/>
      <c r="R1827" s="210"/>
      <c r="S1827" s="232"/>
      <c r="T1827" s="270"/>
    </row>
    <row r="1828" spans="14:20" x14ac:dyDescent="0.25">
      <c r="N1828" s="362"/>
      <c r="R1828" s="210"/>
      <c r="S1828" s="232"/>
      <c r="T1828" s="270"/>
    </row>
    <row r="1829" spans="14:20" x14ac:dyDescent="0.25">
      <c r="N1829" s="362"/>
      <c r="R1829" s="210"/>
      <c r="S1829" s="232"/>
      <c r="T1829" s="270"/>
    </row>
    <row r="1830" spans="14:20" x14ac:dyDescent="0.25">
      <c r="N1830" s="362"/>
      <c r="R1830" s="210"/>
      <c r="S1830" s="232"/>
      <c r="T1830" s="270"/>
    </row>
    <row r="1831" spans="14:20" x14ac:dyDescent="0.25">
      <c r="N1831" s="362"/>
      <c r="R1831" s="210"/>
      <c r="S1831" s="232"/>
      <c r="T1831" s="270"/>
    </row>
    <row r="1832" spans="14:20" x14ac:dyDescent="0.25">
      <c r="N1832" s="362"/>
      <c r="R1832" s="210"/>
      <c r="S1832" s="232"/>
      <c r="T1832" s="270"/>
    </row>
    <row r="1833" spans="14:20" x14ac:dyDescent="0.25">
      <c r="N1833" s="362"/>
      <c r="R1833" s="210"/>
      <c r="S1833" s="232"/>
      <c r="T1833" s="270"/>
    </row>
    <row r="1834" spans="14:20" x14ac:dyDescent="0.25">
      <c r="N1834" s="362"/>
      <c r="R1834" s="210"/>
      <c r="S1834" s="232"/>
      <c r="T1834" s="270"/>
    </row>
    <row r="1835" spans="14:20" x14ac:dyDescent="0.25">
      <c r="N1835" s="362"/>
      <c r="R1835" s="210"/>
      <c r="S1835" s="232"/>
      <c r="T1835" s="270"/>
    </row>
    <row r="1836" spans="14:20" x14ac:dyDescent="0.25">
      <c r="N1836" s="362"/>
      <c r="R1836" s="210"/>
      <c r="S1836" s="232"/>
      <c r="T1836" s="270"/>
    </row>
    <row r="1837" spans="14:20" x14ac:dyDescent="0.25">
      <c r="N1837" s="362"/>
      <c r="R1837" s="210"/>
      <c r="S1837" s="232"/>
      <c r="T1837" s="270"/>
    </row>
    <row r="1838" spans="14:20" x14ac:dyDescent="0.25">
      <c r="N1838" s="362"/>
      <c r="R1838" s="210"/>
      <c r="S1838" s="232"/>
      <c r="T1838" s="270"/>
    </row>
    <row r="1839" spans="14:20" x14ac:dyDescent="0.25">
      <c r="N1839" s="362"/>
      <c r="R1839" s="210"/>
      <c r="S1839" s="232"/>
      <c r="T1839" s="270"/>
    </row>
    <row r="1840" spans="14:20" x14ac:dyDescent="0.25">
      <c r="N1840" s="362"/>
      <c r="R1840" s="210"/>
      <c r="S1840" s="232"/>
      <c r="T1840" s="270"/>
    </row>
    <row r="1841" spans="14:20" x14ac:dyDescent="0.25">
      <c r="N1841" s="362"/>
      <c r="R1841" s="210"/>
      <c r="S1841" s="232"/>
      <c r="T1841" s="270"/>
    </row>
    <row r="1842" spans="14:20" x14ac:dyDescent="0.25">
      <c r="N1842" s="362"/>
      <c r="R1842" s="210"/>
      <c r="S1842" s="232"/>
      <c r="T1842" s="270"/>
    </row>
    <row r="1843" spans="14:20" x14ac:dyDescent="0.25">
      <c r="N1843" s="362"/>
      <c r="R1843" s="210"/>
      <c r="S1843" s="232"/>
      <c r="T1843" s="270"/>
    </row>
    <row r="1844" spans="14:20" x14ac:dyDescent="0.25">
      <c r="N1844" s="362"/>
      <c r="R1844" s="210"/>
      <c r="S1844" s="232"/>
      <c r="T1844" s="270"/>
    </row>
    <row r="1845" spans="14:20" x14ac:dyDescent="0.25">
      <c r="N1845" s="362"/>
      <c r="R1845" s="210"/>
      <c r="S1845" s="232"/>
      <c r="T1845" s="270"/>
    </row>
    <row r="1846" spans="14:20" x14ac:dyDescent="0.25">
      <c r="N1846" s="362"/>
      <c r="R1846" s="210"/>
      <c r="S1846" s="232"/>
      <c r="T1846" s="270"/>
    </row>
    <row r="1847" spans="14:20" x14ac:dyDescent="0.25">
      <c r="N1847" s="362"/>
      <c r="R1847" s="210"/>
      <c r="S1847" s="232"/>
      <c r="T1847" s="270"/>
    </row>
    <row r="1848" spans="14:20" x14ac:dyDescent="0.25">
      <c r="N1848" s="362"/>
      <c r="R1848" s="210"/>
      <c r="S1848" s="232"/>
      <c r="T1848" s="270"/>
    </row>
    <row r="1849" spans="14:20" x14ac:dyDescent="0.25">
      <c r="N1849" s="362"/>
      <c r="R1849" s="210"/>
      <c r="S1849" s="232"/>
      <c r="T1849" s="270"/>
    </row>
    <row r="1850" spans="14:20" x14ac:dyDescent="0.25">
      <c r="N1850" s="362"/>
      <c r="R1850" s="210"/>
      <c r="S1850" s="232"/>
      <c r="T1850" s="270"/>
    </row>
    <row r="1851" spans="14:20" x14ac:dyDescent="0.25">
      <c r="N1851" s="362"/>
      <c r="R1851" s="210"/>
      <c r="S1851" s="232"/>
      <c r="T1851" s="270"/>
    </row>
    <row r="1852" spans="14:20" x14ac:dyDescent="0.25">
      <c r="N1852" s="362"/>
      <c r="R1852" s="210"/>
      <c r="S1852" s="232"/>
      <c r="T1852" s="270"/>
    </row>
    <row r="1853" spans="14:20" x14ac:dyDescent="0.25">
      <c r="N1853" s="362"/>
      <c r="R1853" s="210"/>
      <c r="S1853" s="232"/>
      <c r="T1853" s="270"/>
    </row>
    <row r="1854" spans="14:20" x14ac:dyDescent="0.25">
      <c r="N1854" s="362"/>
      <c r="R1854" s="210"/>
      <c r="S1854" s="232"/>
      <c r="T1854" s="270"/>
    </row>
    <row r="1855" spans="14:20" x14ac:dyDescent="0.25">
      <c r="N1855" s="362"/>
      <c r="R1855" s="210"/>
      <c r="S1855" s="232"/>
      <c r="T1855" s="270"/>
    </row>
    <row r="1856" spans="14:20" x14ac:dyDescent="0.25">
      <c r="N1856" s="362"/>
      <c r="R1856" s="210"/>
      <c r="S1856" s="232"/>
      <c r="T1856" s="270"/>
    </row>
    <row r="1857" spans="14:20" x14ac:dyDescent="0.25">
      <c r="N1857" s="362"/>
      <c r="R1857" s="210"/>
      <c r="S1857" s="232"/>
      <c r="T1857" s="270"/>
    </row>
    <row r="1858" spans="14:20" x14ac:dyDescent="0.25">
      <c r="N1858" s="362"/>
      <c r="R1858" s="210"/>
      <c r="S1858" s="232"/>
      <c r="T1858" s="270"/>
    </row>
    <row r="1859" spans="14:20" x14ac:dyDescent="0.25">
      <c r="N1859" s="362"/>
      <c r="R1859" s="210"/>
      <c r="S1859" s="232"/>
      <c r="T1859" s="270"/>
    </row>
    <row r="1860" spans="14:20" x14ac:dyDescent="0.25">
      <c r="N1860" s="362"/>
      <c r="R1860" s="210"/>
      <c r="S1860" s="232"/>
      <c r="T1860" s="270"/>
    </row>
    <row r="1861" spans="14:20" x14ac:dyDescent="0.25">
      <c r="N1861" s="362"/>
      <c r="R1861" s="210"/>
      <c r="S1861" s="232"/>
      <c r="T1861" s="270"/>
    </row>
    <row r="1862" spans="14:20" x14ac:dyDescent="0.25">
      <c r="N1862" s="362"/>
      <c r="R1862" s="210"/>
      <c r="S1862" s="232"/>
      <c r="T1862" s="270"/>
    </row>
    <row r="1863" spans="14:20" x14ac:dyDescent="0.25">
      <c r="N1863" s="362"/>
      <c r="R1863" s="210"/>
      <c r="S1863" s="232"/>
      <c r="T1863" s="270"/>
    </row>
    <row r="1864" spans="14:20" x14ac:dyDescent="0.25">
      <c r="N1864" s="362"/>
      <c r="R1864" s="210"/>
      <c r="S1864" s="232"/>
      <c r="T1864" s="270"/>
    </row>
    <row r="1865" spans="14:20" x14ac:dyDescent="0.25">
      <c r="N1865" s="362"/>
      <c r="R1865" s="210"/>
      <c r="S1865" s="232"/>
      <c r="T1865" s="270"/>
    </row>
    <row r="1866" spans="14:20" x14ac:dyDescent="0.25">
      <c r="N1866" s="362"/>
      <c r="R1866" s="210"/>
      <c r="S1866" s="232"/>
      <c r="T1866" s="270"/>
    </row>
    <row r="1867" spans="14:20" x14ac:dyDescent="0.25">
      <c r="N1867" s="362"/>
      <c r="R1867" s="210"/>
      <c r="S1867" s="232"/>
      <c r="T1867" s="270"/>
    </row>
    <row r="1868" spans="14:20" x14ac:dyDescent="0.25">
      <c r="N1868" s="362"/>
      <c r="R1868" s="210"/>
      <c r="S1868" s="232"/>
      <c r="T1868" s="270"/>
    </row>
    <row r="1869" spans="14:20" x14ac:dyDescent="0.25">
      <c r="N1869" s="362"/>
      <c r="R1869" s="210"/>
      <c r="S1869" s="232"/>
      <c r="T1869" s="270"/>
    </row>
    <row r="1870" spans="14:20" x14ac:dyDescent="0.25">
      <c r="N1870" s="362"/>
      <c r="R1870" s="210"/>
      <c r="S1870" s="232"/>
      <c r="T1870" s="270"/>
    </row>
    <row r="1871" spans="14:20" x14ac:dyDescent="0.25">
      <c r="N1871" s="362"/>
      <c r="R1871" s="210"/>
      <c r="S1871" s="232"/>
      <c r="T1871" s="270"/>
    </row>
    <row r="1872" spans="14:20" x14ac:dyDescent="0.25">
      <c r="N1872" s="362"/>
      <c r="R1872" s="210"/>
      <c r="S1872" s="232"/>
      <c r="T1872" s="270"/>
    </row>
    <row r="1873" spans="14:20" x14ac:dyDescent="0.25">
      <c r="N1873" s="362"/>
      <c r="R1873" s="210"/>
      <c r="S1873" s="232"/>
      <c r="T1873" s="270"/>
    </row>
    <row r="1874" spans="14:20" x14ac:dyDescent="0.25">
      <c r="N1874" s="362"/>
      <c r="R1874" s="210"/>
      <c r="S1874" s="232"/>
      <c r="T1874" s="270"/>
    </row>
    <row r="1875" spans="14:20" x14ac:dyDescent="0.25">
      <c r="N1875" s="362"/>
      <c r="R1875" s="210"/>
      <c r="S1875" s="232"/>
      <c r="T1875" s="270"/>
    </row>
    <row r="1876" spans="14:20" x14ac:dyDescent="0.25">
      <c r="N1876" s="362"/>
      <c r="R1876" s="210"/>
      <c r="S1876" s="232"/>
      <c r="T1876" s="270"/>
    </row>
    <row r="1877" spans="14:20" x14ac:dyDescent="0.25">
      <c r="N1877" s="362"/>
      <c r="R1877" s="210"/>
      <c r="S1877" s="232"/>
      <c r="T1877" s="270"/>
    </row>
    <row r="1878" spans="14:20" x14ac:dyDescent="0.25">
      <c r="N1878" s="362"/>
      <c r="R1878" s="210"/>
      <c r="S1878" s="232"/>
      <c r="T1878" s="270"/>
    </row>
    <row r="1879" spans="14:20" x14ac:dyDescent="0.25">
      <c r="N1879" s="362"/>
      <c r="R1879" s="210"/>
      <c r="S1879" s="232"/>
      <c r="T1879" s="270"/>
    </row>
    <row r="1880" spans="14:20" x14ac:dyDescent="0.25">
      <c r="N1880" s="362"/>
      <c r="R1880" s="210"/>
      <c r="S1880" s="232"/>
      <c r="T1880" s="270"/>
    </row>
    <row r="1881" spans="14:20" x14ac:dyDescent="0.25">
      <c r="N1881" s="362"/>
      <c r="R1881" s="210"/>
      <c r="S1881" s="232"/>
      <c r="T1881" s="270"/>
    </row>
    <row r="1882" spans="14:20" x14ac:dyDescent="0.25">
      <c r="N1882" s="362"/>
      <c r="R1882" s="210"/>
      <c r="S1882" s="232"/>
      <c r="T1882" s="270"/>
    </row>
    <row r="1883" spans="14:20" x14ac:dyDescent="0.25">
      <c r="N1883" s="362"/>
      <c r="R1883" s="210"/>
      <c r="S1883" s="232"/>
      <c r="T1883" s="270"/>
    </row>
    <row r="1884" spans="14:20" x14ac:dyDescent="0.25">
      <c r="N1884" s="362"/>
      <c r="R1884" s="210"/>
      <c r="S1884" s="232"/>
      <c r="T1884" s="270"/>
    </row>
    <row r="1885" spans="14:20" x14ac:dyDescent="0.25">
      <c r="N1885" s="362"/>
      <c r="R1885" s="210"/>
      <c r="S1885" s="232"/>
      <c r="T1885" s="270"/>
    </row>
    <row r="1886" spans="14:20" x14ac:dyDescent="0.25">
      <c r="N1886" s="362"/>
      <c r="R1886" s="210"/>
      <c r="S1886" s="232"/>
      <c r="T1886" s="270"/>
    </row>
    <row r="1887" spans="14:20" x14ac:dyDescent="0.25">
      <c r="N1887" s="362"/>
      <c r="R1887" s="210"/>
      <c r="S1887" s="232"/>
      <c r="T1887" s="270"/>
    </row>
    <row r="1888" spans="14:20" x14ac:dyDescent="0.25">
      <c r="N1888" s="362"/>
      <c r="R1888" s="210"/>
      <c r="S1888" s="232"/>
      <c r="T1888" s="270"/>
    </row>
    <row r="1889" spans="14:20" x14ac:dyDescent="0.25">
      <c r="N1889" s="362"/>
      <c r="R1889" s="210"/>
      <c r="S1889" s="232"/>
      <c r="T1889" s="270"/>
    </row>
    <row r="1890" spans="14:20" x14ac:dyDescent="0.25">
      <c r="N1890" s="362"/>
      <c r="R1890" s="210"/>
      <c r="S1890" s="232"/>
      <c r="T1890" s="270"/>
    </row>
    <row r="1891" spans="14:20" x14ac:dyDescent="0.25">
      <c r="N1891" s="362"/>
      <c r="R1891" s="210"/>
      <c r="S1891" s="232"/>
      <c r="T1891" s="270"/>
    </row>
    <row r="1892" spans="14:20" x14ac:dyDescent="0.25">
      <c r="N1892" s="362"/>
      <c r="R1892" s="210"/>
      <c r="S1892" s="232"/>
      <c r="T1892" s="270"/>
    </row>
    <row r="1893" spans="14:20" x14ac:dyDescent="0.25">
      <c r="N1893" s="362"/>
      <c r="R1893" s="210"/>
      <c r="S1893" s="232"/>
      <c r="T1893" s="270"/>
    </row>
    <row r="1894" spans="14:20" x14ac:dyDescent="0.25">
      <c r="N1894" s="362"/>
      <c r="R1894" s="210"/>
      <c r="S1894" s="232"/>
      <c r="T1894" s="270"/>
    </row>
    <row r="1895" spans="14:20" x14ac:dyDescent="0.25">
      <c r="N1895" s="362"/>
      <c r="R1895" s="210"/>
      <c r="S1895" s="232"/>
      <c r="T1895" s="270"/>
    </row>
    <row r="1896" spans="14:20" x14ac:dyDescent="0.25">
      <c r="N1896" s="362"/>
      <c r="R1896" s="210"/>
      <c r="S1896" s="232"/>
      <c r="T1896" s="270"/>
    </row>
    <row r="1897" spans="14:20" x14ac:dyDescent="0.25">
      <c r="N1897" s="362"/>
      <c r="R1897" s="210"/>
      <c r="S1897" s="232"/>
      <c r="T1897" s="270"/>
    </row>
    <row r="1898" spans="14:20" x14ac:dyDescent="0.25">
      <c r="N1898" s="362"/>
      <c r="R1898" s="210"/>
      <c r="S1898" s="232"/>
      <c r="T1898" s="270"/>
    </row>
    <row r="1899" spans="14:20" x14ac:dyDescent="0.25">
      <c r="N1899" s="362"/>
      <c r="R1899" s="210"/>
      <c r="S1899" s="232"/>
      <c r="T1899" s="270"/>
    </row>
    <row r="1900" spans="14:20" x14ac:dyDescent="0.25">
      <c r="N1900" s="362"/>
      <c r="R1900" s="210"/>
      <c r="S1900" s="232"/>
      <c r="T1900" s="270"/>
    </row>
    <row r="1901" spans="14:20" x14ac:dyDescent="0.25">
      <c r="N1901" s="362"/>
      <c r="R1901" s="210"/>
      <c r="S1901" s="232"/>
      <c r="T1901" s="270"/>
    </row>
    <row r="1902" spans="14:20" x14ac:dyDescent="0.25">
      <c r="N1902" s="362"/>
      <c r="R1902" s="210"/>
      <c r="S1902" s="232"/>
      <c r="T1902" s="270"/>
    </row>
    <row r="1903" spans="14:20" x14ac:dyDescent="0.25">
      <c r="N1903" s="362"/>
      <c r="R1903" s="210"/>
      <c r="S1903" s="232"/>
      <c r="T1903" s="270"/>
    </row>
    <row r="1904" spans="14:20" x14ac:dyDescent="0.25">
      <c r="N1904" s="362"/>
      <c r="R1904" s="210"/>
      <c r="S1904" s="232"/>
      <c r="T1904" s="270"/>
    </row>
    <row r="1905" spans="14:20" x14ac:dyDescent="0.25">
      <c r="N1905" s="362"/>
      <c r="R1905" s="210"/>
      <c r="S1905" s="232"/>
      <c r="T1905" s="270"/>
    </row>
    <row r="1906" spans="14:20" x14ac:dyDescent="0.25">
      <c r="N1906" s="362"/>
      <c r="R1906" s="210"/>
      <c r="S1906" s="232"/>
      <c r="T1906" s="270"/>
    </row>
    <row r="1907" spans="14:20" x14ac:dyDescent="0.25">
      <c r="N1907" s="362"/>
      <c r="R1907" s="210"/>
      <c r="S1907" s="232"/>
      <c r="T1907" s="270"/>
    </row>
    <row r="1908" spans="14:20" x14ac:dyDescent="0.25">
      <c r="N1908" s="362"/>
      <c r="R1908" s="210"/>
      <c r="S1908" s="232"/>
      <c r="T1908" s="270"/>
    </row>
    <row r="1909" spans="14:20" x14ac:dyDescent="0.25">
      <c r="N1909" s="362"/>
      <c r="R1909" s="210"/>
      <c r="S1909" s="232"/>
      <c r="T1909" s="270"/>
    </row>
    <row r="1910" spans="14:20" x14ac:dyDescent="0.25">
      <c r="N1910" s="362"/>
      <c r="R1910" s="210"/>
      <c r="S1910" s="232"/>
      <c r="T1910" s="270"/>
    </row>
    <row r="1911" spans="14:20" x14ac:dyDescent="0.25">
      <c r="N1911" s="362"/>
      <c r="R1911" s="210"/>
      <c r="S1911" s="232"/>
      <c r="T1911" s="270"/>
    </row>
    <row r="1912" spans="14:20" x14ac:dyDescent="0.25">
      <c r="N1912" s="362"/>
      <c r="R1912" s="210"/>
      <c r="S1912" s="232"/>
      <c r="T1912" s="270"/>
    </row>
    <row r="1913" spans="14:20" x14ac:dyDescent="0.25">
      <c r="N1913" s="362"/>
      <c r="R1913" s="210"/>
      <c r="S1913" s="232"/>
      <c r="T1913" s="270"/>
    </row>
    <row r="1914" spans="14:20" x14ac:dyDescent="0.25">
      <c r="N1914" s="362"/>
      <c r="R1914" s="210"/>
      <c r="S1914" s="232"/>
      <c r="T1914" s="270"/>
    </row>
    <row r="1915" spans="14:20" x14ac:dyDescent="0.25">
      <c r="N1915" s="362"/>
      <c r="R1915" s="210"/>
      <c r="S1915" s="232"/>
      <c r="T1915" s="270"/>
    </row>
    <row r="1916" spans="14:20" x14ac:dyDescent="0.25">
      <c r="N1916" s="362"/>
      <c r="R1916" s="210"/>
      <c r="S1916" s="232"/>
      <c r="T1916" s="270"/>
    </row>
    <row r="1917" spans="14:20" x14ac:dyDescent="0.25">
      <c r="N1917" s="362"/>
      <c r="R1917" s="210"/>
      <c r="S1917" s="232"/>
      <c r="T1917" s="270"/>
    </row>
    <row r="1918" spans="14:20" x14ac:dyDescent="0.25">
      <c r="N1918" s="362"/>
      <c r="R1918" s="210"/>
      <c r="S1918" s="232"/>
      <c r="T1918" s="270"/>
    </row>
    <row r="1919" spans="14:20" x14ac:dyDescent="0.25">
      <c r="N1919" s="362"/>
      <c r="R1919" s="210"/>
      <c r="S1919" s="232"/>
      <c r="T1919" s="270"/>
    </row>
    <row r="1920" spans="14:20" x14ac:dyDescent="0.25">
      <c r="N1920" s="362"/>
      <c r="R1920" s="210"/>
      <c r="S1920" s="232"/>
      <c r="T1920" s="270"/>
    </row>
    <row r="1921" spans="14:20" x14ac:dyDescent="0.25">
      <c r="N1921" s="362"/>
      <c r="R1921" s="210"/>
      <c r="S1921" s="232"/>
      <c r="T1921" s="270"/>
    </row>
    <row r="1922" spans="14:20" x14ac:dyDescent="0.25">
      <c r="N1922" s="362"/>
      <c r="R1922" s="210"/>
      <c r="S1922" s="232"/>
      <c r="T1922" s="270"/>
    </row>
    <row r="1923" spans="14:20" x14ac:dyDescent="0.25">
      <c r="N1923" s="362"/>
      <c r="R1923" s="210"/>
      <c r="S1923" s="232"/>
      <c r="T1923" s="270"/>
    </row>
    <row r="1924" spans="14:20" x14ac:dyDescent="0.25">
      <c r="N1924" s="362"/>
      <c r="R1924" s="210"/>
      <c r="S1924" s="232"/>
      <c r="T1924" s="270"/>
    </row>
    <row r="1925" spans="14:20" x14ac:dyDescent="0.25">
      <c r="N1925" s="362"/>
      <c r="R1925" s="210"/>
      <c r="S1925" s="232"/>
      <c r="T1925" s="270"/>
    </row>
    <row r="1926" spans="14:20" x14ac:dyDescent="0.25">
      <c r="N1926" s="362"/>
      <c r="R1926" s="210"/>
      <c r="S1926" s="232"/>
      <c r="T1926" s="270"/>
    </row>
    <row r="1927" spans="14:20" x14ac:dyDescent="0.25">
      <c r="N1927" s="362"/>
      <c r="R1927" s="210"/>
      <c r="S1927" s="232"/>
      <c r="T1927" s="270"/>
    </row>
    <row r="1928" spans="14:20" x14ac:dyDescent="0.25">
      <c r="N1928" s="362"/>
      <c r="R1928" s="210"/>
      <c r="S1928" s="232"/>
      <c r="T1928" s="270"/>
    </row>
    <row r="1929" spans="14:20" x14ac:dyDescent="0.25">
      <c r="N1929" s="362"/>
      <c r="R1929" s="210"/>
      <c r="S1929" s="232"/>
      <c r="T1929" s="270"/>
    </row>
    <row r="1930" spans="14:20" x14ac:dyDescent="0.25">
      <c r="N1930" s="362"/>
      <c r="R1930" s="210"/>
      <c r="S1930" s="232"/>
      <c r="T1930" s="270"/>
    </row>
    <row r="1931" spans="14:20" x14ac:dyDescent="0.25">
      <c r="N1931" s="362"/>
      <c r="R1931" s="210"/>
      <c r="S1931" s="232"/>
      <c r="T1931" s="270"/>
    </row>
    <row r="1932" spans="14:20" x14ac:dyDescent="0.25">
      <c r="N1932" s="362"/>
      <c r="R1932" s="210"/>
      <c r="S1932" s="232"/>
      <c r="T1932" s="270"/>
    </row>
    <row r="1933" spans="14:20" x14ac:dyDescent="0.25">
      <c r="N1933" s="362"/>
      <c r="R1933" s="210"/>
      <c r="S1933" s="232"/>
      <c r="T1933" s="270"/>
    </row>
    <row r="1934" spans="14:20" x14ac:dyDescent="0.25">
      <c r="N1934" s="362"/>
      <c r="R1934" s="210"/>
      <c r="S1934" s="232"/>
      <c r="T1934" s="270"/>
    </row>
    <row r="1935" spans="14:20" x14ac:dyDescent="0.25">
      <c r="N1935" s="362"/>
      <c r="R1935" s="210"/>
      <c r="S1935" s="232"/>
      <c r="T1935" s="270"/>
    </row>
    <row r="1936" spans="14:20" x14ac:dyDescent="0.25">
      <c r="N1936" s="362"/>
      <c r="R1936" s="210"/>
      <c r="S1936" s="232"/>
      <c r="T1936" s="270"/>
    </row>
    <row r="1937" spans="14:20" x14ac:dyDescent="0.25">
      <c r="N1937" s="362"/>
      <c r="R1937" s="210"/>
      <c r="S1937" s="232"/>
      <c r="T1937" s="270"/>
    </row>
    <row r="1938" spans="14:20" x14ac:dyDescent="0.25">
      <c r="N1938" s="362"/>
      <c r="R1938" s="210"/>
      <c r="S1938" s="232"/>
      <c r="T1938" s="270"/>
    </row>
    <row r="1939" spans="14:20" x14ac:dyDescent="0.25">
      <c r="N1939" s="362"/>
      <c r="R1939" s="210"/>
      <c r="S1939" s="232"/>
      <c r="T1939" s="270"/>
    </row>
    <row r="1940" spans="14:20" x14ac:dyDescent="0.25">
      <c r="N1940" s="362"/>
      <c r="R1940" s="210"/>
      <c r="S1940" s="232"/>
      <c r="T1940" s="270"/>
    </row>
    <row r="1941" spans="14:20" x14ac:dyDescent="0.25">
      <c r="N1941" s="362"/>
      <c r="R1941" s="210"/>
      <c r="S1941" s="232"/>
      <c r="T1941" s="270"/>
    </row>
    <row r="1942" spans="14:20" x14ac:dyDescent="0.25">
      <c r="N1942" s="362"/>
      <c r="R1942" s="210"/>
      <c r="S1942" s="232"/>
      <c r="T1942" s="270"/>
    </row>
    <row r="1943" spans="14:20" x14ac:dyDescent="0.25">
      <c r="N1943" s="362"/>
      <c r="R1943" s="210"/>
      <c r="S1943" s="232"/>
      <c r="T1943" s="270"/>
    </row>
    <row r="1944" spans="14:20" x14ac:dyDescent="0.25">
      <c r="N1944" s="362"/>
      <c r="R1944" s="210"/>
      <c r="S1944" s="232"/>
      <c r="T1944" s="270"/>
    </row>
    <row r="1945" spans="14:20" x14ac:dyDescent="0.25">
      <c r="N1945" s="362"/>
      <c r="R1945" s="210"/>
      <c r="S1945" s="232"/>
      <c r="T1945" s="270"/>
    </row>
    <row r="1946" spans="14:20" x14ac:dyDescent="0.25">
      <c r="N1946" s="362"/>
      <c r="R1946" s="210"/>
      <c r="S1946" s="232"/>
      <c r="T1946" s="270"/>
    </row>
    <row r="1947" spans="14:20" x14ac:dyDescent="0.25">
      <c r="N1947" s="362"/>
      <c r="R1947" s="210"/>
      <c r="S1947" s="232"/>
      <c r="T1947" s="270"/>
    </row>
    <row r="1948" spans="14:20" x14ac:dyDescent="0.25">
      <c r="N1948" s="362"/>
      <c r="R1948" s="210"/>
      <c r="S1948" s="232"/>
      <c r="T1948" s="270"/>
    </row>
    <row r="1949" spans="14:20" x14ac:dyDescent="0.25">
      <c r="N1949" s="362"/>
      <c r="R1949" s="210"/>
      <c r="S1949" s="232"/>
      <c r="T1949" s="270"/>
    </row>
    <row r="1950" spans="14:20" x14ac:dyDescent="0.25">
      <c r="N1950" s="362"/>
      <c r="R1950" s="210"/>
      <c r="S1950" s="232"/>
      <c r="T1950" s="270"/>
    </row>
    <row r="1951" spans="14:20" x14ac:dyDescent="0.25">
      <c r="N1951" s="362"/>
      <c r="R1951" s="210"/>
      <c r="S1951" s="232"/>
      <c r="T1951" s="270"/>
    </row>
    <row r="1952" spans="14:20" x14ac:dyDescent="0.25">
      <c r="N1952" s="362"/>
      <c r="R1952" s="210"/>
      <c r="S1952" s="232"/>
      <c r="T1952" s="270"/>
    </row>
    <row r="1953" spans="14:20" x14ac:dyDescent="0.25">
      <c r="N1953" s="362"/>
      <c r="R1953" s="210"/>
      <c r="S1953" s="232"/>
      <c r="T1953" s="270"/>
    </row>
    <row r="1954" spans="14:20" x14ac:dyDescent="0.25">
      <c r="N1954" s="362"/>
      <c r="R1954" s="210"/>
      <c r="S1954" s="232"/>
      <c r="T1954" s="270"/>
    </row>
    <row r="1955" spans="14:20" x14ac:dyDescent="0.25">
      <c r="N1955" s="362"/>
      <c r="R1955" s="210"/>
      <c r="S1955" s="232"/>
      <c r="T1955" s="270"/>
    </row>
    <row r="1956" spans="14:20" x14ac:dyDescent="0.25">
      <c r="N1956" s="362"/>
      <c r="R1956" s="210"/>
      <c r="S1956" s="232"/>
      <c r="T1956" s="270"/>
    </row>
    <row r="1957" spans="14:20" x14ac:dyDescent="0.25">
      <c r="N1957" s="362"/>
      <c r="R1957" s="210"/>
      <c r="S1957" s="232"/>
      <c r="T1957" s="270"/>
    </row>
    <row r="1958" spans="14:20" x14ac:dyDescent="0.25">
      <c r="N1958" s="362"/>
      <c r="R1958" s="210"/>
      <c r="S1958" s="232"/>
      <c r="T1958" s="270"/>
    </row>
    <row r="1959" spans="14:20" x14ac:dyDescent="0.25">
      <c r="N1959" s="362"/>
      <c r="R1959" s="210"/>
      <c r="S1959" s="232"/>
      <c r="T1959" s="270"/>
    </row>
    <row r="1960" spans="14:20" x14ac:dyDescent="0.25">
      <c r="N1960" s="362"/>
      <c r="R1960" s="210"/>
      <c r="S1960" s="232"/>
      <c r="T1960" s="270"/>
    </row>
    <row r="1961" spans="14:20" x14ac:dyDescent="0.25">
      <c r="N1961" s="362"/>
      <c r="R1961" s="210"/>
      <c r="S1961" s="232"/>
      <c r="T1961" s="270"/>
    </row>
    <row r="1962" spans="14:20" x14ac:dyDescent="0.25">
      <c r="N1962" s="362"/>
      <c r="R1962" s="210"/>
      <c r="S1962" s="232"/>
      <c r="T1962" s="270"/>
    </row>
    <row r="1963" spans="14:20" x14ac:dyDescent="0.25">
      <c r="N1963" s="362"/>
      <c r="R1963" s="210"/>
      <c r="S1963" s="232"/>
      <c r="T1963" s="270"/>
    </row>
    <row r="1964" spans="14:20" x14ac:dyDescent="0.25">
      <c r="N1964" s="362"/>
      <c r="R1964" s="210"/>
      <c r="S1964" s="232"/>
      <c r="T1964" s="270"/>
    </row>
    <row r="1965" spans="14:20" x14ac:dyDescent="0.25">
      <c r="N1965" s="362"/>
      <c r="R1965" s="210"/>
      <c r="S1965" s="232"/>
      <c r="T1965" s="270"/>
    </row>
    <row r="1966" spans="14:20" x14ac:dyDescent="0.25">
      <c r="N1966" s="362"/>
      <c r="R1966" s="210"/>
      <c r="S1966" s="232"/>
      <c r="T1966" s="270"/>
    </row>
    <row r="1967" spans="14:20" x14ac:dyDescent="0.25">
      <c r="N1967" s="362"/>
      <c r="R1967" s="210"/>
      <c r="S1967" s="232"/>
      <c r="T1967" s="270"/>
    </row>
    <row r="1968" spans="14:20" x14ac:dyDescent="0.25">
      <c r="N1968" s="362"/>
      <c r="R1968" s="210"/>
      <c r="S1968" s="232"/>
      <c r="T1968" s="270"/>
    </row>
    <row r="1969" spans="14:20" x14ac:dyDescent="0.25">
      <c r="N1969" s="362"/>
      <c r="R1969" s="210"/>
      <c r="S1969" s="232"/>
      <c r="T1969" s="270"/>
    </row>
    <row r="1970" spans="14:20" x14ac:dyDescent="0.25">
      <c r="N1970" s="362"/>
      <c r="R1970" s="210"/>
      <c r="S1970" s="232"/>
      <c r="T1970" s="270"/>
    </row>
    <row r="1971" spans="14:20" x14ac:dyDescent="0.25">
      <c r="N1971" s="362"/>
      <c r="R1971" s="210"/>
      <c r="S1971" s="232"/>
      <c r="T1971" s="270"/>
    </row>
    <row r="1972" spans="14:20" x14ac:dyDescent="0.25">
      <c r="N1972" s="362"/>
      <c r="R1972" s="210"/>
      <c r="S1972" s="232"/>
      <c r="T1972" s="270"/>
    </row>
    <row r="1973" spans="14:20" x14ac:dyDescent="0.25">
      <c r="N1973" s="362"/>
      <c r="R1973" s="210"/>
      <c r="S1973" s="232"/>
      <c r="T1973" s="270"/>
    </row>
    <row r="1974" spans="14:20" x14ac:dyDescent="0.25">
      <c r="N1974" s="362"/>
      <c r="R1974" s="210"/>
      <c r="S1974" s="232"/>
      <c r="T1974" s="270"/>
    </row>
    <row r="1975" spans="14:20" x14ac:dyDescent="0.25">
      <c r="N1975" s="362"/>
      <c r="R1975" s="210"/>
      <c r="S1975" s="232"/>
      <c r="T1975" s="270"/>
    </row>
    <row r="1976" spans="14:20" x14ac:dyDescent="0.25">
      <c r="N1976" s="362"/>
      <c r="R1976" s="210"/>
      <c r="S1976" s="232"/>
      <c r="T1976" s="270"/>
    </row>
    <row r="1977" spans="14:20" x14ac:dyDescent="0.25">
      <c r="N1977" s="362"/>
      <c r="R1977" s="210"/>
      <c r="S1977" s="232"/>
      <c r="T1977" s="270"/>
    </row>
    <row r="1978" spans="14:20" x14ac:dyDescent="0.25">
      <c r="N1978" s="362"/>
      <c r="R1978" s="210"/>
      <c r="S1978" s="232"/>
      <c r="T1978" s="270"/>
    </row>
    <row r="1979" spans="14:20" x14ac:dyDescent="0.25">
      <c r="N1979" s="362"/>
      <c r="R1979" s="210"/>
      <c r="S1979" s="232"/>
      <c r="T1979" s="270"/>
    </row>
    <row r="1980" spans="14:20" x14ac:dyDescent="0.25">
      <c r="N1980" s="362"/>
      <c r="R1980" s="210"/>
      <c r="S1980" s="232"/>
      <c r="T1980" s="270"/>
    </row>
    <row r="1981" spans="14:20" x14ac:dyDescent="0.25">
      <c r="N1981" s="362"/>
      <c r="R1981" s="210"/>
      <c r="S1981" s="232"/>
      <c r="T1981" s="270"/>
    </row>
    <row r="1982" spans="14:20" x14ac:dyDescent="0.25">
      <c r="N1982" s="362"/>
      <c r="R1982" s="210"/>
      <c r="S1982" s="232"/>
      <c r="T1982" s="270"/>
    </row>
    <row r="1983" spans="14:20" x14ac:dyDescent="0.25">
      <c r="N1983" s="362"/>
      <c r="R1983" s="210"/>
      <c r="S1983" s="232"/>
      <c r="T1983" s="270"/>
    </row>
    <row r="1984" spans="14:20" x14ac:dyDescent="0.25">
      <c r="N1984" s="362"/>
      <c r="R1984" s="210"/>
      <c r="S1984" s="232"/>
      <c r="T1984" s="270"/>
    </row>
    <row r="1985" spans="14:20" x14ac:dyDescent="0.25">
      <c r="N1985" s="362"/>
      <c r="R1985" s="210"/>
      <c r="S1985" s="232"/>
      <c r="T1985" s="270"/>
    </row>
    <row r="1986" spans="14:20" x14ac:dyDescent="0.25">
      <c r="N1986" s="362"/>
      <c r="R1986" s="210"/>
      <c r="S1986" s="232"/>
      <c r="T1986" s="270"/>
    </row>
    <row r="1987" spans="14:20" x14ac:dyDescent="0.25">
      <c r="N1987" s="362"/>
      <c r="R1987" s="210"/>
      <c r="S1987" s="232"/>
      <c r="T1987" s="270"/>
    </row>
    <row r="1988" spans="14:20" x14ac:dyDescent="0.25">
      <c r="N1988" s="362"/>
      <c r="R1988" s="210"/>
      <c r="S1988" s="232"/>
      <c r="T1988" s="270"/>
    </row>
    <row r="1989" spans="14:20" x14ac:dyDescent="0.25">
      <c r="N1989" s="362"/>
      <c r="R1989" s="210"/>
      <c r="S1989" s="232"/>
      <c r="T1989" s="270"/>
    </row>
    <row r="1990" spans="14:20" x14ac:dyDescent="0.25">
      <c r="N1990" s="362"/>
      <c r="R1990" s="210"/>
      <c r="S1990" s="232"/>
      <c r="T1990" s="270"/>
    </row>
    <row r="1991" spans="14:20" x14ac:dyDescent="0.25">
      <c r="N1991" s="362"/>
      <c r="R1991" s="210"/>
      <c r="S1991" s="232"/>
      <c r="T1991" s="270"/>
    </row>
    <row r="1992" spans="14:20" x14ac:dyDescent="0.25">
      <c r="N1992" s="362"/>
      <c r="R1992" s="210"/>
      <c r="S1992" s="232"/>
      <c r="T1992" s="270"/>
    </row>
    <row r="1993" spans="14:20" x14ac:dyDescent="0.25">
      <c r="N1993" s="362"/>
      <c r="R1993" s="210"/>
      <c r="S1993" s="232"/>
      <c r="T1993" s="270"/>
    </row>
    <row r="1994" spans="14:20" x14ac:dyDescent="0.25">
      <c r="N1994" s="362"/>
      <c r="R1994" s="210"/>
      <c r="S1994" s="232"/>
      <c r="T1994" s="270"/>
    </row>
    <row r="1995" spans="14:20" x14ac:dyDescent="0.25">
      <c r="N1995" s="362"/>
      <c r="R1995" s="210"/>
      <c r="S1995" s="232"/>
      <c r="T1995" s="270"/>
    </row>
    <row r="1996" spans="14:20" x14ac:dyDescent="0.25">
      <c r="N1996" s="362"/>
      <c r="R1996" s="210"/>
      <c r="S1996" s="232"/>
      <c r="T1996" s="270"/>
    </row>
    <row r="1997" spans="14:20" x14ac:dyDescent="0.25">
      <c r="N1997" s="362"/>
      <c r="R1997" s="210"/>
      <c r="S1997" s="232"/>
      <c r="T1997" s="270"/>
    </row>
    <row r="1998" spans="14:20" x14ac:dyDescent="0.25">
      <c r="N1998" s="362"/>
      <c r="R1998" s="210"/>
      <c r="S1998" s="232"/>
      <c r="T1998" s="270"/>
    </row>
    <row r="1999" spans="14:20" x14ac:dyDescent="0.25">
      <c r="N1999" s="362"/>
      <c r="R1999" s="210"/>
      <c r="S1999" s="232"/>
      <c r="T1999" s="270"/>
    </row>
    <row r="2000" spans="14:20" x14ac:dyDescent="0.25">
      <c r="N2000" s="362"/>
      <c r="R2000" s="210"/>
      <c r="S2000" s="232"/>
      <c r="T2000" s="270"/>
    </row>
    <row r="2001" spans="14:20" x14ac:dyDescent="0.25">
      <c r="N2001" s="362"/>
      <c r="R2001" s="210"/>
      <c r="S2001" s="232"/>
      <c r="T2001" s="270"/>
    </row>
    <row r="2002" spans="14:20" x14ac:dyDescent="0.25">
      <c r="N2002" s="362"/>
      <c r="R2002" s="210"/>
      <c r="S2002" s="232"/>
      <c r="T2002" s="270"/>
    </row>
    <row r="2003" spans="14:20" x14ac:dyDescent="0.25">
      <c r="N2003" s="362"/>
      <c r="R2003" s="210"/>
      <c r="S2003" s="232"/>
      <c r="T2003" s="270"/>
    </row>
    <row r="2004" spans="14:20" x14ac:dyDescent="0.25">
      <c r="N2004" s="362"/>
      <c r="R2004" s="210"/>
      <c r="S2004" s="232"/>
      <c r="T2004" s="270"/>
    </row>
    <row r="2005" spans="14:20" x14ac:dyDescent="0.25">
      <c r="N2005" s="362"/>
      <c r="R2005" s="210"/>
      <c r="S2005" s="232"/>
      <c r="T2005" s="270"/>
    </row>
    <row r="2006" spans="14:20" x14ac:dyDescent="0.25">
      <c r="N2006" s="362"/>
      <c r="R2006" s="210"/>
      <c r="S2006" s="232"/>
      <c r="T2006" s="270"/>
    </row>
    <row r="2007" spans="14:20" x14ac:dyDescent="0.25">
      <c r="N2007" s="362"/>
      <c r="R2007" s="210"/>
      <c r="S2007" s="232"/>
      <c r="T2007" s="270"/>
    </row>
    <row r="2008" spans="14:20" x14ac:dyDescent="0.25">
      <c r="N2008" s="362"/>
      <c r="R2008" s="210"/>
      <c r="S2008" s="232"/>
      <c r="T2008" s="270"/>
    </row>
    <row r="2009" spans="14:20" x14ac:dyDescent="0.25">
      <c r="N2009" s="362"/>
      <c r="R2009" s="210"/>
      <c r="S2009" s="232"/>
      <c r="T2009" s="270"/>
    </row>
    <row r="2010" spans="14:20" x14ac:dyDescent="0.25">
      <c r="N2010" s="362"/>
      <c r="R2010" s="210"/>
      <c r="S2010" s="232"/>
      <c r="T2010" s="270"/>
    </row>
    <row r="2011" spans="14:20" x14ac:dyDescent="0.25">
      <c r="N2011" s="362"/>
      <c r="R2011" s="210"/>
      <c r="S2011" s="232"/>
      <c r="T2011" s="270"/>
    </row>
    <row r="2012" spans="14:20" x14ac:dyDescent="0.25">
      <c r="N2012" s="362"/>
      <c r="R2012" s="210"/>
      <c r="S2012" s="232"/>
      <c r="T2012" s="270"/>
    </row>
    <row r="2013" spans="14:20" x14ac:dyDescent="0.25">
      <c r="N2013" s="362"/>
      <c r="R2013" s="210"/>
      <c r="S2013" s="232"/>
      <c r="T2013" s="270"/>
    </row>
    <row r="2014" spans="14:20" x14ac:dyDescent="0.25">
      <c r="N2014" s="362"/>
      <c r="R2014" s="210"/>
      <c r="S2014" s="232"/>
      <c r="T2014" s="270"/>
    </row>
    <row r="2015" spans="14:20" x14ac:dyDescent="0.25">
      <c r="N2015" s="362"/>
      <c r="R2015" s="210"/>
      <c r="S2015" s="232"/>
      <c r="T2015" s="270"/>
    </row>
    <row r="2016" spans="14:20" x14ac:dyDescent="0.25">
      <c r="N2016" s="362"/>
      <c r="R2016" s="210"/>
      <c r="S2016" s="232"/>
      <c r="T2016" s="270"/>
    </row>
    <row r="2017" spans="14:20" x14ac:dyDescent="0.25">
      <c r="N2017" s="362"/>
      <c r="R2017" s="210"/>
      <c r="S2017" s="232"/>
      <c r="T2017" s="270"/>
    </row>
    <row r="2018" spans="14:20" x14ac:dyDescent="0.25">
      <c r="N2018" s="362"/>
      <c r="R2018" s="210"/>
      <c r="S2018" s="232"/>
      <c r="T2018" s="270"/>
    </row>
    <row r="2019" spans="14:20" x14ac:dyDescent="0.25">
      <c r="N2019" s="362"/>
      <c r="R2019" s="210"/>
      <c r="S2019" s="232"/>
      <c r="T2019" s="270"/>
    </row>
    <row r="2020" spans="14:20" x14ac:dyDescent="0.25">
      <c r="N2020" s="362"/>
      <c r="R2020" s="210"/>
      <c r="S2020" s="232"/>
      <c r="T2020" s="270"/>
    </row>
    <row r="2021" spans="14:20" x14ac:dyDescent="0.25">
      <c r="N2021" s="362"/>
      <c r="R2021" s="210"/>
      <c r="S2021" s="232"/>
      <c r="T2021" s="270"/>
    </row>
    <row r="2022" spans="14:20" x14ac:dyDescent="0.25">
      <c r="N2022" s="362"/>
      <c r="R2022" s="210"/>
      <c r="S2022" s="232"/>
      <c r="T2022" s="270"/>
    </row>
    <row r="2023" spans="14:20" x14ac:dyDescent="0.25">
      <c r="N2023" s="362"/>
      <c r="R2023" s="210"/>
      <c r="S2023" s="232"/>
      <c r="T2023" s="270"/>
    </row>
    <row r="2024" spans="14:20" x14ac:dyDescent="0.25">
      <c r="N2024" s="362"/>
      <c r="R2024" s="210"/>
      <c r="S2024" s="232"/>
      <c r="T2024" s="270"/>
    </row>
    <row r="2025" spans="14:20" x14ac:dyDescent="0.25">
      <c r="N2025" s="362"/>
      <c r="R2025" s="210"/>
      <c r="S2025" s="232"/>
      <c r="T2025" s="270"/>
    </row>
    <row r="2026" spans="14:20" x14ac:dyDescent="0.25">
      <c r="N2026" s="362"/>
      <c r="R2026" s="210"/>
      <c r="S2026" s="232"/>
      <c r="T2026" s="270"/>
    </row>
    <row r="2027" spans="14:20" x14ac:dyDescent="0.25">
      <c r="N2027" s="362"/>
      <c r="R2027" s="210"/>
      <c r="S2027" s="232"/>
      <c r="T2027" s="270"/>
    </row>
    <row r="2028" spans="14:20" x14ac:dyDescent="0.25">
      <c r="N2028" s="362"/>
      <c r="R2028" s="210"/>
      <c r="S2028" s="232"/>
      <c r="T2028" s="270"/>
    </row>
    <row r="2029" spans="14:20" x14ac:dyDescent="0.25">
      <c r="N2029" s="362"/>
      <c r="R2029" s="210"/>
      <c r="S2029" s="232"/>
      <c r="T2029" s="270"/>
    </row>
    <row r="2030" spans="14:20" x14ac:dyDescent="0.25">
      <c r="N2030" s="362"/>
      <c r="R2030" s="210"/>
      <c r="S2030" s="232"/>
      <c r="T2030" s="270"/>
    </row>
    <row r="2031" spans="14:20" x14ac:dyDescent="0.25">
      <c r="N2031" s="362"/>
      <c r="R2031" s="210"/>
      <c r="S2031" s="232"/>
      <c r="T2031" s="270"/>
    </row>
    <row r="2032" spans="14:20" x14ac:dyDescent="0.25">
      <c r="N2032" s="362"/>
      <c r="R2032" s="210"/>
      <c r="S2032" s="232"/>
      <c r="T2032" s="270"/>
    </row>
    <row r="2033" spans="14:20" x14ac:dyDescent="0.25">
      <c r="N2033" s="362"/>
      <c r="R2033" s="210"/>
      <c r="S2033" s="232"/>
      <c r="T2033" s="270"/>
    </row>
    <row r="2034" spans="14:20" x14ac:dyDescent="0.25">
      <c r="N2034" s="362"/>
      <c r="R2034" s="210"/>
      <c r="S2034" s="232"/>
      <c r="T2034" s="270"/>
    </row>
    <row r="2035" spans="14:20" x14ac:dyDescent="0.25">
      <c r="N2035" s="362"/>
      <c r="R2035" s="210"/>
      <c r="S2035" s="232"/>
      <c r="T2035" s="270"/>
    </row>
    <row r="2036" spans="14:20" x14ac:dyDescent="0.25">
      <c r="N2036" s="362"/>
      <c r="R2036" s="210"/>
      <c r="S2036" s="232"/>
      <c r="T2036" s="270"/>
    </row>
    <row r="2037" spans="14:20" x14ac:dyDescent="0.25">
      <c r="N2037" s="362"/>
      <c r="R2037" s="210"/>
      <c r="S2037" s="232"/>
      <c r="T2037" s="270"/>
    </row>
    <row r="2038" spans="14:20" x14ac:dyDescent="0.25">
      <c r="N2038" s="362"/>
      <c r="R2038" s="210"/>
      <c r="S2038" s="232"/>
      <c r="T2038" s="270"/>
    </row>
    <row r="2039" spans="14:20" x14ac:dyDescent="0.25">
      <c r="N2039" s="362"/>
      <c r="R2039" s="210"/>
      <c r="S2039" s="232"/>
      <c r="T2039" s="270"/>
    </row>
    <row r="2040" spans="14:20" x14ac:dyDescent="0.25">
      <c r="N2040" s="362"/>
      <c r="R2040" s="210"/>
      <c r="S2040" s="232"/>
      <c r="T2040" s="270"/>
    </row>
    <row r="2041" spans="14:20" x14ac:dyDescent="0.25">
      <c r="N2041" s="362"/>
      <c r="R2041" s="210"/>
      <c r="S2041" s="232"/>
      <c r="T2041" s="270"/>
    </row>
    <row r="2042" spans="14:20" x14ac:dyDescent="0.25">
      <c r="N2042" s="362"/>
      <c r="R2042" s="210"/>
      <c r="S2042" s="232"/>
      <c r="T2042" s="270"/>
    </row>
    <row r="2043" spans="14:20" x14ac:dyDescent="0.25">
      <c r="N2043" s="362"/>
      <c r="R2043" s="210"/>
      <c r="S2043" s="232"/>
      <c r="T2043" s="270"/>
    </row>
    <row r="2044" spans="14:20" x14ac:dyDescent="0.25">
      <c r="N2044" s="362"/>
      <c r="R2044" s="210"/>
      <c r="S2044" s="232"/>
      <c r="T2044" s="270"/>
    </row>
    <row r="2045" spans="14:20" x14ac:dyDescent="0.25">
      <c r="N2045" s="362"/>
      <c r="R2045" s="210"/>
      <c r="S2045" s="232"/>
      <c r="T2045" s="270"/>
    </row>
    <row r="2046" spans="14:20" x14ac:dyDescent="0.25">
      <c r="N2046" s="362"/>
      <c r="R2046" s="210"/>
      <c r="S2046" s="232"/>
      <c r="T2046" s="270"/>
    </row>
    <row r="2047" spans="14:20" x14ac:dyDescent="0.25">
      <c r="N2047" s="362"/>
      <c r="R2047" s="210"/>
      <c r="S2047" s="232"/>
      <c r="T2047" s="270"/>
    </row>
    <row r="2048" spans="14:20" x14ac:dyDescent="0.25">
      <c r="N2048" s="362"/>
      <c r="R2048" s="210"/>
      <c r="S2048" s="232"/>
      <c r="T2048" s="270"/>
    </row>
    <row r="2049" spans="14:20" x14ac:dyDescent="0.25">
      <c r="N2049" s="362"/>
      <c r="R2049" s="210"/>
      <c r="S2049" s="232"/>
      <c r="T2049" s="270"/>
    </row>
    <row r="2050" spans="14:20" x14ac:dyDescent="0.25">
      <c r="N2050" s="362"/>
      <c r="R2050" s="210"/>
      <c r="S2050" s="232"/>
      <c r="T2050" s="270"/>
    </row>
    <row r="2051" spans="14:20" x14ac:dyDescent="0.25">
      <c r="N2051" s="362"/>
      <c r="R2051" s="210"/>
      <c r="S2051" s="232"/>
      <c r="T2051" s="270"/>
    </row>
    <row r="2052" spans="14:20" x14ac:dyDescent="0.25">
      <c r="N2052" s="362"/>
      <c r="R2052" s="210"/>
      <c r="S2052" s="232"/>
      <c r="T2052" s="270"/>
    </row>
    <row r="2053" spans="14:20" x14ac:dyDescent="0.25">
      <c r="N2053" s="362"/>
      <c r="R2053" s="210"/>
      <c r="S2053" s="232"/>
      <c r="T2053" s="270"/>
    </row>
    <row r="2054" spans="14:20" x14ac:dyDescent="0.25">
      <c r="N2054" s="362"/>
      <c r="R2054" s="210"/>
      <c r="S2054" s="232"/>
      <c r="T2054" s="270"/>
    </row>
    <row r="2055" spans="14:20" x14ac:dyDescent="0.25">
      <c r="N2055" s="362"/>
      <c r="R2055" s="210"/>
      <c r="S2055" s="232"/>
      <c r="T2055" s="270"/>
    </row>
    <row r="2056" spans="14:20" x14ac:dyDescent="0.25">
      <c r="N2056" s="362"/>
      <c r="R2056" s="210"/>
      <c r="S2056" s="232"/>
      <c r="T2056" s="270"/>
    </row>
    <row r="2057" spans="14:20" x14ac:dyDescent="0.25">
      <c r="N2057" s="362"/>
      <c r="R2057" s="210"/>
      <c r="S2057" s="232"/>
      <c r="T2057" s="270"/>
    </row>
    <row r="2058" spans="14:20" x14ac:dyDescent="0.25">
      <c r="N2058" s="362"/>
      <c r="R2058" s="210"/>
      <c r="S2058" s="232"/>
      <c r="T2058" s="270"/>
    </row>
    <row r="2059" spans="14:20" x14ac:dyDescent="0.25">
      <c r="N2059" s="362"/>
      <c r="R2059" s="210"/>
      <c r="S2059" s="232"/>
      <c r="T2059" s="270"/>
    </row>
    <row r="2060" spans="14:20" x14ac:dyDescent="0.25">
      <c r="N2060" s="362"/>
      <c r="R2060" s="210"/>
      <c r="S2060" s="232"/>
      <c r="T2060" s="270"/>
    </row>
    <row r="2061" spans="14:20" x14ac:dyDescent="0.25">
      <c r="N2061" s="362"/>
      <c r="R2061" s="210"/>
      <c r="S2061" s="232"/>
      <c r="T2061" s="270"/>
    </row>
    <row r="2062" spans="14:20" x14ac:dyDescent="0.25">
      <c r="N2062" s="362"/>
      <c r="R2062" s="210"/>
      <c r="S2062" s="232"/>
      <c r="T2062" s="270"/>
    </row>
    <row r="2063" spans="14:20" x14ac:dyDescent="0.25">
      <c r="N2063" s="362"/>
      <c r="R2063" s="210"/>
      <c r="S2063" s="232"/>
      <c r="T2063" s="270"/>
    </row>
    <row r="2064" spans="14:20" x14ac:dyDescent="0.25">
      <c r="N2064" s="362"/>
      <c r="R2064" s="210"/>
      <c r="S2064" s="232"/>
      <c r="T2064" s="270"/>
    </row>
    <row r="2065" spans="14:20" x14ac:dyDescent="0.25">
      <c r="N2065" s="362"/>
      <c r="R2065" s="210"/>
      <c r="S2065" s="232"/>
      <c r="T2065" s="270"/>
    </row>
    <row r="2066" spans="14:20" x14ac:dyDescent="0.25">
      <c r="N2066" s="362"/>
      <c r="R2066" s="210"/>
      <c r="S2066" s="232"/>
      <c r="T2066" s="270"/>
    </row>
    <row r="2067" spans="14:20" x14ac:dyDescent="0.25">
      <c r="N2067" s="362"/>
      <c r="R2067" s="210"/>
      <c r="S2067" s="232"/>
      <c r="T2067" s="270"/>
    </row>
    <row r="2068" spans="14:20" x14ac:dyDescent="0.25">
      <c r="N2068" s="362"/>
      <c r="R2068" s="210"/>
      <c r="S2068" s="232"/>
      <c r="T2068" s="270"/>
    </row>
    <row r="2069" spans="14:20" x14ac:dyDescent="0.25">
      <c r="N2069" s="362"/>
      <c r="R2069" s="210"/>
      <c r="S2069" s="232"/>
      <c r="T2069" s="270"/>
    </row>
    <row r="2070" spans="14:20" x14ac:dyDescent="0.25">
      <c r="N2070" s="362"/>
      <c r="R2070" s="210"/>
      <c r="S2070" s="232"/>
      <c r="T2070" s="270"/>
    </row>
    <row r="2071" spans="14:20" x14ac:dyDescent="0.25">
      <c r="N2071" s="362"/>
      <c r="R2071" s="210"/>
      <c r="S2071" s="232"/>
      <c r="T2071" s="270"/>
    </row>
    <row r="2072" spans="14:20" x14ac:dyDescent="0.25">
      <c r="N2072" s="362"/>
      <c r="R2072" s="210"/>
      <c r="S2072" s="232"/>
      <c r="T2072" s="270"/>
    </row>
    <row r="2073" spans="14:20" x14ac:dyDescent="0.25">
      <c r="N2073" s="362"/>
      <c r="R2073" s="210"/>
      <c r="S2073" s="232"/>
      <c r="T2073" s="270"/>
    </row>
    <row r="2074" spans="14:20" x14ac:dyDescent="0.25">
      <c r="N2074" s="362"/>
      <c r="R2074" s="210"/>
      <c r="S2074" s="232"/>
      <c r="T2074" s="270"/>
    </row>
    <row r="2075" spans="14:20" x14ac:dyDescent="0.25">
      <c r="N2075" s="362"/>
      <c r="R2075" s="210"/>
      <c r="S2075" s="232"/>
      <c r="T2075" s="270"/>
    </row>
    <row r="2076" spans="14:20" x14ac:dyDescent="0.25">
      <c r="N2076" s="362"/>
      <c r="R2076" s="210"/>
      <c r="S2076" s="232"/>
      <c r="T2076" s="270"/>
    </row>
    <row r="2077" spans="14:20" x14ac:dyDescent="0.25">
      <c r="N2077" s="362"/>
      <c r="R2077" s="210"/>
      <c r="S2077" s="232"/>
      <c r="T2077" s="270"/>
    </row>
    <row r="2078" spans="14:20" x14ac:dyDescent="0.25">
      <c r="N2078" s="362"/>
      <c r="R2078" s="210"/>
      <c r="S2078" s="232"/>
      <c r="T2078" s="270"/>
    </row>
    <row r="2079" spans="14:20" x14ac:dyDescent="0.25">
      <c r="N2079" s="362"/>
      <c r="R2079" s="210"/>
      <c r="S2079" s="232"/>
      <c r="T2079" s="270"/>
    </row>
    <row r="2080" spans="14:20" x14ac:dyDescent="0.25">
      <c r="N2080" s="362"/>
      <c r="R2080" s="210"/>
      <c r="S2080" s="232"/>
      <c r="T2080" s="270"/>
    </row>
    <row r="2081" spans="14:20" x14ac:dyDescent="0.25">
      <c r="N2081" s="362"/>
      <c r="R2081" s="210"/>
      <c r="S2081" s="232"/>
      <c r="T2081" s="270"/>
    </row>
    <row r="2082" spans="14:20" x14ac:dyDescent="0.25">
      <c r="N2082" s="362"/>
      <c r="R2082" s="210"/>
      <c r="S2082" s="232"/>
      <c r="T2082" s="270"/>
    </row>
    <row r="2083" spans="14:20" x14ac:dyDescent="0.25">
      <c r="N2083" s="362"/>
      <c r="R2083" s="210"/>
      <c r="S2083" s="232"/>
      <c r="T2083" s="270"/>
    </row>
    <row r="2084" spans="14:20" x14ac:dyDescent="0.25">
      <c r="N2084" s="362"/>
      <c r="R2084" s="210"/>
      <c r="S2084" s="232"/>
      <c r="T2084" s="270"/>
    </row>
    <row r="2085" spans="14:20" x14ac:dyDescent="0.25">
      <c r="N2085" s="362"/>
      <c r="R2085" s="210"/>
      <c r="S2085" s="232"/>
      <c r="T2085" s="270"/>
    </row>
    <row r="2086" spans="14:20" x14ac:dyDescent="0.25">
      <c r="N2086" s="362"/>
      <c r="R2086" s="210"/>
      <c r="S2086" s="232"/>
      <c r="T2086" s="270"/>
    </row>
    <row r="2087" spans="14:20" x14ac:dyDescent="0.25">
      <c r="N2087" s="362"/>
      <c r="R2087" s="210"/>
      <c r="S2087" s="232"/>
      <c r="T2087" s="270"/>
    </row>
    <row r="2088" spans="14:20" x14ac:dyDescent="0.25">
      <c r="N2088" s="362"/>
      <c r="R2088" s="210"/>
      <c r="S2088" s="232"/>
      <c r="T2088" s="270"/>
    </row>
    <row r="2089" spans="14:20" x14ac:dyDescent="0.25">
      <c r="N2089" s="362"/>
      <c r="R2089" s="210"/>
      <c r="S2089" s="232"/>
      <c r="T2089" s="270"/>
    </row>
    <row r="2090" spans="14:20" x14ac:dyDescent="0.25">
      <c r="N2090" s="362"/>
      <c r="R2090" s="210"/>
      <c r="S2090" s="232"/>
      <c r="T2090" s="270"/>
    </row>
    <row r="2091" spans="14:20" x14ac:dyDescent="0.25">
      <c r="N2091" s="362"/>
      <c r="R2091" s="210"/>
      <c r="S2091" s="232"/>
      <c r="T2091" s="270"/>
    </row>
    <row r="2092" spans="14:20" x14ac:dyDescent="0.25">
      <c r="N2092" s="362"/>
      <c r="R2092" s="210"/>
      <c r="S2092" s="232"/>
      <c r="T2092" s="270"/>
    </row>
    <row r="2093" spans="14:20" x14ac:dyDescent="0.25">
      <c r="N2093" s="362"/>
      <c r="R2093" s="210"/>
      <c r="S2093" s="232"/>
      <c r="T2093" s="270"/>
    </row>
    <row r="2094" spans="14:20" x14ac:dyDescent="0.25">
      <c r="N2094" s="362"/>
      <c r="R2094" s="210"/>
      <c r="S2094" s="232"/>
      <c r="T2094" s="270"/>
    </row>
    <row r="2095" spans="14:20" x14ac:dyDescent="0.25">
      <c r="N2095" s="362"/>
      <c r="R2095" s="210"/>
      <c r="S2095" s="232"/>
      <c r="T2095" s="270"/>
    </row>
    <row r="2096" spans="14:20" x14ac:dyDescent="0.25">
      <c r="N2096" s="362"/>
      <c r="R2096" s="210"/>
      <c r="S2096" s="232"/>
      <c r="T2096" s="270"/>
    </row>
    <row r="2097" spans="14:20" x14ac:dyDescent="0.25">
      <c r="N2097" s="362"/>
      <c r="R2097" s="210"/>
      <c r="S2097" s="232"/>
      <c r="T2097" s="270"/>
    </row>
    <row r="2098" spans="14:20" x14ac:dyDescent="0.25">
      <c r="N2098" s="362"/>
      <c r="R2098" s="210"/>
      <c r="S2098" s="232"/>
      <c r="T2098" s="270"/>
    </row>
    <row r="2099" spans="14:20" x14ac:dyDescent="0.25">
      <c r="N2099" s="362"/>
      <c r="R2099" s="210"/>
      <c r="S2099" s="232"/>
      <c r="T2099" s="270"/>
    </row>
    <row r="2100" spans="14:20" x14ac:dyDescent="0.25">
      <c r="N2100" s="362"/>
      <c r="R2100" s="210"/>
      <c r="S2100" s="232"/>
      <c r="T2100" s="270"/>
    </row>
    <row r="2101" spans="14:20" x14ac:dyDescent="0.25">
      <c r="N2101" s="362"/>
      <c r="R2101" s="210"/>
      <c r="S2101" s="232"/>
      <c r="T2101" s="270"/>
    </row>
    <row r="2102" spans="14:20" x14ac:dyDescent="0.25">
      <c r="N2102" s="362"/>
      <c r="R2102" s="210"/>
      <c r="S2102" s="232"/>
      <c r="T2102" s="270"/>
    </row>
    <row r="2103" spans="14:20" x14ac:dyDescent="0.25">
      <c r="N2103" s="362"/>
      <c r="R2103" s="210"/>
      <c r="S2103" s="232"/>
      <c r="T2103" s="270"/>
    </row>
    <row r="2104" spans="14:20" x14ac:dyDescent="0.25">
      <c r="N2104" s="362"/>
      <c r="R2104" s="210"/>
      <c r="S2104" s="232"/>
      <c r="T2104" s="270"/>
    </row>
    <row r="2105" spans="14:20" x14ac:dyDescent="0.25">
      <c r="N2105" s="362"/>
      <c r="R2105" s="210"/>
      <c r="S2105" s="232"/>
      <c r="T2105" s="270"/>
    </row>
    <row r="2106" spans="14:20" x14ac:dyDescent="0.25">
      <c r="N2106" s="362"/>
      <c r="R2106" s="210"/>
      <c r="S2106" s="232"/>
      <c r="T2106" s="270"/>
    </row>
    <row r="2107" spans="14:20" x14ac:dyDescent="0.25">
      <c r="N2107" s="362"/>
      <c r="R2107" s="210"/>
      <c r="S2107" s="232"/>
      <c r="T2107" s="270"/>
    </row>
    <row r="2108" spans="14:20" x14ac:dyDescent="0.25">
      <c r="N2108" s="362"/>
      <c r="R2108" s="210"/>
      <c r="S2108" s="232"/>
      <c r="T2108" s="270"/>
    </row>
    <row r="2109" spans="14:20" x14ac:dyDescent="0.25">
      <c r="N2109" s="362"/>
      <c r="R2109" s="210"/>
      <c r="S2109" s="232"/>
      <c r="T2109" s="270"/>
    </row>
    <row r="2110" spans="14:20" x14ac:dyDescent="0.25">
      <c r="N2110" s="362"/>
      <c r="R2110" s="210"/>
      <c r="S2110" s="232"/>
      <c r="T2110" s="270"/>
    </row>
    <row r="2111" spans="14:20" x14ac:dyDescent="0.25">
      <c r="N2111" s="362"/>
      <c r="R2111" s="210"/>
      <c r="S2111" s="232"/>
      <c r="T2111" s="270"/>
    </row>
    <row r="2112" spans="14:20" x14ac:dyDescent="0.25">
      <c r="N2112" s="362"/>
      <c r="R2112" s="210"/>
      <c r="S2112" s="232"/>
      <c r="T2112" s="270"/>
    </row>
    <row r="2113" spans="14:20" x14ac:dyDescent="0.25">
      <c r="N2113" s="362"/>
      <c r="R2113" s="210"/>
      <c r="S2113" s="232"/>
      <c r="T2113" s="270"/>
    </row>
    <row r="2114" spans="14:20" x14ac:dyDescent="0.25">
      <c r="N2114" s="362"/>
      <c r="R2114" s="210"/>
      <c r="S2114" s="232"/>
      <c r="T2114" s="270"/>
    </row>
    <row r="2115" spans="14:20" x14ac:dyDescent="0.25">
      <c r="N2115" s="362"/>
      <c r="R2115" s="210"/>
      <c r="S2115" s="232"/>
      <c r="T2115" s="270"/>
    </row>
    <row r="2116" spans="14:20" x14ac:dyDescent="0.25">
      <c r="N2116" s="362"/>
      <c r="R2116" s="210"/>
      <c r="S2116" s="232"/>
      <c r="T2116" s="270"/>
    </row>
    <row r="2117" spans="14:20" x14ac:dyDescent="0.25">
      <c r="N2117" s="362"/>
      <c r="R2117" s="210"/>
      <c r="S2117" s="232"/>
      <c r="T2117" s="270"/>
    </row>
    <row r="2118" spans="14:20" x14ac:dyDescent="0.25">
      <c r="N2118" s="362"/>
      <c r="R2118" s="210"/>
      <c r="S2118" s="232"/>
      <c r="T2118" s="270"/>
    </row>
    <row r="2119" spans="14:20" x14ac:dyDescent="0.25">
      <c r="N2119" s="362"/>
      <c r="R2119" s="210"/>
      <c r="S2119" s="232"/>
      <c r="T2119" s="270"/>
    </row>
    <row r="2120" spans="14:20" x14ac:dyDescent="0.25">
      <c r="N2120" s="362"/>
      <c r="R2120" s="210"/>
      <c r="S2120" s="232"/>
      <c r="T2120" s="270"/>
    </row>
    <row r="2121" spans="14:20" x14ac:dyDescent="0.25">
      <c r="N2121" s="362"/>
      <c r="R2121" s="210"/>
      <c r="S2121" s="232"/>
      <c r="T2121" s="270"/>
    </row>
    <row r="2122" spans="14:20" x14ac:dyDescent="0.25">
      <c r="N2122" s="362"/>
      <c r="R2122" s="210"/>
      <c r="S2122" s="232"/>
      <c r="T2122" s="270"/>
    </row>
    <row r="2123" spans="14:20" x14ac:dyDescent="0.25">
      <c r="N2123" s="362"/>
      <c r="R2123" s="210"/>
      <c r="S2123" s="232"/>
      <c r="T2123" s="270"/>
    </row>
    <row r="2124" spans="14:20" x14ac:dyDescent="0.25">
      <c r="N2124" s="362"/>
      <c r="R2124" s="210"/>
      <c r="S2124" s="232"/>
      <c r="T2124" s="270"/>
    </row>
    <row r="2125" spans="14:20" x14ac:dyDescent="0.25">
      <c r="N2125" s="362"/>
      <c r="R2125" s="210"/>
      <c r="S2125" s="232"/>
      <c r="T2125" s="270"/>
    </row>
    <row r="2126" spans="14:20" x14ac:dyDescent="0.25">
      <c r="N2126" s="362"/>
      <c r="R2126" s="210"/>
      <c r="S2126" s="232"/>
      <c r="T2126" s="270"/>
    </row>
    <row r="2127" spans="14:20" x14ac:dyDescent="0.25">
      <c r="N2127" s="362"/>
      <c r="R2127" s="210"/>
      <c r="S2127" s="232"/>
      <c r="T2127" s="270"/>
    </row>
    <row r="2128" spans="14:20" x14ac:dyDescent="0.25">
      <c r="N2128" s="362"/>
      <c r="R2128" s="210"/>
      <c r="S2128" s="232"/>
      <c r="T2128" s="270"/>
    </row>
    <row r="2129" spans="14:20" x14ac:dyDescent="0.25">
      <c r="N2129" s="362"/>
      <c r="R2129" s="210"/>
      <c r="S2129" s="232"/>
      <c r="T2129" s="270"/>
    </row>
    <row r="2130" spans="14:20" x14ac:dyDescent="0.25">
      <c r="N2130" s="362"/>
      <c r="R2130" s="210"/>
      <c r="S2130" s="232"/>
      <c r="T2130" s="270"/>
    </row>
    <row r="2131" spans="14:20" x14ac:dyDescent="0.25">
      <c r="N2131" s="362"/>
      <c r="R2131" s="210"/>
      <c r="S2131" s="232"/>
      <c r="T2131" s="270"/>
    </row>
    <row r="2132" spans="14:20" x14ac:dyDescent="0.25">
      <c r="N2132" s="362"/>
      <c r="R2132" s="210"/>
      <c r="S2132" s="232"/>
      <c r="T2132" s="270"/>
    </row>
    <row r="2133" spans="14:20" x14ac:dyDescent="0.25">
      <c r="N2133" s="362"/>
      <c r="R2133" s="210"/>
      <c r="S2133" s="232"/>
      <c r="T2133" s="270"/>
    </row>
    <row r="2134" spans="14:20" x14ac:dyDescent="0.25">
      <c r="N2134" s="362"/>
      <c r="R2134" s="210"/>
      <c r="S2134" s="232"/>
      <c r="T2134" s="270"/>
    </row>
    <row r="2135" spans="14:20" x14ac:dyDescent="0.25">
      <c r="N2135" s="362"/>
      <c r="R2135" s="210"/>
      <c r="S2135" s="232"/>
      <c r="T2135" s="270"/>
    </row>
    <row r="2136" spans="14:20" x14ac:dyDescent="0.25">
      <c r="N2136" s="362"/>
      <c r="R2136" s="210"/>
      <c r="S2136" s="232"/>
      <c r="T2136" s="270"/>
    </row>
    <row r="2137" spans="14:20" x14ac:dyDescent="0.25">
      <c r="N2137" s="362"/>
      <c r="R2137" s="210"/>
      <c r="S2137" s="232"/>
      <c r="T2137" s="270"/>
    </row>
    <row r="2138" spans="14:20" x14ac:dyDescent="0.25">
      <c r="N2138" s="362"/>
      <c r="R2138" s="210"/>
      <c r="S2138" s="232"/>
      <c r="T2138" s="270"/>
    </row>
    <row r="2139" spans="14:20" x14ac:dyDescent="0.25">
      <c r="N2139" s="362"/>
      <c r="R2139" s="210"/>
      <c r="S2139" s="232"/>
      <c r="T2139" s="270"/>
    </row>
    <row r="2140" spans="14:20" x14ac:dyDescent="0.25">
      <c r="N2140" s="362"/>
      <c r="R2140" s="210"/>
      <c r="S2140" s="232"/>
      <c r="T2140" s="270"/>
    </row>
    <row r="2141" spans="14:20" x14ac:dyDescent="0.25">
      <c r="N2141" s="362"/>
      <c r="R2141" s="210"/>
      <c r="S2141" s="232"/>
      <c r="T2141" s="270"/>
    </row>
    <row r="2142" spans="14:20" x14ac:dyDescent="0.25">
      <c r="N2142" s="362"/>
      <c r="R2142" s="210"/>
      <c r="S2142" s="232"/>
      <c r="T2142" s="270"/>
    </row>
    <row r="2143" spans="14:20" x14ac:dyDescent="0.25">
      <c r="N2143" s="362"/>
      <c r="R2143" s="210"/>
      <c r="S2143" s="232"/>
      <c r="T2143" s="270"/>
    </row>
    <row r="2144" spans="14:20" x14ac:dyDescent="0.25">
      <c r="N2144" s="362"/>
      <c r="R2144" s="210"/>
      <c r="S2144" s="232"/>
      <c r="T2144" s="270"/>
    </row>
    <row r="2145" spans="14:20" x14ac:dyDescent="0.25">
      <c r="N2145" s="362"/>
      <c r="R2145" s="210"/>
      <c r="S2145" s="232"/>
      <c r="T2145" s="270"/>
    </row>
    <row r="2146" spans="14:20" x14ac:dyDescent="0.25">
      <c r="N2146" s="362"/>
      <c r="R2146" s="210"/>
      <c r="S2146" s="232"/>
      <c r="T2146" s="270"/>
    </row>
    <row r="2147" spans="14:20" x14ac:dyDescent="0.25">
      <c r="N2147" s="362"/>
      <c r="R2147" s="210"/>
      <c r="S2147" s="232"/>
      <c r="T2147" s="270"/>
    </row>
    <row r="2148" spans="14:20" x14ac:dyDescent="0.25">
      <c r="N2148" s="362"/>
      <c r="R2148" s="210"/>
      <c r="S2148" s="232"/>
      <c r="T2148" s="270"/>
    </row>
    <row r="2149" spans="14:20" x14ac:dyDescent="0.25">
      <c r="N2149" s="362"/>
      <c r="R2149" s="210"/>
      <c r="S2149" s="232"/>
      <c r="T2149" s="270"/>
    </row>
    <row r="2150" spans="14:20" x14ac:dyDescent="0.25">
      <c r="N2150" s="362"/>
      <c r="R2150" s="210"/>
      <c r="S2150" s="232"/>
      <c r="T2150" s="270"/>
    </row>
    <row r="2151" spans="14:20" x14ac:dyDescent="0.25">
      <c r="N2151" s="362"/>
      <c r="R2151" s="210"/>
      <c r="S2151" s="232"/>
      <c r="T2151" s="270"/>
    </row>
    <row r="2152" spans="14:20" x14ac:dyDescent="0.25">
      <c r="N2152" s="362"/>
      <c r="R2152" s="210"/>
      <c r="S2152" s="232"/>
      <c r="T2152" s="270"/>
    </row>
    <row r="2153" spans="14:20" x14ac:dyDescent="0.25">
      <c r="N2153" s="362"/>
      <c r="R2153" s="210"/>
      <c r="S2153" s="232"/>
      <c r="T2153" s="270"/>
    </row>
    <row r="2154" spans="14:20" x14ac:dyDescent="0.25">
      <c r="N2154" s="362"/>
      <c r="R2154" s="210"/>
      <c r="S2154" s="232"/>
      <c r="T2154" s="270"/>
    </row>
    <row r="2155" spans="14:20" x14ac:dyDescent="0.25">
      <c r="N2155" s="362"/>
      <c r="R2155" s="210"/>
      <c r="S2155" s="232"/>
      <c r="T2155" s="270"/>
    </row>
    <row r="2156" spans="14:20" x14ac:dyDescent="0.25">
      <c r="N2156" s="362"/>
      <c r="R2156" s="210"/>
      <c r="S2156" s="232"/>
      <c r="T2156" s="270"/>
    </row>
    <row r="2157" spans="14:20" x14ac:dyDescent="0.25">
      <c r="N2157" s="362"/>
      <c r="R2157" s="210"/>
      <c r="S2157" s="232"/>
      <c r="T2157" s="270"/>
    </row>
    <row r="2158" spans="14:20" x14ac:dyDescent="0.25">
      <c r="N2158" s="362"/>
      <c r="R2158" s="210"/>
      <c r="S2158" s="232"/>
      <c r="T2158" s="270"/>
    </row>
    <row r="2159" spans="14:20" x14ac:dyDescent="0.25">
      <c r="N2159" s="362"/>
      <c r="R2159" s="210"/>
      <c r="S2159" s="232"/>
      <c r="T2159" s="270"/>
    </row>
    <row r="2160" spans="14:20" x14ac:dyDescent="0.25">
      <c r="N2160" s="362"/>
      <c r="R2160" s="210"/>
      <c r="S2160" s="232"/>
      <c r="T2160" s="270"/>
    </row>
    <row r="2161" spans="14:20" x14ac:dyDescent="0.25">
      <c r="N2161" s="362"/>
      <c r="R2161" s="210"/>
      <c r="S2161" s="232"/>
      <c r="T2161" s="270"/>
    </row>
    <row r="2162" spans="14:20" x14ac:dyDescent="0.25">
      <c r="N2162" s="362"/>
      <c r="R2162" s="210"/>
      <c r="S2162" s="232"/>
      <c r="T2162" s="270"/>
    </row>
    <row r="2163" spans="14:20" x14ac:dyDescent="0.25">
      <c r="N2163" s="362"/>
      <c r="R2163" s="210"/>
      <c r="S2163" s="232"/>
      <c r="T2163" s="270"/>
    </row>
    <row r="2164" spans="14:20" x14ac:dyDescent="0.25">
      <c r="N2164" s="362"/>
      <c r="R2164" s="210"/>
      <c r="S2164" s="232"/>
      <c r="T2164" s="270"/>
    </row>
    <row r="2165" spans="14:20" x14ac:dyDescent="0.25">
      <c r="N2165" s="362"/>
      <c r="R2165" s="210"/>
      <c r="S2165" s="232"/>
      <c r="T2165" s="270"/>
    </row>
    <row r="2166" spans="14:20" x14ac:dyDescent="0.25">
      <c r="N2166" s="362"/>
      <c r="R2166" s="210"/>
      <c r="S2166" s="232"/>
      <c r="T2166" s="270"/>
    </row>
    <row r="2167" spans="14:20" x14ac:dyDescent="0.25">
      <c r="N2167" s="362"/>
      <c r="R2167" s="210"/>
      <c r="S2167" s="232"/>
      <c r="T2167" s="270"/>
    </row>
    <row r="2168" spans="14:20" x14ac:dyDescent="0.25">
      <c r="N2168" s="362"/>
      <c r="R2168" s="210"/>
      <c r="S2168" s="232"/>
      <c r="T2168" s="270"/>
    </row>
    <row r="2169" spans="14:20" x14ac:dyDescent="0.25">
      <c r="N2169" s="362"/>
      <c r="R2169" s="210"/>
      <c r="S2169" s="232"/>
      <c r="T2169" s="270"/>
    </row>
    <row r="2170" spans="14:20" x14ac:dyDescent="0.25">
      <c r="N2170" s="362"/>
      <c r="R2170" s="210"/>
      <c r="S2170" s="232"/>
      <c r="T2170" s="270"/>
    </row>
    <row r="2171" spans="14:20" x14ac:dyDescent="0.25">
      <c r="N2171" s="362"/>
      <c r="R2171" s="210"/>
      <c r="S2171" s="232"/>
      <c r="T2171" s="270"/>
    </row>
    <row r="2172" spans="14:20" x14ac:dyDescent="0.25">
      <c r="N2172" s="362"/>
      <c r="R2172" s="210"/>
      <c r="S2172" s="232"/>
      <c r="T2172" s="270"/>
    </row>
    <row r="2173" spans="14:20" x14ac:dyDescent="0.25">
      <c r="N2173" s="362"/>
      <c r="R2173" s="210"/>
      <c r="S2173" s="232"/>
      <c r="T2173" s="270"/>
    </row>
    <row r="2174" spans="14:20" x14ac:dyDescent="0.25">
      <c r="N2174" s="362"/>
      <c r="R2174" s="210"/>
      <c r="S2174" s="232"/>
      <c r="T2174" s="270"/>
    </row>
    <row r="2175" spans="14:20" x14ac:dyDescent="0.25">
      <c r="N2175" s="362"/>
      <c r="R2175" s="210"/>
      <c r="S2175" s="232"/>
      <c r="T2175" s="270"/>
    </row>
    <row r="2176" spans="14:20" x14ac:dyDescent="0.25">
      <c r="N2176" s="362"/>
      <c r="R2176" s="210"/>
      <c r="S2176" s="232"/>
      <c r="T2176" s="270"/>
    </row>
    <row r="2177" spans="14:20" x14ac:dyDescent="0.25">
      <c r="N2177" s="362"/>
      <c r="R2177" s="210"/>
      <c r="S2177" s="232"/>
      <c r="T2177" s="270"/>
    </row>
    <row r="2178" spans="14:20" x14ac:dyDescent="0.25">
      <c r="N2178" s="362"/>
      <c r="R2178" s="210"/>
      <c r="S2178" s="232"/>
      <c r="T2178" s="270"/>
    </row>
    <row r="2179" spans="14:20" x14ac:dyDescent="0.25">
      <c r="N2179" s="362"/>
      <c r="R2179" s="210"/>
      <c r="S2179" s="232"/>
      <c r="T2179" s="270"/>
    </row>
    <row r="2180" spans="14:20" x14ac:dyDescent="0.25">
      <c r="N2180" s="362"/>
      <c r="R2180" s="210"/>
      <c r="S2180" s="232"/>
      <c r="T2180" s="270"/>
    </row>
    <row r="2181" spans="14:20" x14ac:dyDescent="0.25">
      <c r="N2181" s="362"/>
      <c r="R2181" s="210"/>
      <c r="S2181" s="232"/>
      <c r="T2181" s="270"/>
    </row>
    <row r="2182" spans="14:20" x14ac:dyDescent="0.25">
      <c r="N2182" s="362"/>
      <c r="R2182" s="210"/>
      <c r="S2182" s="232"/>
      <c r="T2182" s="270"/>
    </row>
    <row r="2183" spans="14:20" x14ac:dyDescent="0.25">
      <c r="N2183" s="362"/>
      <c r="R2183" s="210"/>
      <c r="S2183" s="232"/>
      <c r="T2183" s="270"/>
    </row>
    <row r="2184" spans="14:20" x14ac:dyDescent="0.25">
      <c r="N2184" s="362"/>
      <c r="R2184" s="210"/>
      <c r="S2184" s="232"/>
      <c r="T2184" s="270"/>
    </row>
    <row r="2185" spans="14:20" x14ac:dyDescent="0.25">
      <c r="N2185" s="362"/>
      <c r="R2185" s="210"/>
      <c r="S2185" s="232"/>
      <c r="T2185" s="270"/>
    </row>
    <row r="2186" spans="14:20" x14ac:dyDescent="0.25">
      <c r="N2186" s="362"/>
      <c r="R2186" s="210"/>
      <c r="S2186" s="232"/>
      <c r="T2186" s="270"/>
    </row>
    <row r="2187" spans="14:20" x14ac:dyDescent="0.25">
      <c r="N2187" s="362"/>
      <c r="R2187" s="210"/>
      <c r="S2187" s="232"/>
      <c r="T2187" s="270"/>
    </row>
    <row r="2188" spans="14:20" x14ac:dyDescent="0.25">
      <c r="N2188" s="362"/>
      <c r="R2188" s="210"/>
      <c r="S2188" s="232"/>
      <c r="T2188" s="270"/>
    </row>
    <row r="2189" spans="14:20" x14ac:dyDescent="0.25">
      <c r="N2189" s="362"/>
      <c r="R2189" s="210"/>
      <c r="S2189" s="232"/>
      <c r="T2189" s="270"/>
    </row>
    <row r="2190" spans="14:20" x14ac:dyDescent="0.25">
      <c r="N2190" s="362"/>
      <c r="R2190" s="210"/>
      <c r="S2190" s="232"/>
      <c r="T2190" s="270"/>
    </row>
    <row r="2191" spans="14:20" x14ac:dyDescent="0.25">
      <c r="N2191" s="362"/>
      <c r="R2191" s="210"/>
      <c r="S2191" s="232"/>
      <c r="T2191" s="270"/>
    </row>
    <row r="2192" spans="14:20" x14ac:dyDescent="0.25">
      <c r="N2192" s="362"/>
      <c r="R2192" s="210"/>
      <c r="S2192" s="232"/>
      <c r="T2192" s="270"/>
    </row>
    <row r="2193" spans="14:20" x14ac:dyDescent="0.25">
      <c r="N2193" s="362"/>
      <c r="R2193" s="210"/>
      <c r="S2193" s="232"/>
      <c r="T2193" s="270"/>
    </row>
    <row r="2194" spans="14:20" x14ac:dyDescent="0.25">
      <c r="N2194" s="362"/>
      <c r="R2194" s="210"/>
      <c r="S2194" s="232"/>
      <c r="T2194" s="270"/>
    </row>
    <row r="2195" spans="14:20" x14ac:dyDescent="0.25">
      <c r="N2195" s="362"/>
      <c r="R2195" s="210"/>
      <c r="S2195" s="232"/>
      <c r="T2195" s="270"/>
    </row>
    <row r="2196" spans="14:20" x14ac:dyDescent="0.25">
      <c r="N2196" s="362"/>
      <c r="R2196" s="210"/>
      <c r="S2196" s="232"/>
      <c r="T2196" s="270"/>
    </row>
    <row r="2197" spans="14:20" x14ac:dyDescent="0.25">
      <c r="N2197" s="362"/>
      <c r="R2197" s="210"/>
      <c r="S2197" s="232"/>
      <c r="T2197" s="270"/>
    </row>
    <row r="2198" spans="14:20" x14ac:dyDescent="0.25">
      <c r="N2198" s="362"/>
      <c r="R2198" s="210"/>
      <c r="S2198" s="232"/>
      <c r="T2198" s="270"/>
    </row>
    <row r="2199" spans="14:20" x14ac:dyDescent="0.25">
      <c r="N2199" s="362"/>
      <c r="R2199" s="210"/>
      <c r="S2199" s="232"/>
      <c r="T2199" s="270"/>
    </row>
    <row r="2200" spans="14:20" x14ac:dyDescent="0.25">
      <c r="N2200" s="362"/>
      <c r="R2200" s="210"/>
      <c r="S2200" s="232"/>
      <c r="T2200" s="270"/>
    </row>
    <row r="2201" spans="14:20" x14ac:dyDescent="0.25">
      <c r="N2201" s="362"/>
      <c r="R2201" s="210"/>
      <c r="S2201" s="232"/>
      <c r="T2201" s="270"/>
    </row>
    <row r="2202" spans="14:20" x14ac:dyDescent="0.25">
      <c r="N2202" s="362"/>
      <c r="R2202" s="210"/>
      <c r="S2202" s="232"/>
      <c r="T2202" s="270"/>
    </row>
    <row r="2203" spans="14:20" x14ac:dyDescent="0.25">
      <c r="N2203" s="362"/>
      <c r="R2203" s="210"/>
      <c r="S2203" s="232"/>
      <c r="T2203" s="270"/>
    </row>
    <row r="2204" spans="14:20" x14ac:dyDescent="0.25">
      <c r="N2204" s="362"/>
      <c r="R2204" s="210"/>
      <c r="S2204" s="232"/>
      <c r="T2204" s="270"/>
    </row>
    <row r="2205" spans="14:20" x14ac:dyDescent="0.25">
      <c r="N2205" s="362"/>
      <c r="R2205" s="210"/>
      <c r="S2205" s="232"/>
      <c r="T2205" s="270"/>
    </row>
    <row r="2206" spans="14:20" x14ac:dyDescent="0.25">
      <c r="N2206" s="362"/>
      <c r="R2206" s="210"/>
      <c r="S2206" s="232"/>
      <c r="T2206" s="270"/>
    </row>
    <row r="2207" spans="14:20" x14ac:dyDescent="0.25">
      <c r="N2207" s="362"/>
      <c r="R2207" s="210"/>
      <c r="S2207" s="232"/>
      <c r="T2207" s="270"/>
    </row>
    <row r="2208" spans="14:20" x14ac:dyDescent="0.25">
      <c r="N2208" s="362"/>
      <c r="R2208" s="210"/>
      <c r="S2208" s="232"/>
      <c r="T2208" s="270"/>
    </row>
    <row r="2209" spans="14:20" x14ac:dyDescent="0.25">
      <c r="N2209" s="362"/>
      <c r="R2209" s="210"/>
      <c r="S2209" s="232"/>
      <c r="T2209" s="270"/>
    </row>
    <row r="2210" spans="14:20" x14ac:dyDescent="0.25">
      <c r="N2210" s="362"/>
      <c r="R2210" s="210"/>
      <c r="S2210" s="232"/>
      <c r="T2210" s="270"/>
    </row>
    <row r="2211" spans="14:20" x14ac:dyDescent="0.25">
      <c r="N2211" s="362"/>
      <c r="R2211" s="210"/>
      <c r="S2211" s="232"/>
      <c r="T2211" s="270"/>
    </row>
    <row r="2212" spans="14:20" x14ac:dyDescent="0.25">
      <c r="N2212" s="362"/>
      <c r="R2212" s="210"/>
      <c r="S2212" s="232"/>
      <c r="T2212" s="270"/>
    </row>
    <row r="2213" spans="14:20" x14ac:dyDescent="0.25">
      <c r="N2213" s="362"/>
      <c r="R2213" s="210"/>
      <c r="S2213" s="232"/>
      <c r="T2213" s="270"/>
    </row>
    <row r="2214" spans="14:20" x14ac:dyDescent="0.25">
      <c r="N2214" s="362"/>
      <c r="R2214" s="210"/>
      <c r="S2214" s="232"/>
      <c r="T2214" s="270"/>
    </row>
    <row r="2215" spans="14:20" x14ac:dyDescent="0.25">
      <c r="N2215" s="362"/>
      <c r="R2215" s="210"/>
      <c r="S2215" s="232"/>
      <c r="T2215" s="270"/>
    </row>
    <row r="2216" spans="14:20" x14ac:dyDescent="0.25">
      <c r="N2216" s="362"/>
      <c r="R2216" s="210"/>
      <c r="S2216" s="232"/>
      <c r="T2216" s="270"/>
    </row>
    <row r="2217" spans="14:20" x14ac:dyDescent="0.25">
      <c r="N2217" s="362"/>
      <c r="R2217" s="210"/>
      <c r="S2217" s="232"/>
      <c r="T2217" s="270"/>
    </row>
    <row r="2218" spans="14:20" x14ac:dyDescent="0.25">
      <c r="N2218" s="362"/>
      <c r="R2218" s="210"/>
      <c r="S2218" s="232"/>
      <c r="T2218" s="270"/>
    </row>
    <row r="2219" spans="14:20" x14ac:dyDescent="0.25">
      <c r="N2219" s="362"/>
      <c r="R2219" s="210"/>
      <c r="S2219" s="232"/>
      <c r="T2219" s="270"/>
    </row>
    <row r="2220" spans="14:20" x14ac:dyDescent="0.25">
      <c r="N2220" s="362"/>
      <c r="R2220" s="210"/>
      <c r="S2220" s="232"/>
      <c r="T2220" s="270"/>
    </row>
    <row r="2221" spans="14:20" x14ac:dyDescent="0.25">
      <c r="N2221" s="362"/>
      <c r="R2221" s="210"/>
      <c r="S2221" s="232"/>
      <c r="T2221" s="270"/>
    </row>
    <row r="2222" spans="14:20" x14ac:dyDescent="0.25">
      <c r="N2222" s="362"/>
      <c r="R2222" s="210"/>
      <c r="S2222" s="232"/>
      <c r="T2222" s="270"/>
    </row>
    <row r="2223" spans="14:20" x14ac:dyDescent="0.25">
      <c r="N2223" s="362"/>
      <c r="R2223" s="210"/>
      <c r="S2223" s="232"/>
      <c r="T2223" s="270"/>
    </row>
    <row r="2224" spans="14:20" x14ac:dyDescent="0.25">
      <c r="N2224" s="362"/>
      <c r="R2224" s="210"/>
      <c r="S2224" s="232"/>
      <c r="T2224" s="270"/>
    </row>
    <row r="2225" spans="14:20" x14ac:dyDescent="0.25">
      <c r="N2225" s="362"/>
      <c r="R2225" s="210"/>
      <c r="S2225" s="232"/>
      <c r="T2225" s="270"/>
    </row>
    <row r="2226" spans="14:20" x14ac:dyDescent="0.25">
      <c r="N2226" s="362"/>
      <c r="R2226" s="210"/>
      <c r="S2226" s="232"/>
      <c r="T2226" s="270"/>
    </row>
    <row r="2227" spans="14:20" x14ac:dyDescent="0.25">
      <c r="N2227" s="362"/>
      <c r="R2227" s="210"/>
      <c r="S2227" s="232"/>
      <c r="T2227" s="270"/>
    </row>
    <row r="2228" spans="14:20" x14ac:dyDescent="0.25">
      <c r="N2228" s="362"/>
      <c r="R2228" s="210"/>
      <c r="S2228" s="232"/>
      <c r="T2228" s="270"/>
    </row>
    <row r="2229" spans="14:20" x14ac:dyDescent="0.25">
      <c r="N2229" s="362"/>
      <c r="R2229" s="210"/>
      <c r="S2229" s="232"/>
      <c r="T2229" s="270"/>
    </row>
    <row r="2230" spans="14:20" x14ac:dyDescent="0.25">
      <c r="N2230" s="362"/>
      <c r="R2230" s="210"/>
      <c r="S2230" s="232"/>
      <c r="T2230" s="270"/>
    </row>
    <row r="2231" spans="14:20" x14ac:dyDescent="0.25">
      <c r="N2231" s="362"/>
      <c r="R2231" s="210"/>
      <c r="S2231" s="232"/>
      <c r="T2231" s="270"/>
    </row>
    <row r="2232" spans="14:20" x14ac:dyDescent="0.25">
      <c r="N2232" s="362"/>
      <c r="R2232" s="210"/>
      <c r="S2232" s="232"/>
      <c r="T2232" s="270"/>
    </row>
    <row r="2233" spans="14:20" x14ac:dyDescent="0.25">
      <c r="N2233" s="362"/>
      <c r="R2233" s="210"/>
      <c r="S2233" s="232"/>
      <c r="T2233" s="270"/>
    </row>
    <row r="2234" spans="14:20" x14ac:dyDescent="0.25">
      <c r="N2234" s="362"/>
      <c r="R2234" s="210"/>
      <c r="S2234" s="232"/>
      <c r="T2234" s="270"/>
    </row>
    <row r="2235" spans="14:20" x14ac:dyDescent="0.25">
      <c r="N2235" s="362"/>
      <c r="R2235" s="210"/>
      <c r="S2235" s="232"/>
      <c r="T2235" s="270"/>
    </row>
    <row r="2236" spans="14:20" x14ac:dyDescent="0.25">
      <c r="N2236" s="362"/>
      <c r="R2236" s="210"/>
      <c r="S2236" s="232"/>
      <c r="T2236" s="270"/>
    </row>
    <row r="2237" spans="14:20" x14ac:dyDescent="0.25">
      <c r="N2237" s="362"/>
      <c r="R2237" s="210"/>
      <c r="S2237" s="232"/>
      <c r="T2237" s="270"/>
    </row>
    <row r="2238" spans="14:20" x14ac:dyDescent="0.25">
      <c r="N2238" s="362"/>
      <c r="R2238" s="210"/>
      <c r="S2238" s="232"/>
      <c r="T2238" s="270"/>
    </row>
    <row r="2239" spans="14:20" x14ac:dyDescent="0.25">
      <c r="N2239" s="362"/>
      <c r="R2239" s="210"/>
      <c r="S2239" s="232"/>
      <c r="T2239" s="270"/>
    </row>
    <row r="2240" spans="14:20" x14ac:dyDescent="0.25">
      <c r="N2240" s="362"/>
      <c r="R2240" s="210"/>
      <c r="S2240" s="232"/>
      <c r="T2240" s="270"/>
    </row>
    <row r="2241" spans="14:20" x14ac:dyDescent="0.25">
      <c r="N2241" s="362"/>
      <c r="R2241" s="210"/>
      <c r="S2241" s="232"/>
      <c r="T2241" s="270"/>
    </row>
    <row r="2242" spans="14:20" x14ac:dyDescent="0.25">
      <c r="N2242" s="362"/>
      <c r="R2242" s="210"/>
      <c r="S2242" s="232"/>
      <c r="T2242" s="270"/>
    </row>
    <row r="2243" spans="14:20" x14ac:dyDescent="0.25">
      <c r="N2243" s="362"/>
      <c r="R2243" s="210"/>
      <c r="S2243" s="232"/>
      <c r="T2243" s="270"/>
    </row>
    <row r="2244" spans="14:20" x14ac:dyDescent="0.25">
      <c r="N2244" s="362"/>
      <c r="R2244" s="210"/>
      <c r="S2244" s="232"/>
      <c r="T2244" s="270"/>
    </row>
    <row r="2245" spans="14:20" x14ac:dyDescent="0.25">
      <c r="N2245" s="362"/>
      <c r="R2245" s="210"/>
      <c r="S2245" s="232"/>
      <c r="T2245" s="270"/>
    </row>
    <row r="2246" spans="14:20" x14ac:dyDescent="0.25">
      <c r="N2246" s="362"/>
      <c r="R2246" s="210"/>
      <c r="S2246" s="232"/>
      <c r="T2246" s="270"/>
    </row>
    <row r="2247" spans="14:20" x14ac:dyDescent="0.25">
      <c r="N2247" s="362"/>
      <c r="R2247" s="210"/>
      <c r="S2247" s="232"/>
      <c r="T2247" s="270"/>
    </row>
    <row r="2248" spans="14:20" x14ac:dyDescent="0.25">
      <c r="N2248" s="362"/>
      <c r="R2248" s="210"/>
      <c r="S2248" s="232"/>
      <c r="T2248" s="270"/>
    </row>
    <row r="2249" spans="14:20" x14ac:dyDescent="0.25">
      <c r="N2249" s="362"/>
      <c r="R2249" s="210"/>
      <c r="S2249" s="232"/>
      <c r="T2249" s="270"/>
    </row>
    <row r="2250" spans="14:20" x14ac:dyDescent="0.25">
      <c r="N2250" s="362"/>
      <c r="R2250" s="210"/>
      <c r="S2250" s="232"/>
      <c r="T2250" s="270"/>
    </row>
    <row r="2251" spans="14:20" x14ac:dyDescent="0.25">
      <c r="N2251" s="362"/>
      <c r="R2251" s="210"/>
      <c r="S2251" s="232"/>
      <c r="T2251" s="270"/>
    </row>
    <row r="2252" spans="14:20" x14ac:dyDescent="0.25">
      <c r="N2252" s="362"/>
      <c r="R2252" s="210"/>
      <c r="S2252" s="232"/>
      <c r="T2252" s="270"/>
    </row>
    <row r="2253" spans="14:20" x14ac:dyDescent="0.25">
      <c r="N2253" s="362"/>
      <c r="R2253" s="210"/>
      <c r="S2253" s="232"/>
      <c r="T2253" s="270"/>
    </row>
    <row r="2254" spans="14:20" x14ac:dyDescent="0.25">
      <c r="N2254" s="362"/>
      <c r="R2254" s="210"/>
      <c r="S2254" s="232"/>
      <c r="T2254" s="270"/>
    </row>
    <row r="2255" spans="14:20" x14ac:dyDescent="0.25">
      <c r="N2255" s="362"/>
      <c r="R2255" s="210"/>
      <c r="S2255" s="232"/>
      <c r="T2255" s="270"/>
    </row>
    <row r="2256" spans="14:20" x14ac:dyDescent="0.25">
      <c r="N2256" s="362"/>
      <c r="R2256" s="210"/>
      <c r="S2256" s="232"/>
      <c r="T2256" s="270"/>
    </row>
    <row r="2257" spans="14:20" x14ac:dyDescent="0.25">
      <c r="N2257" s="362"/>
      <c r="R2257" s="210"/>
      <c r="S2257" s="232"/>
      <c r="T2257" s="270"/>
    </row>
    <row r="2258" spans="14:20" x14ac:dyDescent="0.25">
      <c r="N2258" s="362"/>
      <c r="R2258" s="210"/>
      <c r="S2258" s="232"/>
      <c r="T2258" s="270"/>
    </row>
    <row r="2259" spans="14:20" x14ac:dyDescent="0.25">
      <c r="N2259" s="362"/>
      <c r="R2259" s="210"/>
      <c r="S2259" s="232"/>
      <c r="T2259" s="270"/>
    </row>
    <row r="2260" spans="14:20" x14ac:dyDescent="0.25">
      <c r="N2260" s="362"/>
      <c r="R2260" s="210"/>
      <c r="S2260" s="232"/>
      <c r="T2260" s="270"/>
    </row>
    <row r="2261" spans="14:20" x14ac:dyDescent="0.25">
      <c r="N2261" s="362"/>
      <c r="R2261" s="210"/>
      <c r="S2261" s="232"/>
      <c r="T2261" s="270"/>
    </row>
    <row r="2262" spans="14:20" x14ac:dyDescent="0.25">
      <c r="N2262" s="362"/>
      <c r="R2262" s="210"/>
      <c r="S2262" s="232"/>
      <c r="T2262" s="270"/>
    </row>
    <row r="2263" spans="14:20" x14ac:dyDescent="0.25">
      <c r="N2263" s="362"/>
      <c r="R2263" s="210"/>
      <c r="S2263" s="232"/>
      <c r="T2263" s="270"/>
    </row>
    <row r="2264" spans="14:20" x14ac:dyDescent="0.25">
      <c r="N2264" s="362"/>
      <c r="R2264" s="210"/>
      <c r="S2264" s="232"/>
      <c r="T2264" s="270"/>
    </row>
    <row r="2265" spans="14:20" x14ac:dyDescent="0.25">
      <c r="N2265" s="362"/>
      <c r="R2265" s="210"/>
      <c r="S2265" s="232"/>
      <c r="T2265" s="270"/>
    </row>
    <row r="2266" spans="14:20" x14ac:dyDescent="0.25">
      <c r="N2266" s="362"/>
      <c r="R2266" s="210"/>
      <c r="S2266" s="232"/>
      <c r="T2266" s="270"/>
    </row>
    <row r="2267" spans="14:20" x14ac:dyDescent="0.25">
      <c r="N2267" s="362"/>
      <c r="R2267" s="210"/>
      <c r="S2267" s="232"/>
      <c r="T2267" s="270"/>
    </row>
    <row r="2268" spans="14:20" x14ac:dyDescent="0.25">
      <c r="N2268" s="362"/>
      <c r="R2268" s="210"/>
      <c r="S2268" s="232"/>
      <c r="T2268" s="270"/>
    </row>
    <row r="2269" spans="14:20" x14ac:dyDescent="0.25">
      <c r="N2269" s="362"/>
      <c r="R2269" s="210"/>
      <c r="S2269" s="232"/>
      <c r="T2269" s="270"/>
    </row>
    <row r="2270" spans="14:20" x14ac:dyDescent="0.25">
      <c r="N2270" s="362"/>
      <c r="R2270" s="210"/>
      <c r="S2270" s="232"/>
      <c r="T2270" s="270"/>
    </row>
    <row r="2271" spans="14:20" x14ac:dyDescent="0.25">
      <c r="N2271" s="362"/>
      <c r="R2271" s="210"/>
      <c r="S2271" s="232"/>
      <c r="T2271" s="270"/>
    </row>
    <row r="2272" spans="14:20" x14ac:dyDescent="0.25">
      <c r="N2272" s="362"/>
      <c r="R2272" s="210"/>
      <c r="S2272" s="232"/>
      <c r="T2272" s="270"/>
    </row>
    <row r="2273" spans="14:20" x14ac:dyDescent="0.25">
      <c r="N2273" s="362"/>
      <c r="R2273" s="210"/>
      <c r="S2273" s="232"/>
      <c r="T2273" s="270"/>
    </row>
    <row r="2274" spans="14:20" x14ac:dyDescent="0.25">
      <c r="N2274" s="362"/>
      <c r="R2274" s="210"/>
      <c r="S2274" s="232"/>
      <c r="T2274" s="270"/>
    </row>
    <row r="2275" spans="14:20" x14ac:dyDescent="0.25">
      <c r="N2275" s="362"/>
      <c r="R2275" s="210"/>
      <c r="S2275" s="232"/>
      <c r="T2275" s="270"/>
    </row>
    <row r="2276" spans="14:20" x14ac:dyDescent="0.25">
      <c r="N2276" s="362"/>
      <c r="R2276" s="210"/>
      <c r="S2276" s="232"/>
      <c r="T2276" s="270"/>
    </row>
    <row r="2277" spans="14:20" x14ac:dyDescent="0.25">
      <c r="N2277" s="362"/>
      <c r="R2277" s="210"/>
      <c r="S2277" s="232"/>
      <c r="T2277" s="270"/>
    </row>
    <row r="2278" spans="14:20" x14ac:dyDescent="0.25">
      <c r="N2278" s="362"/>
      <c r="R2278" s="210"/>
      <c r="S2278" s="232"/>
      <c r="T2278" s="270"/>
    </row>
    <row r="2279" spans="14:20" x14ac:dyDescent="0.25">
      <c r="N2279" s="362"/>
      <c r="R2279" s="210"/>
      <c r="S2279" s="232"/>
      <c r="T2279" s="270"/>
    </row>
    <row r="2280" spans="14:20" x14ac:dyDescent="0.25">
      <c r="N2280" s="362"/>
      <c r="R2280" s="210"/>
      <c r="S2280" s="232"/>
      <c r="T2280" s="270"/>
    </row>
    <row r="2281" spans="14:20" x14ac:dyDescent="0.25">
      <c r="N2281" s="362"/>
      <c r="R2281" s="210"/>
      <c r="S2281" s="232"/>
      <c r="T2281" s="270"/>
    </row>
    <row r="2282" spans="14:20" x14ac:dyDescent="0.25">
      <c r="N2282" s="362"/>
      <c r="R2282" s="210"/>
      <c r="S2282" s="232"/>
      <c r="T2282" s="270"/>
    </row>
    <row r="2283" spans="14:20" x14ac:dyDescent="0.25">
      <c r="N2283" s="362"/>
      <c r="R2283" s="210"/>
      <c r="S2283" s="232"/>
      <c r="T2283" s="270"/>
    </row>
    <row r="2284" spans="14:20" x14ac:dyDescent="0.25">
      <c r="N2284" s="362"/>
      <c r="R2284" s="210"/>
      <c r="S2284" s="232"/>
      <c r="T2284" s="270"/>
    </row>
    <row r="2285" spans="14:20" x14ac:dyDescent="0.25">
      <c r="N2285" s="362"/>
      <c r="R2285" s="210"/>
      <c r="S2285" s="232"/>
      <c r="T2285" s="270"/>
    </row>
    <row r="2286" spans="14:20" x14ac:dyDescent="0.25">
      <c r="N2286" s="362"/>
      <c r="R2286" s="210"/>
      <c r="S2286" s="232"/>
      <c r="T2286" s="270"/>
    </row>
    <row r="2287" spans="14:20" x14ac:dyDescent="0.25">
      <c r="N2287" s="362"/>
      <c r="R2287" s="210"/>
      <c r="S2287" s="232"/>
      <c r="T2287" s="270"/>
    </row>
    <row r="2288" spans="14:20" x14ac:dyDescent="0.25">
      <c r="N2288" s="362"/>
      <c r="R2288" s="210"/>
      <c r="S2288" s="232"/>
      <c r="T2288" s="270"/>
    </row>
    <row r="2289" spans="14:20" x14ac:dyDescent="0.25">
      <c r="N2289" s="362"/>
      <c r="R2289" s="210"/>
      <c r="S2289" s="232"/>
      <c r="T2289" s="270"/>
    </row>
    <row r="2290" spans="14:20" x14ac:dyDescent="0.25">
      <c r="N2290" s="362"/>
      <c r="R2290" s="210"/>
      <c r="S2290" s="232"/>
      <c r="T2290" s="270"/>
    </row>
    <row r="2291" spans="14:20" x14ac:dyDescent="0.25">
      <c r="N2291" s="362"/>
      <c r="R2291" s="210"/>
      <c r="S2291" s="232"/>
      <c r="T2291" s="270"/>
    </row>
    <row r="2292" spans="14:20" x14ac:dyDescent="0.25">
      <c r="N2292" s="362"/>
      <c r="R2292" s="210"/>
      <c r="S2292" s="232"/>
      <c r="T2292" s="270"/>
    </row>
    <row r="2293" spans="14:20" x14ac:dyDescent="0.25">
      <c r="N2293" s="362"/>
      <c r="R2293" s="210"/>
      <c r="S2293" s="232"/>
      <c r="T2293" s="270"/>
    </row>
    <row r="2294" spans="14:20" x14ac:dyDescent="0.25">
      <c r="N2294" s="362"/>
      <c r="R2294" s="210"/>
      <c r="S2294" s="232"/>
      <c r="T2294" s="270"/>
    </row>
    <row r="2295" spans="14:20" x14ac:dyDescent="0.25">
      <c r="N2295" s="362"/>
      <c r="R2295" s="210"/>
      <c r="S2295" s="232"/>
      <c r="T2295" s="270"/>
    </row>
    <row r="2296" spans="14:20" x14ac:dyDescent="0.25">
      <c r="N2296" s="362"/>
      <c r="R2296" s="210"/>
      <c r="S2296" s="232"/>
      <c r="T2296" s="270"/>
    </row>
    <row r="2297" spans="14:20" x14ac:dyDescent="0.25">
      <c r="N2297" s="362"/>
      <c r="R2297" s="210"/>
      <c r="S2297" s="232"/>
      <c r="T2297" s="270"/>
    </row>
    <row r="2298" spans="14:20" x14ac:dyDescent="0.25">
      <c r="N2298" s="362"/>
      <c r="R2298" s="210"/>
      <c r="S2298" s="232"/>
      <c r="T2298" s="270"/>
    </row>
    <row r="2299" spans="14:20" x14ac:dyDescent="0.25">
      <c r="N2299" s="362"/>
      <c r="R2299" s="210"/>
      <c r="S2299" s="232"/>
      <c r="T2299" s="270"/>
    </row>
    <row r="2300" spans="14:20" x14ac:dyDescent="0.25">
      <c r="N2300" s="362"/>
      <c r="R2300" s="210"/>
      <c r="S2300" s="232"/>
      <c r="T2300" s="270"/>
    </row>
    <row r="2301" spans="14:20" x14ac:dyDescent="0.25">
      <c r="N2301" s="362"/>
      <c r="R2301" s="210"/>
      <c r="S2301" s="232"/>
      <c r="T2301" s="270"/>
    </row>
    <row r="2302" spans="14:20" x14ac:dyDescent="0.25">
      <c r="N2302" s="362"/>
      <c r="R2302" s="210"/>
      <c r="S2302" s="232"/>
      <c r="T2302" s="270"/>
    </row>
    <row r="2303" spans="14:20" x14ac:dyDescent="0.25">
      <c r="N2303" s="362"/>
      <c r="R2303" s="210"/>
      <c r="S2303" s="232"/>
      <c r="T2303" s="270"/>
    </row>
    <row r="2304" spans="14:20" x14ac:dyDescent="0.25">
      <c r="N2304" s="362"/>
      <c r="R2304" s="210"/>
      <c r="S2304" s="232"/>
      <c r="T2304" s="270"/>
    </row>
    <row r="2305" spans="14:20" x14ac:dyDescent="0.25">
      <c r="N2305" s="362"/>
      <c r="R2305" s="210"/>
      <c r="S2305" s="232"/>
      <c r="T2305" s="270"/>
    </row>
    <row r="2306" spans="14:20" x14ac:dyDescent="0.25">
      <c r="N2306" s="362"/>
      <c r="R2306" s="210"/>
      <c r="S2306" s="232"/>
      <c r="T2306" s="270"/>
    </row>
    <row r="2307" spans="14:20" x14ac:dyDescent="0.25">
      <c r="N2307" s="362"/>
      <c r="R2307" s="210"/>
      <c r="S2307" s="232"/>
      <c r="T2307" s="270"/>
    </row>
    <row r="2308" spans="14:20" x14ac:dyDescent="0.25">
      <c r="N2308" s="362"/>
      <c r="R2308" s="210"/>
      <c r="S2308" s="232"/>
      <c r="T2308" s="270"/>
    </row>
    <row r="2309" spans="14:20" x14ac:dyDescent="0.25">
      <c r="N2309" s="362"/>
      <c r="R2309" s="210"/>
      <c r="S2309" s="232"/>
      <c r="T2309" s="270"/>
    </row>
    <row r="2310" spans="14:20" x14ac:dyDescent="0.25">
      <c r="N2310" s="362"/>
      <c r="R2310" s="210"/>
      <c r="S2310" s="232"/>
      <c r="T2310" s="270"/>
    </row>
    <row r="2311" spans="14:20" x14ac:dyDescent="0.25">
      <c r="N2311" s="362"/>
      <c r="R2311" s="210"/>
      <c r="S2311" s="232"/>
      <c r="T2311" s="270"/>
    </row>
    <row r="2312" spans="14:20" x14ac:dyDescent="0.25">
      <c r="N2312" s="362"/>
      <c r="R2312" s="210"/>
      <c r="S2312" s="232"/>
      <c r="T2312" s="270"/>
    </row>
    <row r="2313" spans="14:20" x14ac:dyDescent="0.25">
      <c r="N2313" s="362"/>
      <c r="R2313" s="210"/>
      <c r="S2313" s="232"/>
      <c r="T2313" s="270"/>
    </row>
    <row r="2314" spans="14:20" x14ac:dyDescent="0.25">
      <c r="N2314" s="362"/>
      <c r="R2314" s="210"/>
      <c r="S2314" s="232"/>
      <c r="T2314" s="270"/>
    </row>
    <row r="2315" spans="14:20" x14ac:dyDescent="0.25">
      <c r="N2315" s="362"/>
      <c r="R2315" s="210"/>
      <c r="S2315" s="232"/>
      <c r="T2315" s="270"/>
    </row>
    <row r="2316" spans="14:20" x14ac:dyDescent="0.25">
      <c r="N2316" s="362"/>
      <c r="R2316" s="210"/>
      <c r="S2316" s="232"/>
      <c r="T2316" s="270"/>
    </row>
    <row r="2317" spans="14:20" x14ac:dyDescent="0.25">
      <c r="N2317" s="362"/>
      <c r="R2317" s="210"/>
      <c r="S2317" s="232"/>
      <c r="T2317" s="270"/>
    </row>
    <row r="2318" spans="14:20" x14ac:dyDescent="0.25">
      <c r="N2318" s="362"/>
      <c r="R2318" s="210"/>
      <c r="S2318" s="232"/>
      <c r="T2318" s="270"/>
    </row>
    <row r="2319" spans="14:20" x14ac:dyDescent="0.25">
      <c r="N2319" s="362"/>
      <c r="R2319" s="210"/>
      <c r="S2319" s="232"/>
      <c r="T2319" s="270"/>
    </row>
    <row r="2320" spans="14:20" x14ac:dyDescent="0.25">
      <c r="N2320" s="362"/>
      <c r="R2320" s="210"/>
      <c r="S2320" s="232"/>
      <c r="T2320" s="270"/>
    </row>
    <row r="2321" spans="14:20" x14ac:dyDescent="0.25">
      <c r="N2321" s="362"/>
      <c r="R2321" s="210"/>
      <c r="S2321" s="232"/>
      <c r="T2321" s="270"/>
    </row>
    <row r="2322" spans="14:20" x14ac:dyDescent="0.25">
      <c r="N2322" s="362"/>
      <c r="R2322" s="210"/>
      <c r="S2322" s="232"/>
      <c r="T2322" s="270"/>
    </row>
    <row r="2323" spans="14:20" x14ac:dyDescent="0.25">
      <c r="N2323" s="362"/>
      <c r="R2323" s="210"/>
      <c r="S2323" s="232"/>
      <c r="T2323" s="270"/>
    </row>
    <row r="2324" spans="14:20" x14ac:dyDescent="0.25">
      <c r="N2324" s="362"/>
      <c r="R2324" s="210"/>
      <c r="S2324" s="232"/>
      <c r="T2324" s="270"/>
    </row>
    <row r="2325" spans="14:20" x14ac:dyDescent="0.25">
      <c r="N2325" s="362"/>
      <c r="R2325" s="210"/>
      <c r="S2325" s="232"/>
      <c r="T2325" s="270"/>
    </row>
    <row r="2326" spans="14:20" x14ac:dyDescent="0.25">
      <c r="N2326" s="362"/>
      <c r="R2326" s="210"/>
      <c r="S2326" s="232"/>
      <c r="T2326" s="270"/>
    </row>
    <row r="2327" spans="14:20" x14ac:dyDescent="0.25">
      <c r="N2327" s="362"/>
      <c r="R2327" s="210"/>
      <c r="S2327" s="232"/>
      <c r="T2327" s="270"/>
    </row>
    <row r="2328" spans="14:20" x14ac:dyDescent="0.25">
      <c r="N2328" s="362"/>
      <c r="R2328" s="210"/>
      <c r="S2328" s="232"/>
      <c r="T2328" s="270"/>
    </row>
    <row r="2329" spans="14:20" x14ac:dyDescent="0.25">
      <c r="N2329" s="362"/>
      <c r="R2329" s="210"/>
      <c r="S2329" s="232"/>
      <c r="T2329" s="270"/>
    </row>
    <row r="2330" spans="14:20" x14ac:dyDescent="0.25">
      <c r="N2330" s="362"/>
      <c r="R2330" s="210"/>
      <c r="S2330" s="232"/>
      <c r="T2330" s="270"/>
    </row>
    <row r="2331" spans="14:20" x14ac:dyDescent="0.25">
      <c r="N2331" s="362"/>
      <c r="R2331" s="210"/>
      <c r="S2331" s="232"/>
      <c r="T2331" s="270"/>
    </row>
    <row r="2332" spans="14:20" x14ac:dyDescent="0.25">
      <c r="N2332" s="362"/>
      <c r="R2332" s="210"/>
      <c r="S2332" s="232"/>
      <c r="T2332" s="270"/>
    </row>
    <row r="2333" spans="14:20" x14ac:dyDescent="0.25">
      <c r="N2333" s="362"/>
      <c r="R2333" s="210"/>
      <c r="S2333" s="232"/>
      <c r="T2333" s="270"/>
    </row>
    <row r="2334" spans="14:20" x14ac:dyDescent="0.25">
      <c r="N2334" s="362"/>
      <c r="R2334" s="210"/>
      <c r="S2334" s="232"/>
      <c r="T2334" s="270"/>
    </row>
    <row r="2335" spans="14:20" x14ac:dyDescent="0.25">
      <c r="N2335" s="362"/>
      <c r="R2335" s="210"/>
      <c r="S2335" s="232"/>
      <c r="T2335" s="270"/>
    </row>
    <row r="2336" spans="14:20" x14ac:dyDescent="0.25">
      <c r="N2336" s="362"/>
      <c r="R2336" s="210"/>
      <c r="S2336" s="232"/>
      <c r="T2336" s="270"/>
    </row>
    <row r="2337" spans="14:20" x14ac:dyDescent="0.25">
      <c r="N2337" s="362"/>
      <c r="R2337" s="210"/>
      <c r="S2337" s="232"/>
      <c r="T2337" s="270"/>
    </row>
    <row r="2338" spans="14:20" x14ac:dyDescent="0.25">
      <c r="N2338" s="362"/>
      <c r="R2338" s="210"/>
      <c r="S2338" s="232"/>
      <c r="T2338" s="270"/>
    </row>
    <row r="2339" spans="14:20" x14ac:dyDescent="0.25">
      <c r="N2339" s="362"/>
      <c r="R2339" s="210"/>
      <c r="S2339" s="232"/>
      <c r="T2339" s="270"/>
    </row>
    <row r="2340" spans="14:20" x14ac:dyDescent="0.25">
      <c r="N2340" s="362"/>
      <c r="R2340" s="210"/>
      <c r="S2340" s="232"/>
      <c r="T2340" s="270"/>
    </row>
    <row r="2341" spans="14:20" x14ac:dyDescent="0.25">
      <c r="N2341" s="362"/>
      <c r="R2341" s="210"/>
      <c r="S2341" s="232"/>
      <c r="T2341" s="270"/>
    </row>
    <row r="2342" spans="14:20" x14ac:dyDescent="0.25">
      <c r="N2342" s="362"/>
      <c r="R2342" s="210"/>
      <c r="S2342" s="232"/>
      <c r="T2342" s="270"/>
    </row>
    <row r="2343" spans="14:20" x14ac:dyDescent="0.25">
      <c r="N2343" s="362"/>
      <c r="R2343" s="210"/>
      <c r="S2343" s="232"/>
      <c r="T2343" s="270"/>
    </row>
    <row r="2344" spans="14:20" x14ac:dyDescent="0.25">
      <c r="N2344" s="362"/>
      <c r="R2344" s="210"/>
      <c r="S2344" s="232"/>
      <c r="T2344" s="270"/>
    </row>
    <row r="2345" spans="14:20" x14ac:dyDescent="0.25">
      <c r="N2345" s="362"/>
      <c r="R2345" s="210"/>
      <c r="S2345" s="232"/>
      <c r="T2345" s="270"/>
    </row>
    <row r="2346" spans="14:20" x14ac:dyDescent="0.25">
      <c r="N2346" s="362"/>
      <c r="R2346" s="210"/>
      <c r="S2346" s="232"/>
      <c r="T2346" s="270"/>
    </row>
    <row r="2347" spans="14:20" x14ac:dyDescent="0.25">
      <c r="N2347" s="362"/>
      <c r="R2347" s="210"/>
      <c r="S2347" s="232"/>
      <c r="T2347" s="270"/>
    </row>
    <row r="2348" spans="14:20" x14ac:dyDescent="0.25">
      <c r="N2348" s="362"/>
      <c r="R2348" s="210"/>
      <c r="S2348" s="232"/>
      <c r="T2348" s="270"/>
    </row>
    <row r="2349" spans="14:20" x14ac:dyDescent="0.25">
      <c r="N2349" s="362"/>
      <c r="R2349" s="210"/>
      <c r="S2349" s="232"/>
      <c r="T2349" s="270"/>
    </row>
    <row r="2350" spans="14:20" x14ac:dyDescent="0.25">
      <c r="N2350" s="362"/>
      <c r="R2350" s="210"/>
      <c r="S2350" s="232"/>
      <c r="T2350" s="270"/>
    </row>
    <row r="2351" spans="14:20" x14ac:dyDescent="0.25">
      <c r="N2351" s="362"/>
      <c r="R2351" s="210"/>
      <c r="S2351" s="232"/>
      <c r="T2351" s="270"/>
    </row>
    <row r="2352" spans="14:20" x14ac:dyDescent="0.25">
      <c r="N2352" s="362"/>
      <c r="R2352" s="210"/>
      <c r="S2352" s="232"/>
      <c r="T2352" s="270"/>
    </row>
    <row r="2353" spans="14:20" x14ac:dyDescent="0.25">
      <c r="N2353" s="362"/>
      <c r="R2353" s="210"/>
      <c r="S2353" s="232"/>
      <c r="T2353" s="270"/>
    </row>
    <row r="2354" spans="14:20" x14ac:dyDescent="0.25">
      <c r="N2354" s="362"/>
      <c r="R2354" s="210"/>
      <c r="S2354" s="232"/>
      <c r="T2354" s="270"/>
    </row>
    <row r="2355" spans="14:20" x14ac:dyDescent="0.25">
      <c r="N2355" s="362"/>
      <c r="R2355" s="210"/>
      <c r="S2355" s="232"/>
      <c r="T2355" s="270"/>
    </row>
    <row r="2356" spans="14:20" x14ac:dyDescent="0.25">
      <c r="N2356" s="362"/>
      <c r="R2356" s="210"/>
      <c r="S2356" s="232"/>
      <c r="T2356" s="270"/>
    </row>
    <row r="2357" spans="14:20" x14ac:dyDescent="0.25">
      <c r="N2357" s="362"/>
      <c r="R2357" s="210"/>
      <c r="S2357" s="232"/>
      <c r="T2357" s="270"/>
    </row>
    <row r="2358" spans="14:20" x14ac:dyDescent="0.25">
      <c r="N2358" s="362"/>
      <c r="R2358" s="210"/>
      <c r="S2358" s="232"/>
      <c r="T2358" s="270"/>
    </row>
    <row r="2359" spans="14:20" x14ac:dyDescent="0.25">
      <c r="N2359" s="362"/>
      <c r="R2359" s="210"/>
      <c r="S2359" s="232"/>
      <c r="T2359" s="270"/>
    </row>
    <row r="2360" spans="14:20" x14ac:dyDescent="0.25">
      <c r="N2360" s="362"/>
      <c r="R2360" s="210"/>
      <c r="S2360" s="232"/>
      <c r="T2360" s="270"/>
    </row>
    <row r="2361" spans="14:20" x14ac:dyDescent="0.25">
      <c r="N2361" s="362"/>
      <c r="R2361" s="210"/>
      <c r="S2361" s="232"/>
      <c r="T2361" s="270"/>
    </row>
    <row r="2362" spans="14:20" x14ac:dyDescent="0.25">
      <c r="N2362" s="362"/>
      <c r="R2362" s="210"/>
      <c r="S2362" s="232"/>
      <c r="T2362" s="270"/>
    </row>
    <row r="2363" spans="14:20" x14ac:dyDescent="0.25">
      <c r="N2363" s="362"/>
      <c r="R2363" s="210"/>
      <c r="S2363" s="232"/>
      <c r="T2363" s="270"/>
    </row>
    <row r="2364" spans="14:20" x14ac:dyDescent="0.25">
      <c r="N2364" s="362"/>
      <c r="R2364" s="210"/>
      <c r="S2364" s="232"/>
      <c r="T2364" s="270"/>
    </row>
    <row r="2365" spans="14:20" x14ac:dyDescent="0.25">
      <c r="N2365" s="362"/>
      <c r="R2365" s="210"/>
      <c r="S2365" s="232"/>
      <c r="T2365" s="270"/>
    </row>
    <row r="2366" spans="14:20" x14ac:dyDescent="0.25">
      <c r="N2366" s="362"/>
      <c r="R2366" s="210"/>
      <c r="S2366" s="232"/>
      <c r="T2366" s="270"/>
    </row>
    <row r="2367" spans="14:20" x14ac:dyDescent="0.25">
      <c r="N2367" s="362"/>
      <c r="R2367" s="210"/>
      <c r="S2367" s="232"/>
      <c r="T2367" s="270"/>
    </row>
    <row r="2368" spans="14:20" x14ac:dyDescent="0.25">
      <c r="N2368" s="362"/>
      <c r="R2368" s="210"/>
      <c r="S2368" s="232"/>
      <c r="T2368" s="270"/>
    </row>
    <row r="2369" spans="14:20" x14ac:dyDescent="0.25">
      <c r="N2369" s="362"/>
      <c r="R2369" s="210"/>
      <c r="S2369" s="232"/>
      <c r="T2369" s="270"/>
    </row>
    <row r="2370" spans="14:20" x14ac:dyDescent="0.25">
      <c r="N2370" s="362"/>
      <c r="R2370" s="210"/>
      <c r="S2370" s="232"/>
      <c r="T2370" s="270"/>
    </row>
    <row r="2371" spans="14:20" x14ac:dyDescent="0.25">
      <c r="N2371" s="362"/>
      <c r="R2371" s="210"/>
      <c r="S2371" s="232"/>
      <c r="T2371" s="270"/>
    </row>
    <row r="2372" spans="14:20" x14ac:dyDescent="0.25">
      <c r="N2372" s="362"/>
      <c r="R2372" s="210"/>
      <c r="S2372" s="232"/>
      <c r="T2372" s="270"/>
    </row>
    <row r="2373" spans="14:20" x14ac:dyDescent="0.25">
      <c r="N2373" s="362"/>
      <c r="R2373" s="210"/>
      <c r="S2373" s="232"/>
      <c r="T2373" s="270"/>
    </row>
    <row r="2374" spans="14:20" x14ac:dyDescent="0.25">
      <c r="N2374" s="362"/>
      <c r="R2374" s="210"/>
      <c r="S2374" s="232"/>
      <c r="T2374" s="270"/>
    </row>
    <row r="2375" spans="14:20" x14ac:dyDescent="0.25">
      <c r="N2375" s="362"/>
      <c r="R2375" s="210"/>
      <c r="S2375" s="232"/>
      <c r="T2375" s="270"/>
    </row>
    <row r="2376" spans="14:20" x14ac:dyDescent="0.25">
      <c r="N2376" s="362"/>
      <c r="R2376" s="210"/>
      <c r="S2376" s="232"/>
      <c r="T2376" s="270"/>
    </row>
    <row r="2377" spans="14:20" x14ac:dyDescent="0.25">
      <c r="N2377" s="362"/>
      <c r="R2377" s="210"/>
      <c r="S2377" s="232"/>
      <c r="T2377" s="270"/>
    </row>
    <row r="2378" spans="14:20" x14ac:dyDescent="0.25">
      <c r="N2378" s="362"/>
      <c r="R2378" s="210"/>
      <c r="S2378" s="232"/>
      <c r="T2378" s="270"/>
    </row>
    <row r="2379" spans="14:20" x14ac:dyDescent="0.25">
      <c r="N2379" s="362"/>
      <c r="R2379" s="210"/>
      <c r="S2379" s="232"/>
      <c r="T2379" s="270"/>
    </row>
    <row r="2380" spans="14:20" x14ac:dyDescent="0.25">
      <c r="N2380" s="362"/>
      <c r="R2380" s="210"/>
      <c r="S2380" s="232"/>
      <c r="T2380" s="270"/>
    </row>
    <row r="2381" spans="14:20" x14ac:dyDescent="0.25">
      <c r="N2381" s="362"/>
      <c r="R2381" s="210"/>
      <c r="S2381" s="232"/>
      <c r="T2381" s="270"/>
    </row>
    <row r="2382" spans="14:20" x14ac:dyDescent="0.25">
      <c r="N2382" s="362"/>
      <c r="R2382" s="210"/>
      <c r="S2382" s="232"/>
      <c r="T2382" s="270"/>
    </row>
    <row r="2383" spans="14:20" x14ac:dyDescent="0.25">
      <c r="N2383" s="362"/>
      <c r="R2383" s="210"/>
      <c r="S2383" s="232"/>
      <c r="T2383" s="270"/>
    </row>
    <row r="2384" spans="14:20" x14ac:dyDescent="0.25">
      <c r="N2384" s="362"/>
      <c r="R2384" s="210"/>
      <c r="S2384" s="232"/>
      <c r="T2384" s="270"/>
    </row>
    <row r="2385" spans="14:20" x14ac:dyDescent="0.25">
      <c r="N2385" s="362"/>
      <c r="R2385" s="210"/>
      <c r="S2385" s="232"/>
      <c r="T2385" s="270"/>
    </row>
    <row r="2386" spans="14:20" x14ac:dyDescent="0.25">
      <c r="N2386" s="362"/>
      <c r="R2386" s="210"/>
      <c r="S2386" s="232"/>
      <c r="T2386" s="270"/>
    </row>
    <row r="2387" spans="14:20" x14ac:dyDescent="0.25">
      <c r="N2387" s="362"/>
      <c r="R2387" s="210"/>
      <c r="S2387" s="232"/>
      <c r="T2387" s="270"/>
    </row>
    <row r="2388" spans="14:20" x14ac:dyDescent="0.25">
      <c r="N2388" s="362"/>
      <c r="R2388" s="210"/>
      <c r="S2388" s="232"/>
      <c r="T2388" s="270"/>
    </row>
    <row r="2389" spans="14:20" x14ac:dyDescent="0.25">
      <c r="N2389" s="362"/>
      <c r="R2389" s="210"/>
      <c r="S2389" s="232"/>
      <c r="T2389" s="270"/>
    </row>
    <row r="2390" spans="14:20" x14ac:dyDescent="0.25">
      <c r="N2390" s="362"/>
      <c r="R2390" s="210"/>
      <c r="S2390" s="232"/>
      <c r="T2390" s="270"/>
    </row>
    <row r="2391" spans="14:20" x14ac:dyDescent="0.25">
      <c r="N2391" s="362"/>
      <c r="R2391" s="210"/>
      <c r="S2391" s="232"/>
      <c r="T2391" s="270"/>
    </row>
    <row r="2392" spans="14:20" x14ac:dyDescent="0.25">
      <c r="N2392" s="362"/>
      <c r="R2392" s="210"/>
      <c r="S2392" s="232"/>
      <c r="T2392" s="270"/>
    </row>
    <row r="2393" spans="14:20" x14ac:dyDescent="0.25">
      <c r="N2393" s="362"/>
      <c r="R2393" s="210"/>
      <c r="S2393" s="232"/>
      <c r="T2393" s="270"/>
    </row>
    <row r="2394" spans="14:20" x14ac:dyDescent="0.25">
      <c r="N2394" s="362"/>
      <c r="R2394" s="210"/>
      <c r="S2394" s="232"/>
      <c r="T2394" s="270"/>
    </row>
    <row r="2395" spans="14:20" x14ac:dyDescent="0.25">
      <c r="N2395" s="362"/>
      <c r="R2395" s="210"/>
      <c r="S2395" s="232"/>
      <c r="T2395" s="270"/>
    </row>
    <row r="2396" spans="14:20" x14ac:dyDescent="0.25">
      <c r="N2396" s="362"/>
      <c r="R2396" s="210"/>
      <c r="S2396" s="232"/>
      <c r="T2396" s="270"/>
    </row>
    <row r="2397" spans="14:20" x14ac:dyDescent="0.25">
      <c r="N2397" s="362"/>
      <c r="R2397" s="210"/>
      <c r="S2397" s="232"/>
      <c r="T2397" s="270"/>
    </row>
    <row r="2398" spans="14:20" x14ac:dyDescent="0.25">
      <c r="N2398" s="362"/>
      <c r="R2398" s="210"/>
      <c r="S2398" s="232"/>
      <c r="T2398" s="270"/>
    </row>
    <row r="2399" spans="14:20" x14ac:dyDescent="0.25">
      <c r="N2399" s="362"/>
      <c r="R2399" s="210"/>
      <c r="S2399" s="232"/>
      <c r="T2399" s="270"/>
    </row>
    <row r="2400" spans="14:20" x14ac:dyDescent="0.25">
      <c r="N2400" s="362"/>
      <c r="R2400" s="210"/>
      <c r="S2400" s="232"/>
      <c r="T2400" s="270"/>
    </row>
    <row r="2401" spans="14:20" x14ac:dyDescent="0.25">
      <c r="N2401" s="362"/>
      <c r="R2401" s="210"/>
      <c r="S2401" s="232"/>
      <c r="T2401" s="270"/>
    </row>
    <row r="2402" spans="14:20" x14ac:dyDescent="0.25">
      <c r="N2402" s="362"/>
      <c r="R2402" s="210"/>
      <c r="S2402" s="232"/>
      <c r="T2402" s="270"/>
    </row>
    <row r="2403" spans="14:20" x14ac:dyDescent="0.25">
      <c r="N2403" s="362"/>
      <c r="R2403" s="210"/>
      <c r="S2403" s="232"/>
      <c r="T2403" s="270"/>
    </row>
    <row r="2404" spans="14:20" x14ac:dyDescent="0.25">
      <c r="N2404" s="362"/>
      <c r="R2404" s="210"/>
      <c r="S2404" s="232"/>
      <c r="T2404" s="270"/>
    </row>
    <row r="2405" spans="14:20" x14ac:dyDescent="0.25">
      <c r="N2405" s="362"/>
      <c r="R2405" s="210"/>
      <c r="S2405" s="232"/>
      <c r="T2405" s="270"/>
    </row>
    <row r="2406" spans="14:20" x14ac:dyDescent="0.25">
      <c r="N2406" s="362"/>
      <c r="R2406" s="210"/>
      <c r="S2406" s="232"/>
      <c r="T2406" s="270"/>
    </row>
    <row r="2407" spans="14:20" x14ac:dyDescent="0.25">
      <c r="N2407" s="362"/>
      <c r="R2407" s="210"/>
      <c r="S2407" s="232"/>
      <c r="T2407" s="270"/>
    </row>
    <row r="2408" spans="14:20" x14ac:dyDescent="0.25">
      <c r="N2408" s="362"/>
      <c r="R2408" s="210"/>
      <c r="S2408" s="232"/>
      <c r="T2408" s="270"/>
    </row>
    <row r="2409" spans="14:20" x14ac:dyDescent="0.25">
      <c r="N2409" s="362"/>
      <c r="R2409" s="210"/>
      <c r="S2409" s="232"/>
      <c r="T2409" s="270"/>
    </row>
    <row r="2410" spans="14:20" x14ac:dyDescent="0.25">
      <c r="N2410" s="362"/>
      <c r="R2410" s="210"/>
      <c r="S2410" s="232"/>
      <c r="T2410" s="270"/>
    </row>
    <row r="2411" spans="14:20" x14ac:dyDescent="0.25">
      <c r="N2411" s="362"/>
      <c r="R2411" s="210"/>
      <c r="S2411" s="232"/>
      <c r="T2411" s="270"/>
    </row>
    <row r="2412" spans="14:20" x14ac:dyDescent="0.25">
      <c r="N2412" s="362"/>
      <c r="R2412" s="210"/>
      <c r="S2412" s="232"/>
      <c r="T2412" s="270"/>
    </row>
    <row r="2413" spans="14:20" x14ac:dyDescent="0.25">
      <c r="N2413" s="362"/>
      <c r="R2413" s="210"/>
      <c r="S2413" s="232"/>
      <c r="T2413" s="270"/>
    </row>
    <row r="2414" spans="14:20" x14ac:dyDescent="0.25">
      <c r="N2414" s="362"/>
      <c r="R2414" s="210"/>
      <c r="S2414" s="232"/>
      <c r="T2414" s="270"/>
    </row>
    <row r="2415" spans="14:20" x14ac:dyDescent="0.25">
      <c r="N2415" s="362"/>
      <c r="R2415" s="210"/>
      <c r="S2415" s="232"/>
      <c r="T2415" s="270"/>
    </row>
    <row r="2416" spans="14:20" x14ac:dyDescent="0.25">
      <c r="N2416" s="362"/>
      <c r="R2416" s="210"/>
      <c r="S2416" s="232"/>
      <c r="T2416" s="270"/>
    </row>
    <row r="2417" spans="14:20" x14ac:dyDescent="0.25">
      <c r="N2417" s="362"/>
      <c r="R2417" s="210"/>
      <c r="S2417" s="232"/>
      <c r="T2417" s="270"/>
    </row>
    <row r="2418" spans="14:20" x14ac:dyDescent="0.25">
      <c r="N2418" s="362"/>
      <c r="R2418" s="210"/>
      <c r="S2418" s="232"/>
      <c r="T2418" s="270"/>
    </row>
    <row r="2419" spans="14:20" x14ac:dyDescent="0.25">
      <c r="N2419" s="362"/>
      <c r="R2419" s="210"/>
      <c r="S2419" s="232"/>
      <c r="T2419" s="270"/>
    </row>
    <row r="2420" spans="14:20" x14ac:dyDescent="0.25">
      <c r="N2420" s="362"/>
      <c r="R2420" s="210"/>
      <c r="S2420" s="232"/>
      <c r="T2420" s="270"/>
    </row>
    <row r="2421" spans="14:20" x14ac:dyDescent="0.25">
      <c r="N2421" s="362"/>
      <c r="R2421" s="210"/>
      <c r="S2421" s="232"/>
      <c r="T2421" s="270"/>
    </row>
    <row r="2422" spans="14:20" x14ac:dyDescent="0.25">
      <c r="N2422" s="362"/>
      <c r="R2422" s="210"/>
      <c r="S2422" s="232"/>
      <c r="T2422" s="270"/>
    </row>
    <row r="2423" spans="14:20" x14ac:dyDescent="0.25">
      <c r="N2423" s="362"/>
      <c r="R2423" s="210"/>
      <c r="S2423" s="232"/>
      <c r="T2423" s="270"/>
    </row>
    <row r="2424" spans="14:20" x14ac:dyDescent="0.25">
      <c r="N2424" s="362"/>
      <c r="R2424" s="210"/>
      <c r="S2424" s="232"/>
      <c r="T2424" s="270"/>
    </row>
    <row r="2425" spans="14:20" x14ac:dyDescent="0.25">
      <c r="N2425" s="362"/>
      <c r="R2425" s="210"/>
      <c r="S2425" s="232"/>
      <c r="T2425" s="270"/>
    </row>
    <row r="2426" spans="14:20" x14ac:dyDescent="0.25">
      <c r="N2426" s="362"/>
      <c r="R2426" s="210"/>
      <c r="S2426" s="232"/>
      <c r="T2426" s="270"/>
    </row>
    <row r="2427" spans="14:20" x14ac:dyDescent="0.25">
      <c r="N2427" s="362"/>
      <c r="R2427" s="210"/>
      <c r="S2427" s="232"/>
      <c r="T2427" s="270"/>
    </row>
    <row r="2428" spans="14:20" x14ac:dyDescent="0.25">
      <c r="N2428" s="362"/>
      <c r="R2428" s="210"/>
      <c r="S2428" s="232"/>
      <c r="T2428" s="270"/>
    </row>
    <row r="2429" spans="14:20" x14ac:dyDescent="0.25">
      <c r="N2429" s="362"/>
      <c r="R2429" s="210"/>
      <c r="S2429" s="232"/>
      <c r="T2429" s="270"/>
    </row>
    <row r="2430" spans="14:20" x14ac:dyDescent="0.25">
      <c r="N2430" s="362"/>
      <c r="R2430" s="210"/>
      <c r="S2430" s="232"/>
      <c r="T2430" s="270"/>
    </row>
    <row r="2431" spans="14:20" x14ac:dyDescent="0.25">
      <c r="N2431" s="362"/>
      <c r="R2431" s="210"/>
      <c r="S2431" s="232"/>
      <c r="T2431" s="270"/>
    </row>
    <row r="2432" spans="14:20" x14ac:dyDescent="0.25">
      <c r="N2432" s="362"/>
      <c r="R2432" s="210"/>
      <c r="S2432" s="232"/>
      <c r="T2432" s="270"/>
    </row>
    <row r="2433" spans="14:20" x14ac:dyDescent="0.25">
      <c r="N2433" s="362"/>
      <c r="R2433" s="210"/>
      <c r="S2433" s="232"/>
      <c r="T2433" s="270"/>
    </row>
    <row r="2434" spans="14:20" x14ac:dyDescent="0.25">
      <c r="N2434" s="362"/>
      <c r="R2434" s="210"/>
      <c r="S2434" s="232"/>
      <c r="T2434" s="270"/>
    </row>
    <row r="2435" spans="14:20" x14ac:dyDescent="0.25">
      <c r="N2435" s="362"/>
      <c r="R2435" s="210"/>
      <c r="S2435" s="232"/>
      <c r="T2435" s="270"/>
    </row>
    <row r="2436" spans="14:20" x14ac:dyDescent="0.25">
      <c r="N2436" s="362"/>
      <c r="R2436" s="210"/>
      <c r="S2436" s="232"/>
      <c r="T2436" s="270"/>
    </row>
    <row r="2437" spans="14:20" x14ac:dyDescent="0.25">
      <c r="N2437" s="362"/>
      <c r="R2437" s="210"/>
      <c r="S2437" s="232"/>
      <c r="T2437" s="270"/>
    </row>
    <row r="2438" spans="14:20" x14ac:dyDescent="0.25">
      <c r="N2438" s="362"/>
      <c r="R2438" s="210"/>
      <c r="S2438" s="232"/>
      <c r="T2438" s="270"/>
    </row>
    <row r="2439" spans="14:20" x14ac:dyDescent="0.25">
      <c r="N2439" s="362"/>
      <c r="R2439" s="210"/>
      <c r="S2439" s="232"/>
      <c r="T2439" s="270"/>
    </row>
    <row r="2440" spans="14:20" x14ac:dyDescent="0.25">
      <c r="N2440" s="362"/>
      <c r="R2440" s="210"/>
      <c r="S2440" s="232"/>
      <c r="T2440" s="270"/>
    </row>
    <row r="2441" spans="14:20" x14ac:dyDescent="0.25">
      <c r="N2441" s="362"/>
      <c r="R2441" s="210"/>
      <c r="S2441" s="232"/>
      <c r="T2441" s="270"/>
    </row>
    <row r="2442" spans="14:20" x14ac:dyDescent="0.25">
      <c r="N2442" s="362"/>
      <c r="R2442" s="210"/>
      <c r="S2442" s="232"/>
      <c r="T2442" s="270"/>
    </row>
    <row r="2443" spans="14:20" x14ac:dyDescent="0.25">
      <c r="N2443" s="362"/>
      <c r="R2443" s="210"/>
      <c r="S2443" s="232"/>
      <c r="T2443" s="270"/>
    </row>
    <row r="2444" spans="14:20" x14ac:dyDescent="0.25">
      <c r="N2444" s="362"/>
      <c r="R2444" s="210"/>
      <c r="S2444" s="232"/>
      <c r="T2444" s="270"/>
    </row>
    <row r="2445" spans="14:20" x14ac:dyDescent="0.25">
      <c r="N2445" s="362"/>
      <c r="R2445" s="210"/>
      <c r="S2445" s="232"/>
      <c r="T2445" s="270"/>
    </row>
    <row r="2446" spans="14:20" x14ac:dyDescent="0.25">
      <c r="N2446" s="362"/>
      <c r="R2446" s="210"/>
      <c r="S2446" s="232"/>
      <c r="T2446" s="270"/>
    </row>
    <row r="2447" spans="14:20" x14ac:dyDescent="0.25">
      <c r="N2447" s="362"/>
      <c r="R2447" s="210"/>
      <c r="S2447" s="232"/>
      <c r="T2447" s="270"/>
    </row>
    <row r="2448" spans="14:20" x14ac:dyDescent="0.25">
      <c r="N2448" s="362"/>
      <c r="R2448" s="210"/>
      <c r="S2448" s="232"/>
      <c r="T2448" s="270"/>
    </row>
    <row r="2449" spans="14:20" x14ac:dyDescent="0.25">
      <c r="N2449" s="362"/>
      <c r="R2449" s="210"/>
      <c r="S2449" s="232"/>
      <c r="T2449" s="270"/>
    </row>
    <row r="2450" spans="14:20" x14ac:dyDescent="0.25">
      <c r="N2450" s="362"/>
      <c r="R2450" s="210"/>
      <c r="S2450" s="232"/>
      <c r="T2450" s="270"/>
    </row>
    <row r="2451" spans="14:20" x14ac:dyDescent="0.25">
      <c r="N2451" s="362"/>
      <c r="R2451" s="210"/>
      <c r="S2451" s="232"/>
      <c r="T2451" s="270"/>
    </row>
    <row r="2452" spans="14:20" x14ac:dyDescent="0.25">
      <c r="N2452" s="362"/>
      <c r="R2452" s="210"/>
      <c r="S2452" s="232"/>
      <c r="T2452" s="270"/>
    </row>
    <row r="2453" spans="14:20" x14ac:dyDescent="0.25">
      <c r="N2453" s="362"/>
      <c r="R2453" s="210"/>
      <c r="S2453" s="232"/>
      <c r="T2453" s="270"/>
    </row>
    <row r="2454" spans="14:20" x14ac:dyDescent="0.25">
      <c r="N2454" s="362"/>
      <c r="R2454" s="210"/>
      <c r="S2454" s="232"/>
      <c r="T2454" s="270"/>
    </row>
    <row r="2455" spans="14:20" x14ac:dyDescent="0.25">
      <c r="N2455" s="362"/>
      <c r="R2455" s="210"/>
      <c r="S2455" s="232"/>
      <c r="T2455" s="270"/>
    </row>
    <row r="2456" spans="14:20" x14ac:dyDescent="0.25">
      <c r="N2456" s="362"/>
      <c r="R2456" s="210"/>
      <c r="S2456" s="232"/>
      <c r="T2456" s="270"/>
    </row>
    <row r="2457" spans="14:20" x14ac:dyDescent="0.25">
      <c r="N2457" s="362"/>
      <c r="R2457" s="210"/>
      <c r="S2457" s="232"/>
      <c r="T2457" s="270"/>
    </row>
    <row r="2458" spans="14:20" x14ac:dyDescent="0.25">
      <c r="N2458" s="362"/>
      <c r="R2458" s="210"/>
      <c r="S2458" s="232"/>
      <c r="T2458" s="270"/>
    </row>
    <row r="2459" spans="14:20" x14ac:dyDescent="0.25">
      <c r="N2459" s="362"/>
      <c r="R2459" s="210"/>
      <c r="S2459" s="232"/>
      <c r="T2459" s="270"/>
    </row>
    <row r="2460" spans="14:20" x14ac:dyDescent="0.25">
      <c r="N2460" s="362"/>
      <c r="R2460" s="210"/>
      <c r="S2460" s="232"/>
      <c r="T2460" s="270"/>
    </row>
    <row r="2461" spans="14:20" x14ac:dyDescent="0.25">
      <c r="N2461" s="362"/>
      <c r="R2461" s="210"/>
      <c r="S2461" s="232"/>
      <c r="T2461" s="270"/>
    </row>
    <row r="2462" spans="14:20" x14ac:dyDescent="0.25">
      <c r="N2462" s="362"/>
      <c r="R2462" s="210"/>
      <c r="S2462" s="232"/>
      <c r="T2462" s="270"/>
    </row>
    <row r="2463" spans="14:20" x14ac:dyDescent="0.25">
      <c r="N2463" s="362"/>
      <c r="R2463" s="210"/>
      <c r="S2463" s="232"/>
      <c r="T2463" s="270"/>
    </row>
    <row r="2464" spans="14:20" x14ac:dyDescent="0.25">
      <c r="N2464" s="362"/>
      <c r="R2464" s="210"/>
      <c r="S2464" s="232"/>
      <c r="T2464" s="270"/>
    </row>
    <row r="2465" spans="14:20" x14ac:dyDescent="0.25">
      <c r="N2465" s="362"/>
      <c r="R2465" s="210"/>
      <c r="S2465" s="232"/>
      <c r="T2465" s="270"/>
    </row>
    <row r="2466" spans="14:20" x14ac:dyDescent="0.25">
      <c r="N2466" s="362"/>
      <c r="R2466" s="210"/>
      <c r="S2466" s="232"/>
      <c r="T2466" s="270"/>
    </row>
    <row r="2467" spans="14:20" x14ac:dyDescent="0.25">
      <c r="N2467" s="362"/>
      <c r="R2467" s="210"/>
      <c r="S2467" s="232"/>
      <c r="T2467" s="270"/>
    </row>
    <row r="2468" spans="14:20" x14ac:dyDescent="0.25">
      <c r="N2468" s="362"/>
      <c r="R2468" s="210"/>
      <c r="S2468" s="232"/>
      <c r="T2468" s="270"/>
    </row>
    <row r="2469" spans="14:20" x14ac:dyDescent="0.25">
      <c r="N2469" s="362"/>
      <c r="R2469" s="210"/>
      <c r="S2469" s="232"/>
      <c r="T2469" s="270"/>
    </row>
    <row r="2470" spans="14:20" x14ac:dyDescent="0.25">
      <c r="N2470" s="362"/>
      <c r="R2470" s="210"/>
      <c r="S2470" s="232"/>
      <c r="T2470" s="270"/>
    </row>
    <row r="2471" spans="14:20" x14ac:dyDescent="0.25">
      <c r="N2471" s="362"/>
      <c r="R2471" s="210"/>
      <c r="S2471" s="232"/>
      <c r="T2471" s="270"/>
    </row>
    <row r="2472" spans="14:20" x14ac:dyDescent="0.25">
      <c r="N2472" s="362"/>
      <c r="R2472" s="210"/>
      <c r="S2472" s="232"/>
      <c r="T2472" s="270"/>
    </row>
    <row r="2473" spans="14:20" x14ac:dyDescent="0.25">
      <c r="N2473" s="362"/>
      <c r="R2473" s="210"/>
      <c r="S2473" s="232"/>
      <c r="T2473" s="270"/>
    </row>
    <row r="2474" spans="14:20" x14ac:dyDescent="0.25">
      <c r="N2474" s="362"/>
      <c r="R2474" s="210"/>
      <c r="S2474" s="232"/>
      <c r="T2474" s="270"/>
    </row>
    <row r="2475" spans="14:20" x14ac:dyDescent="0.25">
      <c r="N2475" s="362"/>
      <c r="R2475" s="210"/>
      <c r="S2475" s="232"/>
      <c r="T2475" s="270"/>
    </row>
    <row r="2476" spans="14:20" x14ac:dyDescent="0.25">
      <c r="N2476" s="362"/>
      <c r="R2476" s="210"/>
      <c r="S2476" s="232"/>
      <c r="T2476" s="270"/>
    </row>
    <row r="2477" spans="14:20" x14ac:dyDescent="0.25">
      <c r="N2477" s="362"/>
      <c r="R2477" s="210"/>
      <c r="S2477" s="232"/>
      <c r="T2477" s="270"/>
    </row>
    <row r="2478" spans="14:20" x14ac:dyDescent="0.25">
      <c r="N2478" s="362"/>
      <c r="R2478" s="210"/>
      <c r="S2478" s="232"/>
      <c r="T2478" s="270"/>
    </row>
    <row r="2479" spans="14:20" x14ac:dyDescent="0.25">
      <c r="N2479" s="362"/>
      <c r="R2479" s="210"/>
      <c r="S2479" s="232"/>
      <c r="T2479" s="270"/>
    </row>
    <row r="2480" spans="14:20" x14ac:dyDescent="0.25">
      <c r="N2480" s="362"/>
      <c r="R2480" s="210"/>
      <c r="S2480" s="232"/>
      <c r="T2480" s="270"/>
    </row>
    <row r="2481" spans="14:20" x14ac:dyDescent="0.25">
      <c r="N2481" s="362"/>
      <c r="R2481" s="210"/>
      <c r="S2481" s="232"/>
      <c r="T2481" s="270"/>
    </row>
    <row r="2482" spans="14:20" x14ac:dyDescent="0.25">
      <c r="N2482" s="362"/>
      <c r="R2482" s="210"/>
      <c r="S2482" s="232"/>
      <c r="T2482" s="270"/>
    </row>
    <row r="2483" spans="14:20" x14ac:dyDescent="0.25">
      <c r="N2483" s="362"/>
      <c r="R2483" s="210"/>
      <c r="S2483" s="232"/>
      <c r="T2483" s="270"/>
    </row>
    <row r="2484" spans="14:20" x14ac:dyDescent="0.25">
      <c r="N2484" s="362"/>
      <c r="R2484" s="210"/>
      <c r="S2484" s="232"/>
      <c r="T2484" s="270"/>
    </row>
    <row r="2485" spans="14:20" x14ac:dyDescent="0.25">
      <c r="N2485" s="362"/>
      <c r="R2485" s="210"/>
      <c r="S2485" s="232"/>
      <c r="T2485" s="270"/>
    </row>
    <row r="2486" spans="14:20" x14ac:dyDescent="0.25">
      <c r="N2486" s="362"/>
      <c r="R2486" s="210"/>
      <c r="S2486" s="232"/>
      <c r="T2486" s="270"/>
    </row>
    <row r="2487" spans="14:20" x14ac:dyDescent="0.25">
      <c r="N2487" s="362"/>
      <c r="R2487" s="210"/>
      <c r="S2487" s="232"/>
      <c r="T2487" s="270"/>
    </row>
    <row r="2488" spans="14:20" x14ac:dyDescent="0.25">
      <c r="N2488" s="362"/>
      <c r="R2488" s="210"/>
      <c r="S2488" s="232"/>
      <c r="T2488" s="270"/>
    </row>
    <row r="2489" spans="14:20" x14ac:dyDescent="0.25">
      <c r="N2489" s="362"/>
      <c r="R2489" s="210"/>
      <c r="S2489" s="232"/>
      <c r="T2489" s="270"/>
    </row>
    <row r="2490" spans="14:20" x14ac:dyDescent="0.25">
      <c r="N2490" s="362"/>
      <c r="R2490" s="210"/>
      <c r="S2490" s="232"/>
      <c r="T2490" s="270"/>
    </row>
    <row r="2491" spans="14:20" x14ac:dyDescent="0.25">
      <c r="N2491" s="362"/>
      <c r="R2491" s="210"/>
      <c r="S2491" s="232"/>
      <c r="T2491" s="270"/>
    </row>
    <row r="2492" spans="14:20" x14ac:dyDescent="0.25">
      <c r="N2492" s="362"/>
      <c r="R2492" s="210"/>
      <c r="S2492" s="232"/>
      <c r="T2492" s="270"/>
    </row>
    <row r="2493" spans="14:20" x14ac:dyDescent="0.25">
      <c r="N2493" s="362"/>
      <c r="R2493" s="210"/>
      <c r="S2493" s="232"/>
      <c r="T2493" s="270"/>
    </row>
    <row r="2494" spans="14:20" x14ac:dyDescent="0.25">
      <c r="N2494" s="362"/>
      <c r="R2494" s="210"/>
      <c r="S2494" s="232"/>
      <c r="T2494" s="270"/>
    </row>
    <row r="2495" spans="14:20" x14ac:dyDescent="0.25">
      <c r="N2495" s="362"/>
      <c r="R2495" s="210"/>
      <c r="S2495" s="232"/>
      <c r="T2495" s="270"/>
    </row>
    <row r="2496" spans="14:20" x14ac:dyDescent="0.25">
      <c r="N2496" s="362"/>
      <c r="R2496" s="210"/>
      <c r="S2496" s="232"/>
      <c r="T2496" s="270"/>
    </row>
    <row r="2497" spans="14:20" x14ac:dyDescent="0.25">
      <c r="N2497" s="362"/>
      <c r="R2497" s="210"/>
      <c r="S2497" s="232"/>
      <c r="T2497" s="270"/>
    </row>
    <row r="2498" spans="14:20" x14ac:dyDescent="0.25">
      <c r="N2498" s="362"/>
      <c r="R2498" s="210"/>
      <c r="S2498" s="232"/>
      <c r="T2498" s="270"/>
    </row>
    <row r="2499" spans="14:20" x14ac:dyDescent="0.25">
      <c r="N2499" s="362"/>
      <c r="R2499" s="210"/>
      <c r="S2499" s="232"/>
      <c r="T2499" s="270"/>
    </row>
    <row r="2500" spans="14:20" x14ac:dyDescent="0.25">
      <c r="N2500" s="362"/>
      <c r="R2500" s="210"/>
      <c r="S2500" s="232"/>
      <c r="T2500" s="270"/>
    </row>
    <row r="2501" spans="14:20" x14ac:dyDescent="0.25">
      <c r="N2501" s="362"/>
      <c r="R2501" s="210"/>
      <c r="S2501" s="232"/>
      <c r="T2501" s="270"/>
    </row>
    <row r="2502" spans="14:20" x14ac:dyDescent="0.25">
      <c r="N2502" s="362"/>
      <c r="R2502" s="210"/>
      <c r="S2502" s="232"/>
      <c r="T2502" s="270"/>
    </row>
    <row r="2503" spans="14:20" x14ac:dyDescent="0.25">
      <c r="N2503" s="362"/>
      <c r="R2503" s="210"/>
      <c r="S2503" s="232"/>
      <c r="T2503" s="270"/>
    </row>
    <row r="2504" spans="14:20" x14ac:dyDescent="0.25">
      <c r="N2504" s="362"/>
      <c r="R2504" s="210"/>
      <c r="S2504" s="232"/>
      <c r="T2504" s="270"/>
    </row>
    <row r="2505" spans="14:20" x14ac:dyDescent="0.25">
      <c r="N2505" s="362"/>
      <c r="R2505" s="210"/>
      <c r="S2505" s="232"/>
      <c r="T2505" s="270"/>
    </row>
    <row r="2506" spans="14:20" x14ac:dyDescent="0.25">
      <c r="N2506" s="362"/>
      <c r="R2506" s="210"/>
      <c r="S2506" s="232"/>
      <c r="T2506" s="270"/>
    </row>
    <row r="2507" spans="14:20" x14ac:dyDescent="0.25">
      <c r="N2507" s="362"/>
      <c r="R2507" s="210"/>
      <c r="S2507" s="232"/>
      <c r="T2507" s="270"/>
    </row>
    <row r="2508" spans="14:20" x14ac:dyDescent="0.25">
      <c r="N2508" s="362"/>
      <c r="R2508" s="210"/>
      <c r="S2508" s="232"/>
      <c r="T2508" s="270"/>
    </row>
    <row r="2509" spans="14:20" x14ac:dyDescent="0.25">
      <c r="N2509" s="362"/>
      <c r="R2509" s="210"/>
      <c r="S2509" s="232"/>
      <c r="T2509" s="270"/>
    </row>
    <row r="2510" spans="14:20" x14ac:dyDescent="0.25">
      <c r="N2510" s="362"/>
      <c r="R2510" s="210"/>
      <c r="S2510" s="232"/>
      <c r="T2510" s="270"/>
    </row>
    <row r="2511" spans="14:20" x14ac:dyDescent="0.25">
      <c r="N2511" s="362"/>
      <c r="R2511" s="210"/>
      <c r="S2511" s="232"/>
      <c r="T2511" s="270"/>
    </row>
    <row r="2512" spans="14:20" x14ac:dyDescent="0.25">
      <c r="N2512" s="362"/>
      <c r="R2512" s="210"/>
      <c r="S2512" s="232"/>
      <c r="T2512" s="270"/>
    </row>
    <row r="2513" spans="14:20" x14ac:dyDescent="0.25">
      <c r="N2513" s="362"/>
      <c r="R2513" s="210"/>
      <c r="S2513" s="232"/>
      <c r="T2513" s="270"/>
    </row>
    <row r="2514" spans="14:20" x14ac:dyDescent="0.25">
      <c r="N2514" s="362"/>
      <c r="R2514" s="210"/>
      <c r="S2514" s="232"/>
      <c r="T2514" s="270"/>
    </row>
    <row r="2515" spans="14:20" x14ac:dyDescent="0.25">
      <c r="N2515" s="362"/>
      <c r="R2515" s="210"/>
      <c r="S2515" s="232"/>
      <c r="T2515" s="270"/>
    </row>
    <row r="2516" spans="14:20" x14ac:dyDescent="0.25">
      <c r="N2516" s="362"/>
      <c r="R2516" s="210"/>
      <c r="S2516" s="232"/>
      <c r="T2516" s="270"/>
    </row>
    <row r="2517" spans="14:20" x14ac:dyDescent="0.25">
      <c r="N2517" s="362"/>
      <c r="R2517" s="210"/>
      <c r="S2517" s="232"/>
      <c r="T2517" s="270"/>
    </row>
    <row r="2518" spans="14:20" x14ac:dyDescent="0.25">
      <c r="N2518" s="362"/>
      <c r="R2518" s="210"/>
      <c r="S2518" s="232"/>
      <c r="T2518" s="270"/>
    </row>
    <row r="2519" spans="14:20" x14ac:dyDescent="0.25">
      <c r="N2519" s="362"/>
      <c r="R2519" s="210"/>
      <c r="S2519" s="232"/>
      <c r="T2519" s="270"/>
    </row>
    <row r="2520" spans="14:20" x14ac:dyDescent="0.25">
      <c r="N2520" s="362"/>
      <c r="R2520" s="210"/>
      <c r="S2520" s="232"/>
      <c r="T2520" s="270"/>
    </row>
    <row r="2521" spans="14:20" x14ac:dyDescent="0.25">
      <c r="N2521" s="362"/>
      <c r="R2521" s="210"/>
      <c r="S2521" s="232"/>
      <c r="T2521" s="270"/>
    </row>
    <row r="2522" spans="14:20" x14ac:dyDescent="0.25">
      <c r="N2522" s="362"/>
      <c r="R2522" s="210"/>
      <c r="S2522" s="232"/>
      <c r="T2522" s="270"/>
    </row>
    <row r="2523" spans="14:20" x14ac:dyDescent="0.25">
      <c r="N2523" s="362"/>
      <c r="R2523" s="210"/>
      <c r="S2523" s="232"/>
      <c r="T2523" s="270"/>
    </row>
    <row r="2524" spans="14:20" x14ac:dyDescent="0.25">
      <c r="N2524" s="362"/>
      <c r="R2524" s="210"/>
      <c r="S2524" s="232"/>
      <c r="T2524" s="270"/>
    </row>
    <row r="2525" spans="14:20" x14ac:dyDescent="0.25">
      <c r="N2525" s="362"/>
      <c r="R2525" s="210"/>
      <c r="S2525" s="232"/>
      <c r="T2525" s="270"/>
    </row>
    <row r="2526" spans="14:20" x14ac:dyDescent="0.25">
      <c r="N2526" s="362"/>
      <c r="R2526" s="210"/>
      <c r="S2526" s="232"/>
      <c r="T2526" s="270"/>
    </row>
    <row r="2527" spans="14:20" x14ac:dyDescent="0.25">
      <c r="N2527" s="362"/>
      <c r="R2527" s="210"/>
      <c r="S2527" s="232"/>
      <c r="T2527" s="270"/>
    </row>
    <row r="2528" spans="14:20" x14ac:dyDescent="0.25">
      <c r="N2528" s="362"/>
      <c r="R2528" s="210"/>
      <c r="S2528" s="232"/>
      <c r="T2528" s="270"/>
    </row>
    <row r="2529" spans="14:20" x14ac:dyDescent="0.25">
      <c r="N2529" s="362"/>
      <c r="R2529" s="210"/>
      <c r="S2529" s="232"/>
      <c r="T2529" s="270"/>
    </row>
    <row r="2530" spans="14:20" x14ac:dyDescent="0.25">
      <c r="N2530" s="362"/>
      <c r="R2530" s="210"/>
      <c r="S2530" s="232"/>
      <c r="T2530" s="270"/>
    </row>
    <row r="2531" spans="14:20" x14ac:dyDescent="0.25">
      <c r="N2531" s="362"/>
      <c r="R2531" s="210"/>
      <c r="S2531" s="232"/>
      <c r="T2531" s="270"/>
    </row>
    <row r="2532" spans="14:20" x14ac:dyDescent="0.25">
      <c r="N2532" s="362"/>
      <c r="R2532" s="210"/>
      <c r="S2532" s="232"/>
      <c r="T2532" s="270"/>
    </row>
    <row r="2533" spans="14:20" x14ac:dyDescent="0.25">
      <c r="N2533" s="362"/>
      <c r="R2533" s="210"/>
      <c r="S2533" s="232"/>
      <c r="T2533" s="270"/>
    </row>
    <row r="2534" spans="14:20" x14ac:dyDescent="0.25">
      <c r="N2534" s="362"/>
      <c r="R2534" s="210"/>
      <c r="S2534" s="232"/>
      <c r="T2534" s="270"/>
    </row>
    <row r="2535" spans="14:20" x14ac:dyDescent="0.25">
      <c r="N2535" s="362"/>
      <c r="R2535" s="210"/>
      <c r="S2535" s="232"/>
      <c r="T2535" s="270"/>
    </row>
    <row r="2536" spans="14:20" x14ac:dyDescent="0.25">
      <c r="N2536" s="362"/>
      <c r="R2536" s="210"/>
      <c r="S2536" s="232"/>
      <c r="T2536" s="270"/>
    </row>
    <row r="2537" spans="14:20" x14ac:dyDescent="0.25">
      <c r="N2537" s="362"/>
      <c r="R2537" s="210"/>
      <c r="S2537" s="232"/>
      <c r="T2537" s="270"/>
    </row>
    <row r="2538" spans="14:20" x14ac:dyDescent="0.25">
      <c r="N2538" s="362"/>
      <c r="R2538" s="210"/>
      <c r="S2538" s="232"/>
      <c r="T2538" s="270"/>
    </row>
    <row r="2539" spans="14:20" x14ac:dyDescent="0.25">
      <c r="N2539" s="362"/>
      <c r="R2539" s="210"/>
      <c r="S2539" s="232"/>
      <c r="T2539" s="270"/>
    </row>
    <row r="2540" spans="14:20" x14ac:dyDescent="0.25">
      <c r="N2540" s="362"/>
      <c r="R2540" s="210"/>
      <c r="S2540" s="232"/>
      <c r="T2540" s="270"/>
    </row>
    <row r="2541" spans="14:20" x14ac:dyDescent="0.25">
      <c r="N2541" s="362"/>
      <c r="R2541" s="210"/>
      <c r="S2541" s="232"/>
      <c r="T2541" s="270"/>
    </row>
    <row r="2542" spans="14:20" x14ac:dyDescent="0.25">
      <c r="N2542" s="362"/>
      <c r="R2542" s="210"/>
      <c r="S2542" s="232"/>
      <c r="T2542" s="270"/>
    </row>
    <row r="2543" spans="14:20" x14ac:dyDescent="0.25">
      <c r="N2543" s="362"/>
      <c r="R2543" s="210"/>
      <c r="S2543" s="232"/>
      <c r="T2543" s="270"/>
    </row>
    <row r="2544" spans="14:20" x14ac:dyDescent="0.25">
      <c r="N2544" s="362"/>
      <c r="R2544" s="210"/>
      <c r="S2544" s="232"/>
      <c r="T2544" s="270"/>
    </row>
    <row r="2545" spans="14:20" x14ac:dyDescent="0.25">
      <c r="N2545" s="362"/>
      <c r="R2545" s="210"/>
      <c r="S2545" s="232"/>
      <c r="T2545" s="270"/>
    </row>
    <row r="2546" spans="14:20" x14ac:dyDescent="0.25">
      <c r="N2546" s="362"/>
      <c r="R2546" s="210"/>
      <c r="S2546" s="232"/>
      <c r="T2546" s="270"/>
    </row>
    <row r="2547" spans="14:20" x14ac:dyDescent="0.25">
      <c r="N2547" s="362"/>
      <c r="R2547" s="210"/>
      <c r="S2547" s="232"/>
      <c r="T2547" s="270"/>
    </row>
    <row r="2548" spans="14:20" x14ac:dyDescent="0.25">
      <c r="N2548" s="362"/>
      <c r="R2548" s="210"/>
      <c r="S2548" s="232"/>
      <c r="T2548" s="270"/>
    </row>
    <row r="2549" spans="14:20" x14ac:dyDescent="0.25">
      <c r="N2549" s="362"/>
      <c r="R2549" s="210"/>
      <c r="S2549" s="232"/>
      <c r="T2549" s="270"/>
    </row>
    <row r="2550" spans="14:20" x14ac:dyDescent="0.25">
      <c r="N2550" s="362"/>
      <c r="R2550" s="210"/>
      <c r="S2550" s="232"/>
      <c r="T2550" s="270"/>
    </row>
    <row r="2551" spans="14:20" x14ac:dyDescent="0.25">
      <c r="N2551" s="362"/>
      <c r="R2551" s="210"/>
      <c r="S2551" s="232"/>
      <c r="T2551" s="270"/>
    </row>
    <row r="2552" spans="14:20" x14ac:dyDescent="0.25">
      <c r="N2552" s="362"/>
      <c r="R2552" s="210"/>
      <c r="S2552" s="232"/>
      <c r="T2552" s="270"/>
    </row>
    <row r="2553" spans="14:20" x14ac:dyDescent="0.25">
      <c r="N2553" s="362"/>
      <c r="R2553" s="210"/>
      <c r="S2553" s="232"/>
      <c r="T2553" s="270"/>
    </row>
    <row r="2554" spans="14:20" x14ac:dyDescent="0.25">
      <c r="N2554" s="362"/>
      <c r="R2554" s="210"/>
      <c r="S2554" s="232"/>
      <c r="T2554" s="270"/>
    </row>
    <row r="2555" spans="14:20" x14ac:dyDescent="0.25">
      <c r="N2555" s="362"/>
      <c r="R2555" s="210"/>
      <c r="S2555" s="232"/>
      <c r="T2555" s="270"/>
    </row>
    <row r="2556" spans="14:20" x14ac:dyDescent="0.25">
      <c r="N2556" s="362"/>
      <c r="R2556" s="210"/>
      <c r="S2556" s="232"/>
      <c r="T2556" s="270"/>
    </row>
    <row r="2557" spans="14:20" x14ac:dyDescent="0.25">
      <c r="N2557" s="362"/>
      <c r="R2557" s="210"/>
      <c r="S2557" s="232"/>
      <c r="T2557" s="270"/>
    </row>
    <row r="2558" spans="14:20" x14ac:dyDescent="0.25">
      <c r="N2558" s="362"/>
      <c r="R2558" s="210"/>
      <c r="S2558" s="232"/>
      <c r="T2558" s="270"/>
    </row>
    <row r="2559" spans="14:20" x14ac:dyDescent="0.25">
      <c r="N2559" s="362"/>
      <c r="R2559" s="210"/>
      <c r="S2559" s="232"/>
      <c r="T2559" s="270"/>
    </row>
    <row r="2560" spans="14:20" x14ac:dyDescent="0.25">
      <c r="N2560" s="362"/>
      <c r="R2560" s="210"/>
      <c r="S2560" s="232"/>
      <c r="T2560" s="270"/>
    </row>
    <row r="2561" spans="14:20" x14ac:dyDescent="0.25">
      <c r="N2561" s="362"/>
      <c r="R2561" s="210"/>
      <c r="S2561" s="232"/>
      <c r="T2561" s="270"/>
    </row>
    <row r="2562" spans="14:20" x14ac:dyDescent="0.25">
      <c r="N2562" s="362"/>
      <c r="R2562" s="210"/>
      <c r="S2562" s="232"/>
      <c r="T2562" s="270"/>
    </row>
    <row r="2563" spans="14:20" x14ac:dyDescent="0.25">
      <c r="N2563" s="362"/>
      <c r="R2563" s="210"/>
      <c r="S2563" s="232"/>
      <c r="T2563" s="270"/>
    </row>
    <row r="2564" spans="14:20" x14ac:dyDescent="0.25">
      <c r="N2564" s="362"/>
      <c r="R2564" s="210"/>
      <c r="S2564" s="232"/>
      <c r="T2564" s="270"/>
    </row>
    <row r="2565" spans="14:20" x14ac:dyDescent="0.25">
      <c r="N2565" s="362"/>
      <c r="R2565" s="210"/>
      <c r="S2565" s="232"/>
      <c r="T2565" s="270"/>
    </row>
    <row r="2566" spans="14:20" x14ac:dyDescent="0.25">
      <c r="N2566" s="362"/>
      <c r="R2566" s="210"/>
      <c r="S2566" s="232"/>
      <c r="T2566" s="270"/>
    </row>
    <row r="2567" spans="14:20" x14ac:dyDescent="0.25">
      <c r="N2567" s="362"/>
      <c r="R2567" s="210"/>
      <c r="S2567" s="232"/>
      <c r="T2567" s="270"/>
    </row>
    <row r="2568" spans="14:20" x14ac:dyDescent="0.25">
      <c r="N2568" s="362"/>
      <c r="R2568" s="210"/>
      <c r="S2568" s="232"/>
      <c r="T2568" s="270"/>
    </row>
    <row r="2569" spans="14:20" x14ac:dyDescent="0.25">
      <c r="N2569" s="362"/>
      <c r="R2569" s="210"/>
      <c r="S2569" s="232"/>
      <c r="T2569" s="270"/>
    </row>
    <row r="2570" spans="14:20" x14ac:dyDescent="0.25">
      <c r="N2570" s="362"/>
      <c r="R2570" s="210"/>
      <c r="S2570" s="232"/>
      <c r="T2570" s="270"/>
    </row>
    <row r="2571" spans="14:20" x14ac:dyDescent="0.25">
      <c r="N2571" s="362"/>
      <c r="R2571" s="210"/>
      <c r="S2571" s="232"/>
      <c r="T2571" s="270"/>
    </row>
    <row r="2572" spans="14:20" x14ac:dyDescent="0.25">
      <c r="N2572" s="362"/>
      <c r="R2572" s="210"/>
      <c r="S2572" s="232"/>
      <c r="T2572" s="270"/>
    </row>
    <row r="2573" spans="14:20" x14ac:dyDescent="0.25">
      <c r="N2573" s="362"/>
      <c r="R2573" s="210"/>
      <c r="S2573" s="232"/>
      <c r="T2573" s="270"/>
    </row>
    <row r="2574" spans="14:20" x14ac:dyDescent="0.25">
      <c r="N2574" s="362"/>
      <c r="R2574" s="210"/>
      <c r="S2574" s="232"/>
      <c r="T2574" s="270"/>
    </row>
    <row r="2575" spans="14:20" x14ac:dyDescent="0.25">
      <c r="N2575" s="362"/>
      <c r="R2575" s="210"/>
      <c r="S2575" s="232"/>
      <c r="T2575" s="270"/>
    </row>
    <row r="2576" spans="14:20" x14ac:dyDescent="0.25">
      <c r="N2576" s="362"/>
      <c r="R2576" s="210"/>
      <c r="S2576" s="232"/>
      <c r="T2576" s="270"/>
    </row>
    <row r="2577" spans="14:20" x14ac:dyDescent="0.25">
      <c r="N2577" s="362"/>
      <c r="R2577" s="210"/>
      <c r="S2577" s="232"/>
      <c r="T2577" s="270"/>
    </row>
    <row r="2578" spans="14:20" x14ac:dyDescent="0.25">
      <c r="N2578" s="362"/>
      <c r="R2578" s="210"/>
      <c r="S2578" s="232"/>
      <c r="T2578" s="270"/>
    </row>
    <row r="2579" spans="14:20" x14ac:dyDescent="0.25">
      <c r="N2579" s="362"/>
      <c r="R2579" s="210"/>
      <c r="S2579" s="232"/>
      <c r="T2579" s="270"/>
    </row>
    <row r="2580" spans="14:20" x14ac:dyDescent="0.25">
      <c r="N2580" s="362"/>
      <c r="R2580" s="210"/>
      <c r="S2580" s="232"/>
      <c r="T2580" s="270"/>
    </row>
    <row r="2581" spans="14:20" x14ac:dyDescent="0.25">
      <c r="N2581" s="362"/>
      <c r="R2581" s="210"/>
      <c r="S2581" s="232"/>
      <c r="T2581" s="270"/>
    </row>
    <row r="2582" spans="14:20" x14ac:dyDescent="0.25">
      <c r="N2582" s="362"/>
      <c r="R2582" s="210"/>
      <c r="S2582" s="232"/>
      <c r="T2582" s="270"/>
    </row>
    <row r="2583" spans="14:20" x14ac:dyDescent="0.25">
      <c r="N2583" s="362"/>
      <c r="R2583" s="210"/>
      <c r="S2583" s="232"/>
      <c r="T2583" s="270"/>
    </row>
    <row r="2584" spans="14:20" x14ac:dyDescent="0.25">
      <c r="N2584" s="362"/>
      <c r="R2584" s="210"/>
      <c r="S2584" s="232"/>
      <c r="T2584" s="270"/>
    </row>
    <row r="2585" spans="14:20" x14ac:dyDescent="0.25">
      <c r="N2585" s="362"/>
      <c r="R2585" s="210"/>
      <c r="S2585" s="232"/>
      <c r="T2585" s="270"/>
    </row>
    <row r="2586" spans="14:20" x14ac:dyDescent="0.25">
      <c r="N2586" s="362"/>
      <c r="R2586" s="210"/>
      <c r="S2586" s="232"/>
      <c r="T2586" s="270"/>
    </row>
    <row r="2587" spans="14:20" x14ac:dyDescent="0.25">
      <c r="N2587" s="362"/>
      <c r="R2587" s="210"/>
      <c r="S2587" s="232"/>
      <c r="T2587" s="270"/>
    </row>
    <row r="2588" spans="14:20" x14ac:dyDescent="0.25">
      <c r="N2588" s="362"/>
      <c r="R2588" s="210"/>
      <c r="S2588" s="232"/>
      <c r="T2588" s="270"/>
    </row>
    <row r="2589" spans="14:20" x14ac:dyDescent="0.25">
      <c r="N2589" s="362"/>
      <c r="R2589" s="210"/>
      <c r="S2589" s="232"/>
      <c r="T2589" s="270"/>
    </row>
    <row r="2590" spans="14:20" x14ac:dyDescent="0.25">
      <c r="N2590" s="362"/>
      <c r="R2590" s="210"/>
      <c r="S2590" s="232"/>
      <c r="T2590" s="270"/>
    </row>
    <row r="2591" spans="14:20" x14ac:dyDescent="0.25">
      <c r="N2591" s="362"/>
      <c r="R2591" s="210"/>
      <c r="S2591" s="232"/>
      <c r="T2591" s="270"/>
    </row>
    <row r="2592" spans="14:20" x14ac:dyDescent="0.25">
      <c r="N2592" s="362"/>
      <c r="R2592" s="210"/>
      <c r="S2592" s="232"/>
      <c r="T2592" s="270"/>
    </row>
    <row r="2593" spans="14:20" x14ac:dyDescent="0.25">
      <c r="N2593" s="362"/>
      <c r="R2593" s="210"/>
      <c r="S2593" s="232"/>
      <c r="T2593" s="270"/>
    </row>
    <row r="2594" spans="14:20" x14ac:dyDescent="0.25">
      <c r="N2594" s="362"/>
      <c r="R2594" s="210"/>
      <c r="S2594" s="232"/>
      <c r="T2594" s="270"/>
    </row>
    <row r="2595" spans="14:20" x14ac:dyDescent="0.25">
      <c r="N2595" s="362"/>
      <c r="R2595" s="210"/>
      <c r="S2595" s="232"/>
      <c r="T2595" s="270"/>
    </row>
    <row r="2596" spans="14:20" x14ac:dyDescent="0.25">
      <c r="N2596" s="362"/>
      <c r="R2596" s="210"/>
      <c r="S2596" s="232"/>
      <c r="T2596" s="270"/>
    </row>
    <row r="2597" spans="14:20" x14ac:dyDescent="0.25">
      <c r="N2597" s="362"/>
      <c r="R2597" s="210"/>
      <c r="S2597" s="232"/>
      <c r="T2597" s="270"/>
    </row>
    <row r="2598" spans="14:20" x14ac:dyDescent="0.25">
      <c r="N2598" s="362"/>
      <c r="R2598" s="210"/>
      <c r="S2598" s="232"/>
      <c r="T2598" s="270"/>
    </row>
    <row r="2599" spans="14:20" x14ac:dyDescent="0.25">
      <c r="N2599" s="362"/>
      <c r="R2599" s="210"/>
      <c r="S2599" s="232"/>
      <c r="T2599" s="270"/>
    </row>
    <row r="2600" spans="14:20" x14ac:dyDescent="0.25">
      <c r="N2600" s="362"/>
      <c r="R2600" s="210"/>
      <c r="S2600" s="232"/>
      <c r="T2600" s="270"/>
    </row>
    <row r="2601" spans="14:20" x14ac:dyDescent="0.25">
      <c r="N2601" s="362"/>
      <c r="R2601" s="210"/>
      <c r="S2601" s="232"/>
      <c r="T2601" s="270"/>
    </row>
    <row r="2602" spans="14:20" x14ac:dyDescent="0.25">
      <c r="N2602" s="362"/>
      <c r="R2602" s="210"/>
      <c r="S2602" s="232"/>
      <c r="T2602" s="270"/>
    </row>
    <row r="2603" spans="14:20" x14ac:dyDescent="0.25">
      <c r="N2603" s="362"/>
      <c r="R2603" s="210"/>
      <c r="S2603" s="232"/>
      <c r="T2603" s="270"/>
    </row>
    <row r="2604" spans="14:20" x14ac:dyDescent="0.25">
      <c r="N2604" s="362"/>
      <c r="R2604" s="210"/>
      <c r="S2604" s="232"/>
      <c r="T2604" s="270"/>
    </row>
    <row r="2605" spans="14:20" x14ac:dyDescent="0.25">
      <c r="N2605" s="362"/>
      <c r="R2605" s="210"/>
      <c r="S2605" s="232"/>
      <c r="T2605" s="270"/>
    </row>
    <row r="2606" spans="14:20" x14ac:dyDescent="0.25">
      <c r="N2606" s="362"/>
      <c r="R2606" s="210"/>
      <c r="S2606" s="232"/>
      <c r="T2606" s="270"/>
    </row>
    <row r="2607" spans="14:20" x14ac:dyDescent="0.25">
      <c r="N2607" s="362"/>
      <c r="R2607" s="210"/>
      <c r="S2607" s="232"/>
      <c r="T2607" s="270"/>
    </row>
    <row r="2608" spans="14:20" x14ac:dyDescent="0.25">
      <c r="N2608" s="362"/>
      <c r="R2608" s="210"/>
      <c r="S2608" s="232"/>
      <c r="T2608" s="270"/>
    </row>
    <row r="2609" spans="14:20" x14ac:dyDescent="0.25">
      <c r="N2609" s="362"/>
      <c r="R2609" s="210"/>
      <c r="S2609" s="232"/>
      <c r="T2609" s="270"/>
    </row>
    <row r="2610" spans="14:20" x14ac:dyDescent="0.25">
      <c r="N2610" s="362"/>
      <c r="R2610" s="210"/>
      <c r="S2610" s="232"/>
      <c r="T2610" s="270"/>
    </row>
    <row r="2611" spans="14:20" x14ac:dyDescent="0.25">
      <c r="N2611" s="362"/>
      <c r="R2611" s="210"/>
      <c r="S2611" s="232"/>
      <c r="T2611" s="270"/>
    </row>
    <row r="2612" spans="14:20" x14ac:dyDescent="0.25">
      <c r="N2612" s="362"/>
      <c r="R2612" s="210"/>
      <c r="S2612" s="232"/>
      <c r="T2612" s="270"/>
    </row>
    <row r="2613" spans="14:20" x14ac:dyDescent="0.25">
      <c r="N2613" s="362"/>
      <c r="R2613" s="210"/>
      <c r="S2613" s="232"/>
      <c r="T2613" s="270"/>
    </row>
    <row r="2614" spans="14:20" x14ac:dyDescent="0.25">
      <c r="N2614" s="362"/>
      <c r="R2614" s="210"/>
      <c r="S2614" s="232"/>
      <c r="T2614" s="270"/>
    </row>
    <row r="2615" spans="14:20" x14ac:dyDescent="0.25">
      <c r="N2615" s="362"/>
      <c r="R2615" s="210"/>
      <c r="S2615" s="232"/>
      <c r="T2615" s="270"/>
    </row>
    <row r="2616" spans="14:20" x14ac:dyDescent="0.25">
      <c r="N2616" s="362"/>
      <c r="R2616" s="210"/>
      <c r="S2616" s="232"/>
      <c r="T2616" s="270"/>
    </row>
    <row r="2617" spans="14:20" x14ac:dyDescent="0.25">
      <c r="N2617" s="362"/>
      <c r="R2617" s="210"/>
      <c r="S2617" s="232"/>
      <c r="T2617" s="270"/>
    </row>
    <row r="2618" spans="14:20" x14ac:dyDescent="0.25">
      <c r="N2618" s="362"/>
      <c r="R2618" s="210"/>
      <c r="S2618" s="232"/>
      <c r="T2618" s="270"/>
    </row>
    <row r="2619" spans="14:20" x14ac:dyDescent="0.25">
      <c r="N2619" s="362"/>
      <c r="R2619" s="210"/>
      <c r="S2619" s="232"/>
      <c r="T2619" s="270"/>
    </row>
    <row r="2620" spans="14:20" x14ac:dyDescent="0.25">
      <c r="N2620" s="362"/>
      <c r="R2620" s="210"/>
      <c r="S2620" s="232"/>
      <c r="T2620" s="270"/>
    </row>
    <row r="2621" spans="14:20" x14ac:dyDescent="0.25">
      <c r="N2621" s="362"/>
      <c r="R2621" s="210"/>
      <c r="S2621" s="232"/>
      <c r="T2621" s="270"/>
    </row>
    <row r="2622" spans="14:20" x14ac:dyDescent="0.25">
      <c r="N2622" s="362"/>
      <c r="R2622" s="210"/>
      <c r="S2622" s="232"/>
      <c r="T2622" s="270"/>
    </row>
    <row r="2623" spans="14:20" x14ac:dyDescent="0.25">
      <c r="N2623" s="362"/>
      <c r="R2623" s="210"/>
      <c r="S2623" s="232"/>
      <c r="T2623" s="270"/>
    </row>
    <row r="2624" spans="14:20" x14ac:dyDescent="0.25">
      <c r="N2624" s="362"/>
      <c r="R2624" s="210"/>
      <c r="S2624" s="232"/>
      <c r="T2624" s="270"/>
    </row>
    <row r="2625" spans="14:20" x14ac:dyDescent="0.25">
      <c r="N2625" s="362"/>
      <c r="R2625" s="210"/>
      <c r="S2625" s="232"/>
      <c r="T2625" s="270"/>
    </row>
    <row r="2626" spans="14:20" x14ac:dyDescent="0.25">
      <c r="N2626" s="362"/>
      <c r="R2626" s="210"/>
      <c r="S2626" s="232"/>
      <c r="T2626" s="270"/>
    </row>
    <row r="2627" spans="14:20" x14ac:dyDescent="0.25">
      <c r="N2627" s="362"/>
      <c r="R2627" s="210"/>
      <c r="S2627" s="232"/>
      <c r="T2627" s="270"/>
    </row>
    <row r="2628" spans="14:20" x14ac:dyDescent="0.25">
      <c r="N2628" s="362"/>
      <c r="R2628" s="210"/>
      <c r="S2628" s="232"/>
      <c r="T2628" s="270"/>
    </row>
    <row r="2629" spans="14:20" x14ac:dyDescent="0.25">
      <c r="N2629" s="362"/>
      <c r="R2629" s="210"/>
      <c r="S2629" s="232"/>
      <c r="T2629" s="270"/>
    </row>
    <row r="2630" spans="14:20" x14ac:dyDescent="0.25">
      <c r="N2630" s="362"/>
      <c r="R2630" s="210"/>
      <c r="S2630" s="232"/>
      <c r="T2630" s="270"/>
    </row>
    <row r="2631" spans="14:20" x14ac:dyDescent="0.25">
      <c r="N2631" s="362"/>
      <c r="R2631" s="210"/>
      <c r="S2631" s="232"/>
      <c r="T2631" s="270"/>
    </row>
    <row r="2632" spans="14:20" x14ac:dyDescent="0.25">
      <c r="N2632" s="362"/>
      <c r="R2632" s="210"/>
      <c r="S2632" s="232"/>
      <c r="T2632" s="270"/>
    </row>
    <row r="2633" spans="14:20" x14ac:dyDescent="0.25">
      <c r="N2633" s="362"/>
      <c r="R2633" s="210"/>
      <c r="S2633" s="232"/>
      <c r="T2633" s="270"/>
    </row>
    <row r="2634" spans="14:20" x14ac:dyDescent="0.25">
      <c r="N2634" s="362"/>
      <c r="R2634" s="210"/>
      <c r="S2634" s="232"/>
      <c r="T2634" s="270"/>
    </row>
    <row r="2635" spans="14:20" x14ac:dyDescent="0.25">
      <c r="N2635" s="362"/>
      <c r="R2635" s="210"/>
      <c r="S2635" s="232"/>
      <c r="T2635" s="270"/>
    </row>
    <row r="2636" spans="14:20" x14ac:dyDescent="0.25">
      <c r="N2636" s="362"/>
      <c r="R2636" s="210"/>
      <c r="S2636" s="232"/>
      <c r="T2636" s="270"/>
    </row>
    <row r="2637" spans="14:20" x14ac:dyDescent="0.25">
      <c r="N2637" s="362"/>
      <c r="R2637" s="210"/>
      <c r="S2637" s="232"/>
      <c r="T2637" s="270"/>
    </row>
    <row r="2638" spans="14:20" x14ac:dyDescent="0.25">
      <c r="N2638" s="362"/>
      <c r="R2638" s="210"/>
      <c r="S2638" s="232"/>
      <c r="T2638" s="270"/>
    </row>
    <row r="2639" spans="14:20" x14ac:dyDescent="0.25">
      <c r="N2639" s="362"/>
      <c r="R2639" s="210"/>
      <c r="S2639" s="232"/>
      <c r="T2639" s="270"/>
    </row>
    <row r="2640" spans="14:20" x14ac:dyDescent="0.25">
      <c r="N2640" s="362"/>
      <c r="R2640" s="210"/>
      <c r="S2640" s="232"/>
      <c r="T2640" s="270"/>
    </row>
    <row r="2641" spans="14:20" x14ac:dyDescent="0.25">
      <c r="N2641" s="362"/>
      <c r="R2641" s="210"/>
      <c r="S2641" s="232"/>
      <c r="T2641" s="270"/>
    </row>
    <row r="2642" spans="14:20" x14ac:dyDescent="0.25">
      <c r="N2642" s="362"/>
      <c r="R2642" s="210"/>
      <c r="S2642" s="232"/>
      <c r="T2642" s="270"/>
    </row>
    <row r="2643" spans="14:20" x14ac:dyDescent="0.25">
      <c r="N2643" s="362"/>
      <c r="R2643" s="210"/>
      <c r="S2643" s="232"/>
      <c r="T2643" s="270"/>
    </row>
    <row r="2644" spans="14:20" x14ac:dyDescent="0.25">
      <c r="N2644" s="362"/>
      <c r="R2644" s="210"/>
      <c r="S2644" s="232"/>
      <c r="T2644" s="270"/>
    </row>
    <row r="2645" spans="14:20" x14ac:dyDescent="0.25">
      <c r="N2645" s="362"/>
      <c r="R2645" s="210"/>
      <c r="S2645" s="232"/>
      <c r="T2645" s="270"/>
    </row>
    <row r="2646" spans="14:20" x14ac:dyDescent="0.25">
      <c r="N2646" s="362"/>
      <c r="R2646" s="210"/>
      <c r="S2646" s="232"/>
      <c r="T2646" s="270"/>
    </row>
    <row r="2647" spans="14:20" x14ac:dyDescent="0.25">
      <c r="N2647" s="362"/>
      <c r="R2647" s="210"/>
      <c r="S2647" s="232"/>
      <c r="T2647" s="270"/>
    </row>
    <row r="2648" spans="14:20" x14ac:dyDescent="0.25">
      <c r="N2648" s="362"/>
      <c r="R2648" s="210"/>
      <c r="S2648" s="232"/>
      <c r="T2648" s="270"/>
    </row>
    <row r="2649" spans="14:20" x14ac:dyDescent="0.25">
      <c r="N2649" s="362"/>
      <c r="R2649" s="210"/>
      <c r="S2649" s="232"/>
      <c r="T2649" s="270"/>
    </row>
    <row r="2650" spans="14:20" x14ac:dyDescent="0.25">
      <c r="N2650" s="362"/>
      <c r="R2650" s="210"/>
      <c r="S2650" s="232"/>
      <c r="T2650" s="270"/>
    </row>
    <row r="2651" spans="14:20" x14ac:dyDescent="0.25">
      <c r="N2651" s="362"/>
      <c r="R2651" s="210"/>
      <c r="S2651" s="232"/>
      <c r="T2651" s="270"/>
    </row>
    <row r="2652" spans="14:20" x14ac:dyDescent="0.25">
      <c r="N2652" s="362"/>
      <c r="R2652" s="210"/>
      <c r="S2652" s="232"/>
      <c r="T2652" s="270"/>
    </row>
    <row r="2653" spans="14:20" x14ac:dyDescent="0.25">
      <c r="N2653" s="362"/>
      <c r="R2653" s="210"/>
      <c r="S2653" s="232"/>
      <c r="T2653" s="270"/>
    </row>
    <row r="2654" spans="14:20" x14ac:dyDescent="0.25">
      <c r="N2654" s="362"/>
      <c r="R2654" s="210"/>
      <c r="S2654" s="232"/>
      <c r="T2654" s="270"/>
    </row>
    <row r="2655" spans="14:20" x14ac:dyDescent="0.25">
      <c r="N2655" s="362"/>
      <c r="R2655" s="210"/>
      <c r="S2655" s="232"/>
      <c r="T2655" s="270"/>
    </row>
    <row r="2656" spans="14:20" x14ac:dyDescent="0.25">
      <c r="N2656" s="362"/>
      <c r="R2656" s="210"/>
      <c r="S2656" s="232"/>
      <c r="T2656" s="270"/>
    </row>
    <row r="2657" spans="14:20" x14ac:dyDescent="0.25">
      <c r="N2657" s="362"/>
      <c r="R2657" s="210"/>
      <c r="S2657" s="232"/>
      <c r="T2657" s="270"/>
    </row>
    <row r="2658" spans="14:20" x14ac:dyDescent="0.25">
      <c r="N2658" s="362"/>
      <c r="R2658" s="210"/>
      <c r="S2658" s="232"/>
      <c r="T2658" s="270"/>
    </row>
    <row r="2659" spans="14:20" x14ac:dyDescent="0.25">
      <c r="N2659" s="362"/>
      <c r="R2659" s="210"/>
      <c r="S2659" s="232"/>
      <c r="T2659" s="270"/>
    </row>
    <row r="2660" spans="14:20" x14ac:dyDescent="0.25">
      <c r="N2660" s="362"/>
      <c r="R2660" s="210"/>
      <c r="S2660" s="232"/>
      <c r="T2660" s="270"/>
    </row>
    <row r="2661" spans="14:20" x14ac:dyDescent="0.25">
      <c r="N2661" s="362"/>
      <c r="R2661" s="210"/>
      <c r="S2661" s="232"/>
      <c r="T2661" s="270"/>
    </row>
    <row r="2662" spans="14:20" x14ac:dyDescent="0.25">
      <c r="N2662" s="362"/>
      <c r="R2662" s="210"/>
      <c r="S2662" s="232"/>
      <c r="T2662" s="270"/>
    </row>
    <row r="2663" spans="14:20" x14ac:dyDescent="0.25">
      <c r="N2663" s="362"/>
      <c r="R2663" s="210"/>
      <c r="S2663" s="232"/>
      <c r="T2663" s="270"/>
    </row>
    <row r="2664" spans="14:20" x14ac:dyDescent="0.25">
      <c r="N2664" s="362"/>
      <c r="R2664" s="210"/>
      <c r="S2664" s="232"/>
      <c r="T2664" s="270"/>
    </row>
    <row r="2665" spans="14:20" x14ac:dyDescent="0.25">
      <c r="N2665" s="362"/>
      <c r="R2665" s="210"/>
      <c r="S2665" s="232"/>
      <c r="T2665" s="270"/>
    </row>
    <row r="2666" spans="14:20" x14ac:dyDescent="0.25">
      <c r="N2666" s="362"/>
      <c r="R2666" s="210"/>
      <c r="S2666" s="232"/>
      <c r="T2666" s="270"/>
    </row>
    <row r="2667" spans="14:20" x14ac:dyDescent="0.25">
      <c r="N2667" s="362"/>
      <c r="R2667" s="210"/>
      <c r="S2667" s="232"/>
      <c r="T2667" s="270"/>
    </row>
    <row r="2668" spans="14:20" x14ac:dyDescent="0.25">
      <c r="N2668" s="362"/>
      <c r="R2668" s="210"/>
      <c r="S2668" s="232"/>
      <c r="T2668" s="270"/>
    </row>
    <row r="2669" spans="14:20" x14ac:dyDescent="0.25">
      <c r="N2669" s="362"/>
      <c r="R2669" s="210"/>
      <c r="S2669" s="232"/>
      <c r="T2669" s="270"/>
    </row>
    <row r="2670" spans="14:20" x14ac:dyDescent="0.25">
      <c r="N2670" s="362"/>
      <c r="R2670" s="210"/>
      <c r="S2670" s="232"/>
      <c r="T2670" s="270"/>
    </row>
    <row r="2671" spans="14:20" x14ac:dyDescent="0.25">
      <c r="N2671" s="362"/>
      <c r="R2671" s="210"/>
      <c r="S2671" s="232"/>
      <c r="T2671" s="270"/>
    </row>
    <row r="2672" spans="14:20" x14ac:dyDescent="0.25">
      <c r="N2672" s="362"/>
      <c r="R2672" s="210"/>
      <c r="S2672" s="232"/>
      <c r="T2672" s="270"/>
    </row>
    <row r="2673" spans="14:20" x14ac:dyDescent="0.25">
      <c r="N2673" s="362"/>
      <c r="R2673" s="210"/>
      <c r="S2673" s="232"/>
      <c r="T2673" s="270"/>
    </row>
    <row r="2674" spans="14:20" x14ac:dyDescent="0.25">
      <c r="N2674" s="362"/>
      <c r="R2674" s="210"/>
      <c r="S2674" s="232"/>
      <c r="T2674" s="270"/>
    </row>
    <row r="2675" spans="14:20" x14ac:dyDescent="0.25">
      <c r="N2675" s="362"/>
      <c r="R2675" s="210"/>
      <c r="S2675" s="232"/>
      <c r="T2675" s="270"/>
    </row>
    <row r="2676" spans="14:20" x14ac:dyDescent="0.25">
      <c r="N2676" s="362"/>
      <c r="R2676" s="210"/>
      <c r="S2676" s="232"/>
      <c r="T2676" s="270"/>
    </row>
    <row r="2677" spans="14:20" x14ac:dyDescent="0.25">
      <c r="N2677" s="362"/>
      <c r="R2677" s="210"/>
      <c r="S2677" s="232"/>
      <c r="T2677" s="270"/>
    </row>
    <row r="2678" spans="14:20" x14ac:dyDescent="0.25">
      <c r="N2678" s="362"/>
      <c r="R2678" s="210"/>
      <c r="S2678" s="232"/>
      <c r="T2678" s="270"/>
    </row>
    <row r="2679" spans="14:20" x14ac:dyDescent="0.25">
      <c r="N2679" s="362"/>
      <c r="R2679" s="210"/>
      <c r="S2679" s="232"/>
      <c r="T2679" s="270"/>
    </row>
    <row r="2680" spans="14:20" x14ac:dyDescent="0.25">
      <c r="N2680" s="362"/>
      <c r="R2680" s="210"/>
      <c r="S2680" s="232"/>
      <c r="T2680" s="270"/>
    </row>
    <row r="2681" spans="14:20" x14ac:dyDescent="0.25">
      <c r="N2681" s="362"/>
      <c r="R2681" s="210"/>
      <c r="S2681" s="232"/>
      <c r="T2681" s="270"/>
    </row>
    <row r="2682" spans="14:20" x14ac:dyDescent="0.25">
      <c r="N2682" s="362"/>
      <c r="R2682" s="210"/>
      <c r="S2682" s="232"/>
      <c r="T2682" s="270"/>
    </row>
    <row r="2683" spans="14:20" x14ac:dyDescent="0.25">
      <c r="N2683" s="362"/>
      <c r="R2683" s="210"/>
      <c r="S2683" s="232"/>
      <c r="T2683" s="270"/>
    </row>
    <row r="2684" spans="14:20" x14ac:dyDescent="0.25">
      <c r="N2684" s="362"/>
      <c r="R2684" s="210"/>
      <c r="S2684" s="232"/>
      <c r="T2684" s="270"/>
    </row>
    <row r="2685" spans="14:20" x14ac:dyDescent="0.25">
      <c r="N2685" s="362"/>
      <c r="R2685" s="210"/>
      <c r="S2685" s="232"/>
      <c r="T2685" s="270"/>
    </row>
    <row r="2686" spans="14:20" x14ac:dyDescent="0.25">
      <c r="N2686" s="362"/>
      <c r="R2686" s="210"/>
      <c r="S2686" s="232"/>
      <c r="T2686" s="270"/>
    </row>
    <row r="2687" spans="14:20" x14ac:dyDescent="0.25">
      <c r="N2687" s="362"/>
      <c r="R2687" s="210"/>
      <c r="S2687" s="232"/>
      <c r="T2687" s="270"/>
    </row>
    <row r="2688" spans="14:20" x14ac:dyDescent="0.25">
      <c r="N2688" s="362"/>
      <c r="R2688" s="210"/>
      <c r="S2688" s="232"/>
      <c r="T2688" s="270"/>
    </row>
    <row r="2689" spans="14:20" x14ac:dyDescent="0.25">
      <c r="N2689" s="362"/>
      <c r="R2689" s="210"/>
      <c r="S2689" s="232"/>
      <c r="T2689" s="270"/>
    </row>
    <row r="2690" spans="14:20" x14ac:dyDescent="0.25">
      <c r="N2690" s="362"/>
      <c r="R2690" s="210"/>
      <c r="S2690" s="232"/>
      <c r="T2690" s="270"/>
    </row>
    <row r="2691" spans="14:20" x14ac:dyDescent="0.25">
      <c r="N2691" s="362"/>
      <c r="R2691" s="210"/>
      <c r="S2691" s="232"/>
      <c r="T2691" s="270"/>
    </row>
    <row r="2692" spans="14:20" x14ac:dyDescent="0.25">
      <c r="N2692" s="362"/>
      <c r="R2692" s="210"/>
      <c r="S2692" s="232"/>
      <c r="T2692" s="270"/>
    </row>
    <row r="2693" spans="14:20" x14ac:dyDescent="0.25">
      <c r="N2693" s="362"/>
      <c r="R2693" s="210"/>
      <c r="S2693" s="232"/>
      <c r="T2693" s="270"/>
    </row>
    <row r="2694" spans="14:20" x14ac:dyDescent="0.25">
      <c r="N2694" s="362"/>
      <c r="R2694" s="210"/>
      <c r="S2694" s="232"/>
      <c r="T2694" s="270"/>
    </row>
    <row r="2695" spans="14:20" x14ac:dyDescent="0.25">
      <c r="N2695" s="362"/>
      <c r="R2695" s="210"/>
      <c r="S2695" s="232"/>
      <c r="T2695" s="270"/>
    </row>
    <row r="2696" spans="14:20" x14ac:dyDescent="0.25">
      <c r="N2696" s="362"/>
      <c r="R2696" s="210"/>
      <c r="S2696" s="232"/>
      <c r="T2696" s="270"/>
    </row>
    <row r="2697" spans="14:20" x14ac:dyDescent="0.25">
      <c r="N2697" s="362"/>
      <c r="R2697" s="210"/>
      <c r="S2697" s="232"/>
      <c r="T2697" s="270"/>
    </row>
    <row r="2698" spans="14:20" x14ac:dyDescent="0.25">
      <c r="N2698" s="362"/>
      <c r="R2698" s="210"/>
      <c r="S2698" s="232"/>
      <c r="T2698" s="270"/>
    </row>
    <row r="2699" spans="14:20" x14ac:dyDescent="0.25">
      <c r="N2699" s="362"/>
      <c r="R2699" s="210"/>
      <c r="S2699" s="232"/>
      <c r="T2699" s="270"/>
    </row>
    <row r="2700" spans="14:20" x14ac:dyDescent="0.25">
      <c r="N2700" s="362"/>
      <c r="R2700" s="210"/>
      <c r="S2700" s="232"/>
      <c r="T2700" s="270"/>
    </row>
    <row r="2701" spans="14:20" x14ac:dyDescent="0.25">
      <c r="N2701" s="362"/>
      <c r="R2701" s="210"/>
      <c r="S2701" s="232"/>
      <c r="T2701" s="270"/>
    </row>
    <row r="2702" spans="14:20" x14ac:dyDescent="0.25">
      <c r="N2702" s="362"/>
      <c r="R2702" s="210"/>
      <c r="S2702" s="232"/>
      <c r="T2702" s="270"/>
    </row>
    <row r="2703" spans="14:20" x14ac:dyDescent="0.25">
      <c r="N2703" s="362"/>
      <c r="R2703" s="210"/>
      <c r="S2703" s="232"/>
      <c r="T2703" s="270"/>
    </row>
    <row r="2704" spans="14:20" x14ac:dyDescent="0.25">
      <c r="N2704" s="362"/>
      <c r="R2704" s="210"/>
      <c r="S2704" s="232"/>
      <c r="T2704" s="270"/>
    </row>
    <row r="2705" spans="14:20" x14ac:dyDescent="0.25">
      <c r="N2705" s="362"/>
      <c r="R2705" s="210"/>
      <c r="S2705" s="232"/>
      <c r="T2705" s="270"/>
    </row>
    <row r="2706" spans="14:20" x14ac:dyDescent="0.25">
      <c r="N2706" s="362"/>
      <c r="R2706" s="210"/>
      <c r="S2706" s="232"/>
      <c r="T2706" s="270"/>
    </row>
    <row r="2707" spans="14:20" x14ac:dyDescent="0.25">
      <c r="N2707" s="362"/>
      <c r="R2707" s="210"/>
      <c r="S2707" s="232"/>
      <c r="T2707" s="270"/>
    </row>
    <row r="2708" spans="14:20" x14ac:dyDescent="0.25">
      <c r="N2708" s="362"/>
      <c r="R2708" s="210"/>
      <c r="S2708" s="232"/>
      <c r="T2708" s="270"/>
    </row>
    <row r="2709" spans="14:20" x14ac:dyDescent="0.25">
      <c r="N2709" s="362"/>
      <c r="R2709" s="210"/>
      <c r="S2709" s="232"/>
      <c r="T2709" s="270"/>
    </row>
    <row r="2710" spans="14:20" x14ac:dyDescent="0.25">
      <c r="N2710" s="362"/>
      <c r="R2710" s="210"/>
      <c r="S2710" s="232"/>
      <c r="T2710" s="270"/>
    </row>
    <row r="2711" spans="14:20" x14ac:dyDescent="0.25">
      <c r="N2711" s="362"/>
      <c r="R2711" s="210"/>
      <c r="S2711" s="232"/>
      <c r="T2711" s="270"/>
    </row>
    <row r="2712" spans="14:20" x14ac:dyDescent="0.25">
      <c r="N2712" s="362"/>
      <c r="R2712" s="210"/>
      <c r="S2712" s="232"/>
      <c r="T2712" s="270"/>
    </row>
    <row r="2713" spans="14:20" x14ac:dyDescent="0.25">
      <c r="N2713" s="362"/>
      <c r="R2713" s="210"/>
      <c r="S2713" s="232"/>
      <c r="T2713" s="270"/>
    </row>
    <row r="2714" spans="14:20" x14ac:dyDescent="0.25">
      <c r="N2714" s="362"/>
      <c r="R2714" s="210"/>
      <c r="S2714" s="232"/>
      <c r="T2714" s="270"/>
    </row>
    <row r="2715" spans="14:20" x14ac:dyDescent="0.25">
      <c r="N2715" s="362"/>
      <c r="R2715" s="210"/>
      <c r="S2715" s="232"/>
      <c r="T2715" s="270"/>
    </row>
    <row r="2716" spans="14:20" x14ac:dyDescent="0.25">
      <c r="N2716" s="362"/>
      <c r="R2716" s="210"/>
      <c r="S2716" s="232"/>
      <c r="T2716" s="270"/>
    </row>
    <row r="2717" spans="14:20" x14ac:dyDescent="0.25">
      <c r="N2717" s="362"/>
      <c r="R2717" s="210"/>
      <c r="S2717" s="232"/>
      <c r="T2717" s="270"/>
    </row>
    <row r="2718" spans="14:20" x14ac:dyDescent="0.25">
      <c r="N2718" s="362"/>
      <c r="R2718" s="210"/>
      <c r="S2718" s="232"/>
      <c r="T2718" s="270"/>
    </row>
    <row r="2719" spans="14:20" x14ac:dyDescent="0.25">
      <c r="N2719" s="362"/>
      <c r="R2719" s="210"/>
      <c r="S2719" s="232"/>
      <c r="T2719" s="270"/>
    </row>
    <row r="2720" spans="14:20" x14ac:dyDescent="0.25">
      <c r="N2720" s="362"/>
      <c r="R2720" s="210"/>
      <c r="S2720" s="232"/>
      <c r="T2720" s="270"/>
    </row>
    <row r="2721" spans="14:20" x14ac:dyDescent="0.25">
      <c r="N2721" s="362"/>
      <c r="R2721" s="210"/>
      <c r="S2721" s="232"/>
      <c r="T2721" s="270"/>
    </row>
    <row r="2722" spans="14:20" x14ac:dyDescent="0.25">
      <c r="N2722" s="362"/>
      <c r="R2722" s="210"/>
      <c r="S2722" s="232"/>
      <c r="T2722" s="270"/>
    </row>
    <row r="2723" spans="14:20" x14ac:dyDescent="0.25">
      <c r="N2723" s="362"/>
      <c r="R2723" s="210"/>
      <c r="S2723" s="232"/>
      <c r="T2723" s="270"/>
    </row>
    <row r="2724" spans="14:20" x14ac:dyDescent="0.25">
      <c r="N2724" s="362"/>
      <c r="R2724" s="210"/>
      <c r="S2724" s="232"/>
      <c r="T2724" s="270"/>
    </row>
    <row r="2725" spans="14:20" x14ac:dyDescent="0.25">
      <c r="N2725" s="362"/>
      <c r="R2725" s="210"/>
      <c r="S2725" s="232"/>
      <c r="T2725" s="270"/>
    </row>
    <row r="2726" spans="14:20" x14ac:dyDescent="0.25">
      <c r="N2726" s="362"/>
      <c r="R2726" s="210"/>
      <c r="S2726" s="232"/>
      <c r="T2726" s="270"/>
    </row>
    <row r="2727" spans="14:20" x14ac:dyDescent="0.25">
      <c r="N2727" s="362"/>
      <c r="R2727" s="210"/>
      <c r="S2727" s="232"/>
      <c r="T2727" s="270"/>
    </row>
    <row r="2728" spans="14:20" x14ac:dyDescent="0.25">
      <c r="N2728" s="362"/>
      <c r="R2728" s="210"/>
      <c r="S2728" s="232"/>
      <c r="T2728" s="270"/>
    </row>
    <row r="2729" spans="14:20" x14ac:dyDescent="0.25">
      <c r="N2729" s="362"/>
      <c r="R2729" s="210"/>
      <c r="S2729" s="232"/>
      <c r="T2729" s="270"/>
    </row>
    <row r="2730" spans="14:20" x14ac:dyDescent="0.25">
      <c r="N2730" s="362"/>
      <c r="R2730" s="210"/>
      <c r="S2730" s="232"/>
      <c r="T2730" s="270"/>
    </row>
    <row r="2731" spans="14:20" x14ac:dyDescent="0.25">
      <c r="N2731" s="362"/>
      <c r="R2731" s="210"/>
      <c r="S2731" s="232"/>
      <c r="T2731" s="270"/>
    </row>
    <row r="2732" spans="14:20" x14ac:dyDescent="0.25">
      <c r="N2732" s="362"/>
      <c r="R2732" s="210"/>
      <c r="S2732" s="232"/>
      <c r="T2732" s="270"/>
    </row>
    <row r="2733" spans="14:20" x14ac:dyDescent="0.25">
      <c r="N2733" s="362"/>
      <c r="R2733" s="210"/>
      <c r="S2733" s="232"/>
      <c r="T2733" s="270"/>
    </row>
    <row r="2734" spans="14:20" x14ac:dyDescent="0.25">
      <c r="N2734" s="362"/>
      <c r="R2734" s="210"/>
      <c r="S2734" s="232"/>
      <c r="T2734" s="270"/>
    </row>
    <row r="2735" spans="14:20" x14ac:dyDescent="0.25">
      <c r="N2735" s="362"/>
      <c r="R2735" s="210"/>
      <c r="S2735" s="232"/>
      <c r="T2735" s="270"/>
    </row>
    <row r="2736" spans="14:20" x14ac:dyDescent="0.25">
      <c r="N2736" s="362"/>
      <c r="R2736" s="210"/>
      <c r="S2736" s="232"/>
      <c r="T2736" s="270"/>
    </row>
    <row r="2737" spans="14:20" x14ac:dyDescent="0.25">
      <c r="N2737" s="362"/>
      <c r="R2737" s="210"/>
      <c r="S2737" s="232"/>
      <c r="T2737" s="270"/>
    </row>
    <row r="2738" spans="14:20" x14ac:dyDescent="0.25">
      <c r="N2738" s="362"/>
      <c r="R2738" s="210"/>
      <c r="S2738" s="232"/>
      <c r="T2738" s="270"/>
    </row>
    <row r="2739" spans="14:20" x14ac:dyDescent="0.25">
      <c r="N2739" s="362"/>
      <c r="R2739" s="210"/>
      <c r="S2739" s="232"/>
      <c r="T2739" s="270"/>
    </row>
    <row r="2740" spans="14:20" x14ac:dyDescent="0.25">
      <c r="N2740" s="362"/>
      <c r="R2740" s="210"/>
      <c r="S2740" s="232"/>
      <c r="T2740" s="270"/>
    </row>
    <row r="2741" spans="14:20" x14ac:dyDescent="0.25">
      <c r="N2741" s="362"/>
      <c r="R2741" s="210"/>
      <c r="S2741" s="232"/>
      <c r="T2741" s="270"/>
    </row>
    <row r="2742" spans="14:20" x14ac:dyDescent="0.25">
      <c r="N2742" s="362"/>
      <c r="R2742" s="210"/>
      <c r="S2742" s="232"/>
      <c r="T2742" s="270"/>
    </row>
    <row r="2743" spans="14:20" x14ac:dyDescent="0.25">
      <c r="N2743" s="362"/>
      <c r="R2743" s="210"/>
      <c r="S2743" s="232"/>
      <c r="T2743" s="270"/>
    </row>
    <row r="2744" spans="14:20" x14ac:dyDescent="0.25">
      <c r="N2744" s="362"/>
      <c r="R2744" s="210"/>
      <c r="S2744" s="232"/>
      <c r="T2744" s="270"/>
    </row>
    <row r="2745" spans="14:20" x14ac:dyDescent="0.25">
      <c r="N2745" s="362"/>
      <c r="R2745" s="210"/>
      <c r="S2745" s="232"/>
      <c r="T2745" s="270"/>
    </row>
    <row r="2746" spans="14:20" x14ac:dyDescent="0.25">
      <c r="N2746" s="362"/>
      <c r="R2746" s="210"/>
      <c r="S2746" s="232"/>
      <c r="T2746" s="270"/>
    </row>
    <row r="2747" spans="14:20" x14ac:dyDescent="0.25">
      <c r="N2747" s="362"/>
      <c r="R2747" s="210"/>
      <c r="S2747" s="232"/>
      <c r="T2747" s="270"/>
    </row>
    <row r="2748" spans="14:20" x14ac:dyDescent="0.25">
      <c r="N2748" s="362"/>
      <c r="R2748" s="210"/>
      <c r="S2748" s="232"/>
      <c r="T2748" s="270"/>
    </row>
    <row r="2749" spans="14:20" x14ac:dyDescent="0.25">
      <c r="N2749" s="362"/>
      <c r="R2749" s="210"/>
      <c r="S2749" s="232"/>
      <c r="T2749" s="270"/>
    </row>
    <row r="2750" spans="14:20" x14ac:dyDescent="0.25">
      <c r="N2750" s="362"/>
      <c r="R2750" s="210"/>
      <c r="S2750" s="232"/>
      <c r="T2750" s="270"/>
    </row>
    <row r="2751" spans="14:20" x14ac:dyDescent="0.25">
      <c r="N2751" s="362"/>
      <c r="R2751" s="210"/>
      <c r="S2751" s="232"/>
      <c r="T2751" s="270"/>
    </row>
    <row r="2752" spans="14:20" x14ac:dyDescent="0.25">
      <c r="N2752" s="362"/>
      <c r="R2752" s="210"/>
      <c r="S2752" s="232"/>
      <c r="T2752" s="270"/>
    </row>
    <row r="2753" spans="14:20" x14ac:dyDescent="0.25">
      <c r="N2753" s="362"/>
      <c r="R2753" s="210"/>
      <c r="S2753" s="232"/>
      <c r="T2753" s="270"/>
    </row>
    <row r="2754" spans="14:20" x14ac:dyDescent="0.25">
      <c r="N2754" s="362"/>
      <c r="R2754" s="210"/>
      <c r="S2754" s="232"/>
      <c r="T2754" s="270"/>
    </row>
    <row r="2755" spans="14:20" x14ac:dyDescent="0.25">
      <c r="N2755" s="362"/>
      <c r="R2755" s="210"/>
      <c r="S2755" s="232"/>
      <c r="T2755" s="270"/>
    </row>
    <row r="2756" spans="14:20" x14ac:dyDescent="0.25">
      <c r="N2756" s="362"/>
      <c r="R2756" s="210"/>
      <c r="S2756" s="232"/>
      <c r="T2756" s="270"/>
    </row>
    <row r="2757" spans="14:20" x14ac:dyDescent="0.25">
      <c r="N2757" s="362"/>
      <c r="R2757" s="210"/>
      <c r="S2757" s="232"/>
      <c r="T2757" s="270"/>
    </row>
    <row r="2758" spans="14:20" x14ac:dyDescent="0.25">
      <c r="N2758" s="362"/>
      <c r="R2758" s="210"/>
      <c r="S2758" s="232"/>
      <c r="T2758" s="270"/>
    </row>
    <row r="2759" spans="14:20" x14ac:dyDescent="0.25">
      <c r="N2759" s="362"/>
      <c r="R2759" s="210"/>
      <c r="S2759" s="232"/>
      <c r="T2759" s="270"/>
    </row>
    <row r="2760" spans="14:20" x14ac:dyDescent="0.25">
      <c r="N2760" s="362"/>
      <c r="R2760" s="210"/>
      <c r="S2760" s="232"/>
      <c r="T2760" s="270"/>
    </row>
    <row r="2761" spans="14:20" x14ac:dyDescent="0.25">
      <c r="N2761" s="362"/>
      <c r="R2761" s="210"/>
      <c r="S2761" s="232"/>
      <c r="T2761" s="270"/>
    </row>
    <row r="2762" spans="14:20" x14ac:dyDescent="0.25">
      <c r="N2762" s="362"/>
      <c r="R2762" s="210"/>
      <c r="S2762" s="232"/>
      <c r="T2762" s="270"/>
    </row>
    <row r="2763" spans="14:20" x14ac:dyDescent="0.25">
      <c r="N2763" s="362"/>
      <c r="R2763" s="210"/>
      <c r="S2763" s="232"/>
      <c r="T2763" s="270"/>
    </row>
    <row r="2764" spans="14:20" x14ac:dyDescent="0.25">
      <c r="N2764" s="362"/>
      <c r="R2764" s="210"/>
      <c r="S2764" s="232"/>
      <c r="T2764" s="270"/>
    </row>
    <row r="2765" spans="14:20" x14ac:dyDescent="0.25">
      <c r="N2765" s="362"/>
      <c r="R2765" s="210"/>
      <c r="S2765" s="232"/>
      <c r="T2765" s="270"/>
    </row>
    <row r="2766" spans="14:20" x14ac:dyDescent="0.25">
      <c r="N2766" s="362"/>
      <c r="R2766" s="210"/>
      <c r="S2766" s="232"/>
      <c r="T2766" s="270"/>
    </row>
    <row r="2767" spans="14:20" x14ac:dyDescent="0.25">
      <c r="N2767" s="362"/>
      <c r="R2767" s="210"/>
      <c r="S2767" s="232"/>
      <c r="T2767" s="270"/>
    </row>
    <row r="2768" spans="14:20" x14ac:dyDescent="0.25">
      <c r="N2768" s="362"/>
      <c r="R2768" s="210"/>
      <c r="S2768" s="232"/>
      <c r="T2768" s="270"/>
    </row>
    <row r="2769" spans="14:20" x14ac:dyDescent="0.25">
      <c r="N2769" s="362"/>
      <c r="R2769" s="210"/>
      <c r="S2769" s="232"/>
      <c r="T2769" s="270"/>
    </row>
    <row r="2770" spans="14:20" x14ac:dyDescent="0.25">
      <c r="N2770" s="362"/>
      <c r="R2770" s="210"/>
      <c r="S2770" s="232"/>
      <c r="T2770" s="270"/>
    </row>
    <row r="2771" spans="14:20" x14ac:dyDescent="0.25">
      <c r="N2771" s="362"/>
      <c r="R2771" s="210"/>
      <c r="S2771" s="232"/>
      <c r="T2771" s="270"/>
    </row>
    <row r="2772" spans="14:20" x14ac:dyDescent="0.25">
      <c r="N2772" s="362"/>
      <c r="R2772" s="210"/>
      <c r="S2772" s="232"/>
      <c r="T2772" s="270"/>
    </row>
    <row r="2773" spans="14:20" x14ac:dyDescent="0.25">
      <c r="N2773" s="362"/>
      <c r="R2773" s="210"/>
      <c r="S2773" s="232"/>
      <c r="T2773" s="270"/>
    </row>
    <row r="2774" spans="14:20" x14ac:dyDescent="0.25">
      <c r="N2774" s="362"/>
      <c r="R2774" s="210"/>
      <c r="S2774" s="232"/>
      <c r="T2774" s="270"/>
    </row>
    <row r="2775" spans="14:20" x14ac:dyDescent="0.25">
      <c r="N2775" s="362"/>
      <c r="R2775" s="210"/>
      <c r="S2775" s="232"/>
      <c r="T2775" s="270"/>
    </row>
    <row r="2776" spans="14:20" x14ac:dyDescent="0.25">
      <c r="N2776" s="362"/>
      <c r="R2776" s="210"/>
      <c r="S2776" s="232"/>
      <c r="T2776" s="270"/>
    </row>
    <row r="2777" spans="14:20" x14ac:dyDescent="0.25">
      <c r="N2777" s="362"/>
      <c r="R2777" s="210"/>
      <c r="S2777" s="232"/>
      <c r="T2777" s="270"/>
    </row>
    <row r="2778" spans="14:20" x14ac:dyDescent="0.25">
      <c r="N2778" s="362"/>
      <c r="R2778" s="210"/>
      <c r="S2778" s="232"/>
      <c r="T2778" s="270"/>
    </row>
    <row r="2779" spans="14:20" x14ac:dyDescent="0.25">
      <c r="N2779" s="362"/>
      <c r="R2779" s="210"/>
      <c r="S2779" s="232"/>
      <c r="T2779" s="270"/>
    </row>
    <row r="2780" spans="14:20" x14ac:dyDescent="0.25">
      <c r="N2780" s="362"/>
      <c r="R2780" s="210"/>
      <c r="S2780" s="232"/>
      <c r="T2780" s="270"/>
    </row>
    <row r="2781" spans="14:20" x14ac:dyDescent="0.25">
      <c r="N2781" s="362"/>
      <c r="R2781" s="210"/>
      <c r="S2781" s="232"/>
      <c r="T2781" s="270"/>
    </row>
    <row r="2782" spans="14:20" x14ac:dyDescent="0.25">
      <c r="N2782" s="362"/>
      <c r="R2782" s="210"/>
      <c r="S2782" s="232"/>
      <c r="T2782" s="270"/>
    </row>
    <row r="2783" spans="14:20" x14ac:dyDescent="0.25">
      <c r="N2783" s="362"/>
      <c r="R2783" s="210"/>
      <c r="S2783" s="232"/>
      <c r="T2783" s="270"/>
    </row>
    <row r="2784" spans="14:20" x14ac:dyDescent="0.25">
      <c r="N2784" s="362"/>
      <c r="R2784" s="210"/>
      <c r="S2784" s="232"/>
      <c r="T2784" s="270"/>
    </row>
    <row r="2785" spans="14:20" x14ac:dyDescent="0.25">
      <c r="N2785" s="362"/>
      <c r="R2785" s="210"/>
      <c r="S2785" s="232"/>
      <c r="T2785" s="270"/>
    </row>
    <row r="2786" spans="14:20" x14ac:dyDescent="0.25">
      <c r="N2786" s="362"/>
      <c r="R2786" s="210"/>
      <c r="S2786" s="232"/>
      <c r="T2786" s="270"/>
    </row>
    <row r="2787" spans="14:20" x14ac:dyDescent="0.25">
      <c r="N2787" s="362"/>
      <c r="R2787" s="210"/>
      <c r="S2787" s="232"/>
      <c r="T2787" s="270"/>
    </row>
    <row r="2788" spans="14:20" x14ac:dyDescent="0.25">
      <c r="N2788" s="362"/>
      <c r="R2788" s="210"/>
      <c r="S2788" s="232"/>
      <c r="T2788" s="270"/>
    </row>
    <row r="2789" spans="14:20" x14ac:dyDescent="0.25">
      <c r="N2789" s="362"/>
      <c r="R2789" s="210"/>
      <c r="S2789" s="232"/>
      <c r="T2789" s="270"/>
    </row>
    <row r="2790" spans="14:20" x14ac:dyDescent="0.25">
      <c r="N2790" s="362"/>
      <c r="R2790" s="210"/>
      <c r="S2790" s="232"/>
      <c r="T2790" s="270"/>
    </row>
    <row r="2791" spans="14:20" x14ac:dyDescent="0.25">
      <c r="N2791" s="362"/>
      <c r="R2791" s="210"/>
      <c r="S2791" s="232"/>
      <c r="T2791" s="270"/>
    </row>
    <row r="2792" spans="14:20" x14ac:dyDescent="0.25">
      <c r="N2792" s="362"/>
      <c r="R2792" s="210"/>
      <c r="S2792" s="232"/>
      <c r="T2792" s="270"/>
    </row>
    <row r="2793" spans="14:20" x14ac:dyDescent="0.25">
      <c r="N2793" s="362"/>
      <c r="R2793" s="210"/>
      <c r="S2793" s="232"/>
      <c r="T2793" s="270"/>
    </row>
    <row r="2794" spans="14:20" x14ac:dyDescent="0.25">
      <c r="N2794" s="362"/>
      <c r="R2794" s="210"/>
      <c r="S2794" s="232"/>
      <c r="T2794" s="270"/>
    </row>
    <row r="2795" spans="14:20" x14ac:dyDescent="0.25">
      <c r="N2795" s="362"/>
      <c r="R2795" s="210"/>
      <c r="S2795" s="232"/>
      <c r="T2795" s="270"/>
    </row>
    <row r="2796" spans="14:20" x14ac:dyDescent="0.25">
      <c r="N2796" s="362"/>
      <c r="R2796" s="210"/>
      <c r="S2796" s="232"/>
      <c r="T2796" s="270"/>
    </row>
    <row r="2797" spans="14:20" x14ac:dyDescent="0.25">
      <c r="N2797" s="362"/>
      <c r="R2797" s="210"/>
      <c r="S2797" s="232"/>
      <c r="T2797" s="270"/>
    </row>
    <row r="2798" spans="14:20" x14ac:dyDescent="0.25">
      <c r="N2798" s="362"/>
      <c r="R2798" s="210"/>
      <c r="S2798" s="232"/>
      <c r="T2798" s="270"/>
    </row>
    <row r="2799" spans="14:20" x14ac:dyDescent="0.25">
      <c r="N2799" s="362"/>
      <c r="R2799" s="210"/>
      <c r="S2799" s="232"/>
      <c r="T2799" s="270"/>
    </row>
    <row r="2800" spans="14:20" x14ac:dyDescent="0.25">
      <c r="N2800" s="362"/>
      <c r="R2800" s="210"/>
      <c r="S2800" s="232"/>
      <c r="T2800" s="270"/>
    </row>
    <row r="2801" spans="14:20" x14ac:dyDescent="0.25">
      <c r="N2801" s="362"/>
      <c r="R2801" s="210"/>
      <c r="S2801" s="232"/>
      <c r="T2801" s="270"/>
    </row>
    <row r="2802" spans="14:20" x14ac:dyDescent="0.25">
      <c r="N2802" s="362"/>
      <c r="R2802" s="210"/>
      <c r="S2802" s="232"/>
      <c r="T2802" s="270"/>
    </row>
    <row r="2803" spans="14:20" x14ac:dyDescent="0.25">
      <c r="N2803" s="362"/>
      <c r="R2803" s="210"/>
      <c r="S2803" s="232"/>
      <c r="T2803" s="270"/>
    </row>
    <row r="2804" spans="14:20" x14ac:dyDescent="0.25">
      <c r="N2804" s="362"/>
      <c r="R2804" s="210"/>
      <c r="S2804" s="232"/>
      <c r="T2804" s="270"/>
    </row>
    <row r="2805" spans="14:20" x14ac:dyDescent="0.25">
      <c r="N2805" s="362"/>
      <c r="R2805" s="210"/>
      <c r="S2805" s="232"/>
      <c r="T2805" s="270"/>
    </row>
    <row r="2806" spans="14:20" x14ac:dyDescent="0.25">
      <c r="N2806" s="362"/>
      <c r="R2806" s="210"/>
      <c r="S2806" s="232"/>
      <c r="T2806" s="270"/>
    </row>
    <row r="2807" spans="14:20" x14ac:dyDescent="0.25">
      <c r="N2807" s="362"/>
      <c r="R2807" s="210"/>
      <c r="S2807" s="232"/>
      <c r="T2807" s="270"/>
    </row>
    <row r="2808" spans="14:20" x14ac:dyDescent="0.25">
      <c r="N2808" s="362"/>
      <c r="R2808" s="210"/>
      <c r="S2808" s="232"/>
      <c r="T2808" s="270"/>
    </row>
    <row r="2809" spans="14:20" x14ac:dyDescent="0.25">
      <c r="N2809" s="362"/>
      <c r="R2809" s="210"/>
      <c r="S2809" s="232"/>
      <c r="T2809" s="270"/>
    </row>
    <row r="2810" spans="14:20" x14ac:dyDescent="0.25">
      <c r="N2810" s="362"/>
      <c r="R2810" s="210"/>
      <c r="S2810" s="232"/>
      <c r="T2810" s="270"/>
    </row>
    <row r="2811" spans="14:20" x14ac:dyDescent="0.25">
      <c r="N2811" s="362"/>
      <c r="R2811" s="210"/>
      <c r="S2811" s="232"/>
      <c r="T2811" s="270"/>
    </row>
    <row r="2812" spans="14:20" x14ac:dyDescent="0.25">
      <c r="N2812" s="362"/>
      <c r="R2812" s="210"/>
      <c r="S2812" s="232"/>
      <c r="T2812" s="270"/>
    </row>
    <row r="2813" spans="14:20" x14ac:dyDescent="0.25">
      <c r="N2813" s="362"/>
      <c r="R2813" s="210"/>
      <c r="S2813" s="232"/>
      <c r="T2813" s="270"/>
    </row>
    <row r="2814" spans="14:20" x14ac:dyDescent="0.25">
      <c r="N2814" s="362"/>
      <c r="R2814" s="210"/>
      <c r="S2814" s="232"/>
      <c r="T2814" s="270"/>
    </row>
    <row r="2815" spans="14:20" x14ac:dyDescent="0.25">
      <c r="N2815" s="362"/>
      <c r="R2815" s="210"/>
      <c r="S2815" s="232"/>
      <c r="T2815" s="270"/>
    </row>
    <row r="2816" spans="14:20" x14ac:dyDescent="0.25">
      <c r="N2816" s="362"/>
      <c r="R2816" s="210"/>
      <c r="S2816" s="232"/>
      <c r="T2816" s="270"/>
    </row>
    <row r="2817" spans="14:20" x14ac:dyDescent="0.25">
      <c r="N2817" s="362"/>
      <c r="R2817" s="210"/>
      <c r="S2817" s="232"/>
      <c r="T2817" s="270"/>
    </row>
    <row r="2818" spans="14:20" x14ac:dyDescent="0.25">
      <c r="N2818" s="362"/>
      <c r="R2818" s="210"/>
      <c r="S2818" s="232"/>
      <c r="T2818" s="270"/>
    </row>
    <row r="2819" spans="14:20" x14ac:dyDescent="0.25">
      <c r="N2819" s="362"/>
      <c r="R2819" s="210"/>
      <c r="S2819" s="232"/>
      <c r="T2819" s="270"/>
    </row>
    <row r="2820" spans="14:20" x14ac:dyDescent="0.25">
      <c r="N2820" s="362"/>
      <c r="R2820" s="210"/>
      <c r="S2820" s="232"/>
      <c r="T2820" s="270"/>
    </row>
    <row r="2821" spans="14:20" x14ac:dyDescent="0.25">
      <c r="N2821" s="362"/>
      <c r="R2821" s="210"/>
      <c r="S2821" s="232"/>
      <c r="T2821" s="270"/>
    </row>
    <row r="2822" spans="14:20" x14ac:dyDescent="0.25">
      <c r="N2822" s="362"/>
      <c r="R2822" s="210"/>
      <c r="S2822" s="232"/>
      <c r="T2822" s="270"/>
    </row>
    <row r="2823" spans="14:20" x14ac:dyDescent="0.25">
      <c r="N2823" s="362"/>
      <c r="R2823" s="210"/>
      <c r="S2823" s="232"/>
      <c r="T2823" s="270"/>
    </row>
    <row r="2824" spans="14:20" x14ac:dyDescent="0.25">
      <c r="N2824" s="362"/>
      <c r="R2824" s="210"/>
      <c r="S2824" s="232"/>
      <c r="T2824" s="270"/>
    </row>
    <row r="2825" spans="14:20" x14ac:dyDescent="0.25">
      <c r="N2825" s="362"/>
      <c r="R2825" s="210"/>
      <c r="S2825" s="232"/>
      <c r="T2825" s="270"/>
    </row>
    <row r="2826" spans="14:20" x14ac:dyDescent="0.25">
      <c r="N2826" s="362"/>
      <c r="R2826" s="210"/>
      <c r="S2826" s="232"/>
      <c r="T2826" s="270"/>
    </row>
    <row r="2827" spans="14:20" x14ac:dyDescent="0.25">
      <c r="N2827" s="362"/>
      <c r="R2827" s="210"/>
      <c r="S2827" s="232"/>
      <c r="T2827" s="270"/>
    </row>
    <row r="2828" spans="14:20" x14ac:dyDescent="0.25">
      <c r="N2828" s="362"/>
      <c r="R2828" s="210"/>
      <c r="S2828" s="232"/>
      <c r="T2828" s="270"/>
    </row>
    <row r="2829" spans="14:20" x14ac:dyDescent="0.25">
      <c r="N2829" s="362"/>
      <c r="R2829" s="210"/>
      <c r="S2829" s="232"/>
      <c r="T2829" s="270"/>
    </row>
    <row r="2830" spans="14:20" x14ac:dyDescent="0.25">
      <c r="N2830" s="362"/>
      <c r="R2830" s="210"/>
      <c r="S2830" s="232"/>
      <c r="T2830" s="270"/>
    </row>
    <row r="2831" spans="14:20" x14ac:dyDescent="0.25">
      <c r="N2831" s="362"/>
      <c r="R2831" s="210"/>
      <c r="S2831" s="232"/>
      <c r="T2831" s="270"/>
    </row>
    <row r="2832" spans="14:20" x14ac:dyDescent="0.25">
      <c r="N2832" s="362"/>
      <c r="R2832" s="210"/>
      <c r="S2832" s="232"/>
      <c r="T2832" s="270"/>
    </row>
    <row r="2833" spans="14:20" x14ac:dyDescent="0.25">
      <c r="N2833" s="362"/>
      <c r="R2833" s="210"/>
      <c r="S2833" s="232"/>
      <c r="T2833" s="270"/>
    </row>
    <row r="2834" spans="14:20" x14ac:dyDescent="0.25">
      <c r="N2834" s="362"/>
      <c r="R2834" s="210"/>
      <c r="S2834" s="232"/>
      <c r="T2834" s="270"/>
    </row>
    <row r="2835" spans="14:20" x14ac:dyDescent="0.25">
      <c r="N2835" s="362"/>
      <c r="R2835" s="210"/>
      <c r="S2835" s="232"/>
      <c r="T2835" s="270"/>
    </row>
    <row r="2836" spans="14:20" x14ac:dyDescent="0.25">
      <c r="N2836" s="362"/>
      <c r="R2836" s="210"/>
      <c r="S2836" s="232"/>
      <c r="T2836" s="270"/>
    </row>
    <row r="2837" spans="14:20" x14ac:dyDescent="0.25">
      <c r="N2837" s="362"/>
      <c r="R2837" s="210"/>
      <c r="S2837" s="232"/>
      <c r="T2837" s="270"/>
    </row>
    <row r="2838" spans="14:20" x14ac:dyDescent="0.25">
      <c r="N2838" s="362"/>
      <c r="R2838" s="210"/>
      <c r="S2838" s="232"/>
      <c r="T2838" s="270"/>
    </row>
    <row r="2839" spans="14:20" x14ac:dyDescent="0.25">
      <c r="N2839" s="362"/>
      <c r="R2839" s="210"/>
      <c r="S2839" s="232"/>
      <c r="T2839" s="270"/>
    </row>
    <row r="2840" spans="14:20" x14ac:dyDescent="0.25">
      <c r="N2840" s="362"/>
      <c r="R2840" s="210"/>
      <c r="S2840" s="232"/>
      <c r="T2840" s="270"/>
    </row>
    <row r="2841" spans="14:20" x14ac:dyDescent="0.25">
      <c r="N2841" s="362"/>
      <c r="R2841" s="210"/>
      <c r="S2841" s="232"/>
      <c r="T2841" s="270"/>
    </row>
    <row r="2842" spans="14:20" x14ac:dyDescent="0.25">
      <c r="N2842" s="362"/>
      <c r="R2842" s="210"/>
      <c r="S2842" s="232"/>
      <c r="T2842" s="270"/>
    </row>
    <row r="2843" spans="14:20" x14ac:dyDescent="0.25">
      <c r="N2843" s="362"/>
      <c r="R2843" s="210"/>
      <c r="S2843" s="232"/>
      <c r="T2843" s="270"/>
    </row>
    <row r="2844" spans="14:20" x14ac:dyDescent="0.25">
      <c r="N2844" s="362"/>
      <c r="R2844" s="210"/>
      <c r="S2844" s="232"/>
      <c r="T2844" s="270"/>
    </row>
    <row r="2845" spans="14:20" x14ac:dyDescent="0.25">
      <c r="N2845" s="362"/>
      <c r="R2845" s="210"/>
      <c r="S2845" s="232"/>
      <c r="T2845" s="270"/>
    </row>
    <row r="2846" spans="14:20" x14ac:dyDescent="0.25">
      <c r="N2846" s="362"/>
      <c r="R2846" s="210"/>
      <c r="S2846" s="232"/>
      <c r="T2846" s="270"/>
    </row>
    <row r="2847" spans="14:20" x14ac:dyDescent="0.25">
      <c r="N2847" s="362"/>
      <c r="R2847" s="210"/>
      <c r="S2847" s="232"/>
      <c r="T2847" s="270"/>
    </row>
    <row r="2848" spans="14:20" x14ac:dyDescent="0.25">
      <c r="N2848" s="362"/>
      <c r="R2848" s="210"/>
      <c r="S2848" s="232"/>
      <c r="T2848" s="270"/>
    </row>
    <row r="2849" spans="14:20" x14ac:dyDescent="0.25">
      <c r="N2849" s="362"/>
      <c r="R2849" s="210"/>
      <c r="S2849" s="232"/>
      <c r="T2849" s="270"/>
    </row>
    <row r="2850" spans="14:20" x14ac:dyDescent="0.25">
      <c r="N2850" s="362"/>
      <c r="R2850" s="210"/>
      <c r="S2850" s="232"/>
      <c r="T2850" s="270"/>
    </row>
    <row r="2851" spans="14:20" x14ac:dyDescent="0.25">
      <c r="N2851" s="362"/>
      <c r="R2851" s="210"/>
      <c r="S2851" s="232"/>
      <c r="T2851" s="270"/>
    </row>
    <row r="2852" spans="14:20" x14ac:dyDescent="0.25">
      <c r="N2852" s="362"/>
      <c r="R2852" s="210"/>
      <c r="S2852" s="232"/>
      <c r="T2852" s="270"/>
    </row>
    <row r="2853" spans="14:20" x14ac:dyDescent="0.25">
      <c r="N2853" s="362"/>
      <c r="R2853" s="210"/>
      <c r="S2853" s="232"/>
      <c r="T2853" s="270"/>
    </row>
    <row r="2854" spans="14:20" x14ac:dyDescent="0.25">
      <c r="N2854" s="362"/>
      <c r="R2854" s="210"/>
      <c r="S2854" s="232"/>
      <c r="T2854" s="270"/>
    </row>
    <row r="2855" spans="14:20" x14ac:dyDescent="0.25">
      <c r="N2855" s="362"/>
      <c r="R2855" s="210"/>
      <c r="S2855" s="232"/>
      <c r="T2855" s="270"/>
    </row>
    <row r="2856" spans="14:20" x14ac:dyDescent="0.25">
      <c r="N2856" s="362"/>
      <c r="R2856" s="210"/>
      <c r="S2856" s="232"/>
      <c r="T2856" s="270"/>
    </row>
    <row r="2857" spans="14:20" x14ac:dyDescent="0.25">
      <c r="N2857" s="362"/>
      <c r="R2857" s="210"/>
      <c r="S2857" s="232"/>
      <c r="T2857" s="270"/>
    </row>
    <row r="2858" spans="14:20" x14ac:dyDescent="0.25">
      <c r="N2858" s="362"/>
      <c r="R2858" s="210"/>
      <c r="S2858" s="232"/>
      <c r="T2858" s="270"/>
    </row>
    <row r="2859" spans="14:20" x14ac:dyDescent="0.25">
      <c r="N2859" s="362"/>
      <c r="R2859" s="210"/>
      <c r="S2859" s="232"/>
      <c r="T2859" s="270"/>
    </row>
    <row r="2860" spans="14:20" x14ac:dyDescent="0.25">
      <c r="N2860" s="362"/>
      <c r="R2860" s="210"/>
      <c r="S2860" s="232"/>
      <c r="T2860" s="270"/>
    </row>
    <row r="2861" spans="14:20" x14ac:dyDescent="0.25">
      <c r="N2861" s="362"/>
      <c r="R2861" s="210"/>
      <c r="S2861" s="232"/>
      <c r="T2861" s="270"/>
    </row>
    <row r="2862" spans="14:20" x14ac:dyDescent="0.25">
      <c r="N2862" s="362"/>
      <c r="R2862" s="210"/>
      <c r="S2862" s="232"/>
      <c r="T2862" s="270"/>
    </row>
    <row r="2863" spans="14:20" x14ac:dyDescent="0.25">
      <c r="N2863" s="362"/>
      <c r="R2863" s="210"/>
      <c r="S2863" s="232"/>
      <c r="T2863" s="270"/>
    </row>
    <row r="2864" spans="14:20" x14ac:dyDescent="0.25">
      <c r="N2864" s="362"/>
      <c r="R2864" s="210"/>
      <c r="S2864" s="232"/>
      <c r="T2864" s="270"/>
    </row>
    <row r="2865" spans="14:20" x14ac:dyDescent="0.25">
      <c r="N2865" s="362"/>
      <c r="R2865" s="210"/>
      <c r="S2865" s="232"/>
      <c r="T2865" s="270"/>
    </row>
    <row r="2866" spans="14:20" x14ac:dyDescent="0.25">
      <c r="N2866" s="362"/>
      <c r="R2866" s="210"/>
      <c r="S2866" s="232"/>
      <c r="T2866" s="270"/>
    </row>
    <row r="2867" spans="14:20" x14ac:dyDescent="0.25">
      <c r="N2867" s="362"/>
      <c r="R2867" s="210"/>
      <c r="S2867" s="232"/>
      <c r="T2867" s="270"/>
    </row>
    <row r="2868" spans="14:20" x14ac:dyDescent="0.25">
      <c r="N2868" s="362"/>
      <c r="R2868" s="210"/>
      <c r="S2868" s="232"/>
      <c r="T2868" s="270"/>
    </row>
    <row r="2869" spans="14:20" x14ac:dyDescent="0.25">
      <c r="N2869" s="362"/>
      <c r="R2869" s="210"/>
      <c r="S2869" s="232"/>
      <c r="T2869" s="270"/>
    </row>
    <row r="2870" spans="14:20" x14ac:dyDescent="0.25">
      <c r="N2870" s="362"/>
      <c r="R2870" s="210"/>
      <c r="S2870" s="232"/>
      <c r="T2870" s="270"/>
    </row>
    <row r="2871" spans="14:20" x14ac:dyDescent="0.25">
      <c r="N2871" s="362"/>
      <c r="R2871" s="210"/>
      <c r="S2871" s="232"/>
      <c r="T2871" s="270"/>
    </row>
    <row r="2872" spans="14:20" x14ac:dyDescent="0.25">
      <c r="N2872" s="362"/>
      <c r="R2872" s="210"/>
      <c r="S2872" s="232"/>
      <c r="T2872" s="270"/>
    </row>
    <row r="2873" spans="14:20" x14ac:dyDescent="0.25">
      <c r="N2873" s="362"/>
      <c r="R2873" s="210"/>
      <c r="S2873" s="232"/>
      <c r="T2873" s="270"/>
    </row>
    <row r="2874" spans="14:20" x14ac:dyDescent="0.25">
      <c r="N2874" s="362"/>
      <c r="R2874" s="210"/>
      <c r="S2874" s="232"/>
      <c r="T2874" s="270"/>
    </row>
    <row r="2875" spans="14:20" x14ac:dyDescent="0.25">
      <c r="N2875" s="362"/>
      <c r="R2875" s="210"/>
      <c r="S2875" s="232"/>
      <c r="T2875" s="270"/>
    </row>
    <row r="2876" spans="14:20" x14ac:dyDescent="0.25">
      <c r="N2876" s="362"/>
      <c r="R2876" s="210"/>
      <c r="S2876" s="232"/>
      <c r="T2876" s="270"/>
    </row>
    <row r="2877" spans="14:20" x14ac:dyDescent="0.25">
      <c r="N2877" s="362"/>
      <c r="R2877" s="210"/>
      <c r="S2877" s="232"/>
      <c r="T2877" s="270"/>
    </row>
    <row r="2878" spans="14:20" x14ac:dyDescent="0.25">
      <c r="N2878" s="362"/>
      <c r="R2878" s="210"/>
      <c r="S2878" s="232"/>
      <c r="T2878" s="270"/>
    </row>
    <row r="2879" spans="14:20" x14ac:dyDescent="0.25">
      <c r="N2879" s="362"/>
      <c r="R2879" s="210"/>
      <c r="S2879" s="232"/>
      <c r="T2879" s="270"/>
    </row>
    <row r="2880" spans="14:20" x14ac:dyDescent="0.25">
      <c r="N2880" s="362"/>
      <c r="R2880" s="210"/>
      <c r="S2880" s="232"/>
      <c r="T2880" s="270"/>
    </row>
    <row r="2881" spans="14:20" x14ac:dyDescent="0.25">
      <c r="N2881" s="362"/>
      <c r="R2881" s="210"/>
      <c r="S2881" s="232"/>
      <c r="T2881" s="270"/>
    </row>
    <row r="2882" spans="14:20" x14ac:dyDescent="0.25">
      <c r="N2882" s="362"/>
      <c r="R2882" s="210"/>
      <c r="S2882" s="232"/>
      <c r="T2882" s="270"/>
    </row>
    <row r="2883" spans="14:20" x14ac:dyDescent="0.25">
      <c r="N2883" s="362"/>
      <c r="R2883" s="210"/>
      <c r="S2883" s="232"/>
      <c r="T2883" s="270"/>
    </row>
    <row r="2884" spans="14:20" x14ac:dyDescent="0.25">
      <c r="N2884" s="362"/>
      <c r="R2884" s="210"/>
      <c r="S2884" s="232"/>
      <c r="T2884" s="270"/>
    </row>
    <row r="2885" spans="14:20" x14ac:dyDescent="0.25">
      <c r="N2885" s="362"/>
      <c r="R2885" s="210"/>
      <c r="S2885" s="232"/>
      <c r="T2885" s="270"/>
    </row>
    <row r="2886" spans="14:20" x14ac:dyDescent="0.25">
      <c r="N2886" s="362"/>
      <c r="R2886" s="210"/>
      <c r="S2886" s="232"/>
      <c r="T2886" s="270"/>
    </row>
    <row r="2887" spans="14:20" x14ac:dyDescent="0.25">
      <c r="N2887" s="362"/>
      <c r="R2887" s="210"/>
      <c r="S2887" s="232"/>
      <c r="T2887" s="270"/>
    </row>
    <row r="2888" spans="14:20" x14ac:dyDescent="0.25">
      <c r="N2888" s="362"/>
      <c r="R2888" s="210"/>
      <c r="S2888" s="232"/>
      <c r="T2888" s="270"/>
    </row>
    <row r="2889" spans="14:20" x14ac:dyDescent="0.25">
      <c r="N2889" s="362"/>
      <c r="R2889" s="210"/>
      <c r="S2889" s="232"/>
      <c r="T2889" s="270"/>
    </row>
    <row r="2890" spans="14:20" x14ac:dyDescent="0.25">
      <c r="N2890" s="362"/>
      <c r="R2890" s="210"/>
      <c r="S2890" s="232"/>
      <c r="T2890" s="270"/>
    </row>
    <row r="2891" spans="14:20" x14ac:dyDescent="0.25">
      <c r="N2891" s="362"/>
      <c r="R2891" s="210"/>
      <c r="S2891" s="232"/>
      <c r="T2891" s="270"/>
    </row>
    <row r="2892" spans="14:20" x14ac:dyDescent="0.25">
      <c r="N2892" s="362"/>
      <c r="R2892" s="210"/>
      <c r="S2892" s="232"/>
      <c r="T2892" s="270"/>
    </row>
    <row r="2893" spans="14:20" x14ac:dyDescent="0.25">
      <c r="N2893" s="362"/>
      <c r="R2893" s="210"/>
      <c r="S2893" s="232"/>
      <c r="T2893" s="270"/>
    </row>
    <row r="2894" spans="14:20" x14ac:dyDescent="0.25">
      <c r="N2894" s="362"/>
      <c r="R2894" s="210"/>
      <c r="S2894" s="232"/>
      <c r="T2894" s="270"/>
    </row>
    <row r="2895" spans="14:20" x14ac:dyDescent="0.25">
      <c r="N2895" s="362"/>
      <c r="R2895" s="210"/>
      <c r="S2895" s="232"/>
      <c r="T2895" s="270"/>
    </row>
    <row r="2896" spans="14:20" x14ac:dyDescent="0.25">
      <c r="N2896" s="362"/>
      <c r="R2896" s="210"/>
      <c r="S2896" s="232"/>
      <c r="T2896" s="270"/>
    </row>
    <row r="2897" spans="14:20" x14ac:dyDescent="0.25">
      <c r="N2897" s="362"/>
      <c r="R2897" s="210"/>
      <c r="S2897" s="232"/>
      <c r="T2897" s="270"/>
    </row>
    <row r="2898" spans="14:20" x14ac:dyDescent="0.25">
      <c r="N2898" s="362"/>
      <c r="R2898" s="210"/>
      <c r="S2898" s="232"/>
      <c r="T2898" s="270"/>
    </row>
    <row r="2899" spans="14:20" x14ac:dyDescent="0.25">
      <c r="N2899" s="362"/>
      <c r="R2899" s="210"/>
      <c r="S2899" s="232"/>
      <c r="T2899" s="270"/>
    </row>
    <row r="2900" spans="14:20" x14ac:dyDescent="0.25">
      <c r="N2900" s="362"/>
      <c r="R2900" s="210"/>
      <c r="S2900" s="232"/>
      <c r="T2900" s="270"/>
    </row>
    <row r="2901" spans="14:20" x14ac:dyDescent="0.25">
      <c r="N2901" s="362"/>
      <c r="R2901" s="210"/>
      <c r="S2901" s="232"/>
      <c r="T2901" s="270"/>
    </row>
    <row r="2902" spans="14:20" x14ac:dyDescent="0.25">
      <c r="N2902" s="362"/>
      <c r="R2902" s="210"/>
      <c r="S2902" s="232"/>
      <c r="T2902" s="270"/>
    </row>
    <row r="2903" spans="14:20" x14ac:dyDescent="0.25">
      <c r="N2903" s="362"/>
      <c r="R2903" s="210"/>
      <c r="S2903" s="232"/>
      <c r="T2903" s="270"/>
    </row>
    <row r="2904" spans="14:20" x14ac:dyDescent="0.25">
      <c r="N2904" s="362"/>
      <c r="R2904" s="210"/>
      <c r="S2904" s="232"/>
      <c r="T2904" s="270"/>
    </row>
    <row r="2905" spans="14:20" x14ac:dyDescent="0.25">
      <c r="N2905" s="362"/>
      <c r="R2905" s="210"/>
      <c r="S2905" s="232"/>
      <c r="T2905" s="270"/>
    </row>
    <row r="2906" spans="14:20" x14ac:dyDescent="0.25">
      <c r="N2906" s="362"/>
      <c r="R2906" s="210"/>
      <c r="S2906" s="232"/>
      <c r="T2906" s="270"/>
    </row>
    <row r="2907" spans="14:20" x14ac:dyDescent="0.25">
      <c r="N2907" s="362"/>
      <c r="R2907" s="210"/>
      <c r="S2907" s="232"/>
      <c r="T2907" s="270"/>
    </row>
    <row r="2908" spans="14:20" x14ac:dyDescent="0.25">
      <c r="N2908" s="362"/>
      <c r="R2908" s="210"/>
      <c r="S2908" s="232"/>
      <c r="T2908" s="270"/>
    </row>
    <row r="2909" spans="14:20" x14ac:dyDescent="0.25">
      <c r="N2909" s="362"/>
      <c r="R2909" s="210"/>
      <c r="S2909" s="232"/>
      <c r="T2909" s="270"/>
    </row>
    <row r="2910" spans="14:20" x14ac:dyDescent="0.25">
      <c r="N2910" s="362"/>
      <c r="R2910" s="210"/>
      <c r="S2910" s="232"/>
      <c r="T2910" s="270"/>
    </row>
    <row r="2911" spans="14:20" x14ac:dyDescent="0.25">
      <c r="N2911" s="362"/>
      <c r="R2911" s="210"/>
      <c r="S2911" s="232"/>
      <c r="T2911" s="270"/>
    </row>
    <row r="2912" spans="14:20" x14ac:dyDescent="0.25">
      <c r="N2912" s="362"/>
      <c r="R2912" s="210"/>
      <c r="S2912" s="232"/>
      <c r="T2912" s="270"/>
    </row>
    <row r="2913" spans="14:20" x14ac:dyDescent="0.25">
      <c r="N2913" s="362"/>
      <c r="R2913" s="210"/>
      <c r="S2913" s="232"/>
      <c r="T2913" s="270"/>
    </row>
    <row r="2914" spans="14:20" x14ac:dyDescent="0.25">
      <c r="N2914" s="362"/>
      <c r="R2914" s="210"/>
      <c r="S2914" s="232"/>
      <c r="T2914" s="270"/>
    </row>
    <row r="2915" spans="14:20" x14ac:dyDescent="0.25">
      <c r="N2915" s="362"/>
      <c r="R2915" s="210"/>
      <c r="S2915" s="232"/>
      <c r="T2915" s="270"/>
    </row>
    <row r="2916" spans="14:20" x14ac:dyDescent="0.25">
      <c r="N2916" s="362"/>
      <c r="R2916" s="210"/>
      <c r="S2916" s="232"/>
      <c r="T2916" s="270"/>
    </row>
    <row r="2917" spans="14:20" x14ac:dyDescent="0.25">
      <c r="N2917" s="362"/>
      <c r="R2917" s="210"/>
      <c r="S2917" s="232"/>
      <c r="T2917" s="270"/>
    </row>
    <row r="2918" spans="14:20" x14ac:dyDescent="0.25">
      <c r="N2918" s="362"/>
      <c r="R2918" s="210"/>
      <c r="S2918" s="232"/>
      <c r="T2918" s="270"/>
    </row>
    <row r="2919" spans="14:20" x14ac:dyDescent="0.25">
      <c r="N2919" s="362"/>
      <c r="R2919" s="210"/>
      <c r="S2919" s="232"/>
      <c r="T2919" s="270"/>
    </row>
    <row r="2920" spans="14:20" x14ac:dyDescent="0.25">
      <c r="N2920" s="362"/>
      <c r="R2920" s="210"/>
      <c r="S2920" s="232"/>
      <c r="T2920" s="270"/>
    </row>
    <row r="2921" spans="14:20" x14ac:dyDescent="0.25">
      <c r="N2921" s="362"/>
      <c r="R2921" s="210"/>
      <c r="S2921" s="232"/>
      <c r="T2921" s="270"/>
    </row>
    <row r="2922" spans="14:20" x14ac:dyDescent="0.25">
      <c r="N2922" s="362"/>
      <c r="R2922" s="210"/>
      <c r="S2922" s="232"/>
      <c r="T2922" s="270"/>
    </row>
    <row r="2923" spans="14:20" x14ac:dyDescent="0.25">
      <c r="N2923" s="362"/>
      <c r="R2923" s="210"/>
      <c r="S2923" s="232"/>
      <c r="T2923" s="270"/>
    </row>
    <row r="2924" spans="14:20" x14ac:dyDescent="0.25">
      <c r="N2924" s="362"/>
      <c r="R2924" s="210"/>
      <c r="S2924" s="232"/>
      <c r="T2924" s="270"/>
    </row>
    <row r="2925" spans="14:20" x14ac:dyDescent="0.25">
      <c r="N2925" s="362"/>
      <c r="R2925" s="210"/>
      <c r="S2925" s="232"/>
      <c r="T2925" s="270"/>
    </row>
    <row r="2926" spans="14:20" x14ac:dyDescent="0.25">
      <c r="N2926" s="362"/>
      <c r="R2926" s="210"/>
      <c r="S2926" s="232"/>
      <c r="T2926" s="270"/>
    </row>
    <row r="2927" spans="14:20" x14ac:dyDescent="0.25">
      <c r="N2927" s="362"/>
      <c r="R2927" s="210"/>
      <c r="S2927" s="232"/>
      <c r="T2927" s="270"/>
    </row>
    <row r="2928" spans="14:20" x14ac:dyDescent="0.25">
      <c r="N2928" s="362"/>
      <c r="R2928" s="210"/>
      <c r="S2928" s="232"/>
      <c r="T2928" s="270"/>
    </row>
    <row r="2929" spans="14:20" x14ac:dyDescent="0.25">
      <c r="N2929" s="362"/>
      <c r="R2929" s="210"/>
      <c r="S2929" s="232"/>
      <c r="T2929" s="270"/>
    </row>
    <row r="2930" spans="14:20" x14ac:dyDescent="0.25">
      <c r="N2930" s="362"/>
      <c r="R2930" s="210"/>
      <c r="S2930" s="232"/>
      <c r="T2930" s="270"/>
    </row>
    <row r="2931" spans="14:20" x14ac:dyDescent="0.25">
      <c r="N2931" s="362"/>
      <c r="R2931" s="210"/>
      <c r="S2931" s="232"/>
      <c r="T2931" s="270"/>
    </row>
    <row r="2932" spans="14:20" x14ac:dyDescent="0.25">
      <c r="N2932" s="362"/>
      <c r="R2932" s="210"/>
      <c r="S2932" s="232"/>
      <c r="T2932" s="270"/>
    </row>
    <row r="2933" spans="14:20" x14ac:dyDescent="0.25">
      <c r="N2933" s="362"/>
      <c r="R2933" s="210"/>
      <c r="S2933" s="232"/>
      <c r="T2933" s="270"/>
    </row>
    <row r="2934" spans="14:20" x14ac:dyDescent="0.25">
      <c r="N2934" s="362"/>
      <c r="R2934" s="210"/>
      <c r="S2934" s="232"/>
      <c r="T2934" s="270"/>
    </row>
    <row r="2935" spans="14:20" x14ac:dyDescent="0.25">
      <c r="N2935" s="362"/>
      <c r="R2935" s="210"/>
      <c r="S2935" s="232"/>
      <c r="T2935" s="270"/>
    </row>
    <row r="2936" spans="14:20" x14ac:dyDescent="0.25">
      <c r="N2936" s="362"/>
      <c r="R2936" s="210"/>
      <c r="S2936" s="232"/>
      <c r="T2936" s="270"/>
    </row>
    <row r="2937" spans="14:20" x14ac:dyDescent="0.25">
      <c r="N2937" s="362"/>
      <c r="R2937" s="210"/>
      <c r="S2937" s="232"/>
      <c r="T2937" s="270"/>
    </row>
    <row r="2938" spans="14:20" x14ac:dyDescent="0.25">
      <c r="N2938" s="362"/>
      <c r="R2938" s="210"/>
      <c r="S2938" s="232"/>
      <c r="T2938" s="270"/>
    </row>
    <row r="2939" spans="14:20" x14ac:dyDescent="0.25">
      <c r="N2939" s="362"/>
      <c r="R2939" s="210"/>
      <c r="S2939" s="232"/>
      <c r="T2939" s="270"/>
    </row>
    <row r="2940" spans="14:20" x14ac:dyDescent="0.25">
      <c r="N2940" s="362"/>
      <c r="R2940" s="210"/>
      <c r="S2940" s="232"/>
      <c r="T2940" s="270"/>
    </row>
    <row r="2941" spans="14:20" x14ac:dyDescent="0.25">
      <c r="N2941" s="362"/>
      <c r="R2941" s="210"/>
      <c r="S2941" s="232"/>
      <c r="T2941" s="270"/>
    </row>
    <row r="2942" spans="14:20" x14ac:dyDescent="0.25">
      <c r="N2942" s="362"/>
      <c r="R2942" s="210"/>
      <c r="S2942" s="232"/>
      <c r="T2942" s="270"/>
    </row>
    <row r="2943" spans="14:20" x14ac:dyDescent="0.25">
      <c r="N2943" s="362"/>
      <c r="R2943" s="210"/>
      <c r="S2943" s="232"/>
      <c r="T2943" s="270"/>
    </row>
    <row r="2944" spans="14:20" x14ac:dyDescent="0.25">
      <c r="N2944" s="362"/>
      <c r="R2944" s="210"/>
      <c r="S2944" s="232"/>
      <c r="T2944" s="270"/>
    </row>
    <row r="2945" spans="14:20" x14ac:dyDescent="0.25">
      <c r="N2945" s="362"/>
      <c r="R2945" s="210"/>
      <c r="S2945" s="232"/>
      <c r="T2945" s="270"/>
    </row>
    <row r="2946" spans="14:20" x14ac:dyDescent="0.25">
      <c r="N2946" s="362"/>
      <c r="R2946" s="210"/>
      <c r="S2946" s="232"/>
      <c r="T2946" s="270"/>
    </row>
    <row r="2947" spans="14:20" x14ac:dyDescent="0.25">
      <c r="N2947" s="362"/>
      <c r="R2947" s="210"/>
      <c r="S2947" s="232"/>
      <c r="T2947" s="270"/>
    </row>
    <row r="2948" spans="14:20" x14ac:dyDescent="0.25">
      <c r="N2948" s="362"/>
      <c r="R2948" s="210"/>
      <c r="S2948" s="232"/>
      <c r="T2948" s="270"/>
    </row>
    <row r="2949" spans="14:20" x14ac:dyDescent="0.25">
      <c r="N2949" s="362"/>
      <c r="R2949" s="210"/>
      <c r="S2949" s="232"/>
      <c r="T2949" s="270"/>
    </row>
    <row r="2950" spans="14:20" x14ac:dyDescent="0.25">
      <c r="N2950" s="362"/>
      <c r="R2950" s="210"/>
      <c r="S2950" s="232"/>
      <c r="T2950" s="270"/>
    </row>
    <row r="2951" spans="14:20" x14ac:dyDescent="0.25">
      <c r="N2951" s="362"/>
      <c r="R2951" s="210"/>
      <c r="S2951" s="232"/>
      <c r="T2951" s="270"/>
    </row>
    <row r="2952" spans="14:20" x14ac:dyDescent="0.25">
      <c r="N2952" s="362"/>
      <c r="R2952" s="210"/>
      <c r="S2952" s="232"/>
      <c r="T2952" s="270"/>
    </row>
    <row r="2953" spans="14:20" x14ac:dyDescent="0.25">
      <c r="N2953" s="362"/>
      <c r="R2953" s="210"/>
      <c r="S2953" s="232"/>
      <c r="T2953" s="270"/>
    </row>
    <row r="2954" spans="14:20" x14ac:dyDescent="0.25">
      <c r="N2954" s="362"/>
      <c r="R2954" s="210"/>
      <c r="S2954" s="232"/>
      <c r="T2954" s="270"/>
    </row>
    <row r="2955" spans="14:20" x14ac:dyDescent="0.25">
      <c r="N2955" s="362"/>
      <c r="R2955" s="210"/>
      <c r="S2955" s="232"/>
      <c r="T2955" s="270"/>
    </row>
    <row r="2956" spans="14:20" x14ac:dyDescent="0.25">
      <c r="N2956" s="362"/>
      <c r="R2956" s="210"/>
      <c r="S2956" s="232"/>
      <c r="T2956" s="270"/>
    </row>
    <row r="2957" spans="14:20" x14ac:dyDescent="0.25">
      <c r="N2957" s="362"/>
      <c r="R2957" s="210"/>
      <c r="S2957" s="232"/>
      <c r="T2957" s="270"/>
    </row>
    <row r="2958" spans="14:20" x14ac:dyDescent="0.25">
      <c r="N2958" s="362"/>
      <c r="R2958" s="210"/>
      <c r="S2958" s="232"/>
      <c r="T2958" s="270"/>
    </row>
    <row r="2959" spans="14:20" x14ac:dyDescent="0.25">
      <c r="N2959" s="362"/>
      <c r="R2959" s="210"/>
      <c r="S2959" s="232"/>
      <c r="T2959" s="270"/>
    </row>
    <row r="2960" spans="14:20" x14ac:dyDescent="0.25">
      <c r="N2960" s="362"/>
      <c r="R2960" s="210"/>
      <c r="S2960" s="232"/>
      <c r="T2960" s="270"/>
    </row>
    <row r="2961" spans="14:20" x14ac:dyDescent="0.25">
      <c r="N2961" s="362"/>
      <c r="R2961" s="210"/>
      <c r="S2961" s="232"/>
      <c r="T2961" s="270"/>
    </row>
    <row r="2962" spans="14:20" x14ac:dyDescent="0.25">
      <c r="N2962" s="362"/>
      <c r="R2962" s="210"/>
      <c r="S2962" s="232"/>
      <c r="T2962" s="270"/>
    </row>
    <row r="2963" spans="14:20" x14ac:dyDescent="0.25">
      <c r="N2963" s="362"/>
      <c r="R2963" s="210"/>
      <c r="S2963" s="232"/>
      <c r="T2963" s="270"/>
    </row>
    <row r="2964" spans="14:20" x14ac:dyDescent="0.25">
      <c r="N2964" s="362"/>
      <c r="R2964" s="210"/>
      <c r="S2964" s="232"/>
      <c r="T2964" s="270"/>
    </row>
    <row r="2965" spans="14:20" x14ac:dyDescent="0.25">
      <c r="N2965" s="362"/>
      <c r="R2965" s="210"/>
      <c r="S2965" s="232"/>
      <c r="T2965" s="270"/>
    </row>
    <row r="2966" spans="14:20" x14ac:dyDescent="0.25">
      <c r="N2966" s="362"/>
      <c r="R2966" s="210"/>
      <c r="S2966" s="232"/>
      <c r="T2966" s="270"/>
    </row>
    <row r="2967" spans="14:20" x14ac:dyDescent="0.25">
      <c r="N2967" s="362"/>
      <c r="R2967" s="210"/>
      <c r="S2967" s="232"/>
      <c r="T2967" s="270"/>
    </row>
    <row r="2968" spans="14:20" x14ac:dyDescent="0.25">
      <c r="N2968" s="362"/>
      <c r="R2968" s="210"/>
      <c r="S2968" s="232"/>
      <c r="T2968" s="270"/>
    </row>
    <row r="2969" spans="14:20" x14ac:dyDescent="0.25">
      <c r="N2969" s="362"/>
      <c r="R2969" s="210"/>
      <c r="S2969" s="232"/>
      <c r="T2969" s="270"/>
    </row>
    <row r="2970" spans="14:20" x14ac:dyDescent="0.25">
      <c r="N2970" s="362"/>
      <c r="R2970" s="210"/>
      <c r="S2970" s="232"/>
      <c r="T2970" s="270"/>
    </row>
    <row r="2971" spans="14:20" x14ac:dyDescent="0.25">
      <c r="N2971" s="362"/>
      <c r="R2971" s="210"/>
      <c r="S2971" s="232"/>
      <c r="T2971" s="270"/>
    </row>
    <row r="2972" spans="14:20" x14ac:dyDescent="0.25">
      <c r="N2972" s="362"/>
      <c r="R2972" s="210"/>
      <c r="S2972" s="232"/>
      <c r="T2972" s="270"/>
    </row>
    <row r="2973" spans="14:20" x14ac:dyDescent="0.25">
      <c r="N2973" s="362"/>
      <c r="R2973" s="210"/>
      <c r="S2973" s="232"/>
      <c r="T2973" s="270"/>
    </row>
    <row r="2974" spans="14:20" x14ac:dyDescent="0.25">
      <c r="N2974" s="362"/>
      <c r="R2974" s="210"/>
      <c r="S2974" s="232"/>
      <c r="T2974" s="270"/>
    </row>
    <row r="2975" spans="14:20" x14ac:dyDescent="0.25">
      <c r="N2975" s="362"/>
      <c r="R2975" s="210"/>
      <c r="S2975" s="232"/>
      <c r="T2975" s="270"/>
    </row>
    <row r="2976" spans="14:20" x14ac:dyDescent="0.25">
      <c r="N2976" s="362"/>
      <c r="R2976" s="210"/>
      <c r="S2976" s="232"/>
      <c r="T2976" s="270"/>
    </row>
    <row r="2977" spans="14:20" x14ac:dyDescent="0.25">
      <c r="N2977" s="362"/>
      <c r="R2977" s="210"/>
      <c r="S2977" s="232"/>
      <c r="T2977" s="270"/>
    </row>
    <row r="2978" spans="14:20" x14ac:dyDescent="0.25">
      <c r="N2978" s="362"/>
      <c r="R2978" s="210"/>
      <c r="S2978" s="232"/>
      <c r="T2978" s="270"/>
    </row>
    <row r="2979" spans="14:20" x14ac:dyDescent="0.25">
      <c r="N2979" s="362"/>
      <c r="R2979" s="210"/>
      <c r="S2979" s="232"/>
      <c r="T2979" s="270"/>
    </row>
    <row r="2980" spans="14:20" x14ac:dyDescent="0.25">
      <c r="N2980" s="362"/>
      <c r="R2980" s="210"/>
      <c r="S2980" s="232"/>
      <c r="T2980" s="270"/>
    </row>
    <row r="2981" spans="14:20" x14ac:dyDescent="0.25">
      <c r="N2981" s="362"/>
      <c r="R2981" s="210"/>
      <c r="S2981" s="232"/>
      <c r="T2981" s="270"/>
    </row>
    <row r="2982" spans="14:20" x14ac:dyDescent="0.25">
      <c r="N2982" s="362"/>
      <c r="R2982" s="210"/>
      <c r="S2982" s="232"/>
      <c r="T2982" s="270"/>
    </row>
    <row r="2983" spans="14:20" x14ac:dyDescent="0.25">
      <c r="N2983" s="362"/>
      <c r="R2983" s="210"/>
      <c r="S2983" s="232"/>
      <c r="T2983" s="270"/>
    </row>
    <row r="2984" spans="14:20" x14ac:dyDescent="0.25">
      <c r="N2984" s="362"/>
      <c r="R2984" s="210"/>
      <c r="S2984" s="232"/>
      <c r="T2984" s="270"/>
    </row>
    <row r="2985" spans="14:20" x14ac:dyDescent="0.25">
      <c r="N2985" s="362"/>
      <c r="R2985" s="210"/>
      <c r="S2985" s="232"/>
      <c r="T2985" s="270"/>
    </row>
    <row r="2986" spans="14:20" x14ac:dyDescent="0.25">
      <c r="N2986" s="362"/>
      <c r="R2986" s="210"/>
      <c r="S2986" s="232"/>
      <c r="T2986" s="270"/>
    </row>
    <row r="2987" spans="14:20" x14ac:dyDescent="0.25">
      <c r="N2987" s="362"/>
      <c r="R2987" s="210"/>
      <c r="S2987" s="232"/>
      <c r="T2987" s="270"/>
    </row>
    <row r="2988" spans="14:20" x14ac:dyDescent="0.25">
      <c r="N2988" s="362"/>
      <c r="R2988" s="210"/>
      <c r="S2988" s="232"/>
      <c r="T2988" s="270"/>
    </row>
    <row r="2989" spans="14:20" x14ac:dyDescent="0.25">
      <c r="N2989" s="362"/>
      <c r="R2989" s="210"/>
      <c r="S2989" s="232"/>
      <c r="T2989" s="270"/>
    </row>
    <row r="2990" spans="14:20" x14ac:dyDescent="0.25">
      <c r="N2990" s="362"/>
      <c r="R2990" s="210"/>
      <c r="S2990" s="232"/>
      <c r="T2990" s="270"/>
    </row>
    <row r="2991" spans="14:20" x14ac:dyDescent="0.25">
      <c r="N2991" s="362"/>
      <c r="R2991" s="210"/>
      <c r="S2991" s="232"/>
      <c r="T2991" s="270"/>
    </row>
    <row r="2992" spans="14:20" x14ac:dyDescent="0.25">
      <c r="N2992" s="362"/>
      <c r="R2992" s="210"/>
      <c r="S2992" s="232"/>
      <c r="T2992" s="270"/>
    </row>
    <row r="2993" spans="14:20" x14ac:dyDescent="0.25">
      <c r="N2993" s="362"/>
      <c r="R2993" s="210"/>
      <c r="S2993" s="232"/>
      <c r="T2993" s="270"/>
    </row>
    <row r="2994" spans="14:20" x14ac:dyDescent="0.25">
      <c r="N2994" s="362"/>
      <c r="R2994" s="210"/>
      <c r="S2994" s="232"/>
      <c r="T2994" s="270"/>
    </row>
    <row r="2995" spans="14:20" x14ac:dyDescent="0.25">
      <c r="N2995" s="362"/>
      <c r="R2995" s="210"/>
      <c r="S2995" s="232"/>
      <c r="T2995" s="270"/>
    </row>
    <row r="2996" spans="14:20" x14ac:dyDescent="0.25">
      <c r="N2996" s="362"/>
      <c r="R2996" s="210"/>
      <c r="S2996" s="232"/>
      <c r="T2996" s="270"/>
    </row>
    <row r="2997" spans="14:20" x14ac:dyDescent="0.25">
      <c r="N2997" s="362"/>
      <c r="R2997" s="210"/>
      <c r="S2997" s="232"/>
      <c r="T2997" s="270"/>
    </row>
    <row r="2998" spans="14:20" x14ac:dyDescent="0.25">
      <c r="N2998" s="362"/>
      <c r="R2998" s="210"/>
      <c r="S2998" s="232"/>
      <c r="T2998" s="270"/>
    </row>
    <row r="2999" spans="14:20" x14ac:dyDescent="0.25">
      <c r="N2999" s="362"/>
      <c r="R2999" s="210"/>
      <c r="S2999" s="232"/>
      <c r="T2999" s="270"/>
    </row>
    <row r="3000" spans="14:20" x14ac:dyDescent="0.25">
      <c r="N3000" s="362"/>
      <c r="R3000" s="210"/>
      <c r="S3000" s="232"/>
      <c r="T3000" s="270"/>
    </row>
    <row r="3001" spans="14:20" x14ac:dyDescent="0.25">
      <c r="N3001" s="362"/>
      <c r="R3001" s="210"/>
      <c r="S3001" s="232"/>
      <c r="T3001" s="270"/>
    </row>
    <row r="3002" spans="14:20" x14ac:dyDescent="0.25">
      <c r="N3002" s="362"/>
      <c r="R3002" s="210"/>
      <c r="S3002" s="232"/>
      <c r="T3002" s="270"/>
    </row>
    <row r="3003" spans="14:20" x14ac:dyDescent="0.25">
      <c r="N3003" s="362"/>
      <c r="R3003" s="210"/>
      <c r="S3003" s="232"/>
      <c r="T3003" s="270"/>
    </row>
    <row r="3004" spans="14:20" x14ac:dyDescent="0.25">
      <c r="N3004" s="362"/>
      <c r="R3004" s="210"/>
      <c r="S3004" s="232"/>
      <c r="T3004" s="270"/>
    </row>
    <row r="3005" spans="14:20" x14ac:dyDescent="0.25">
      <c r="N3005" s="362"/>
      <c r="R3005" s="210"/>
      <c r="S3005" s="232"/>
      <c r="T3005" s="270"/>
    </row>
    <row r="3006" spans="14:20" x14ac:dyDescent="0.25">
      <c r="N3006" s="362"/>
      <c r="R3006" s="210"/>
      <c r="S3006" s="232"/>
      <c r="T3006" s="270"/>
    </row>
    <row r="3007" spans="14:20" x14ac:dyDescent="0.25">
      <c r="N3007" s="362"/>
      <c r="R3007" s="210"/>
      <c r="S3007" s="232"/>
      <c r="T3007" s="270"/>
    </row>
    <row r="3008" spans="14:20" x14ac:dyDescent="0.25">
      <c r="N3008" s="362"/>
      <c r="R3008" s="210"/>
      <c r="S3008" s="232"/>
      <c r="T3008" s="270"/>
    </row>
    <row r="3009" spans="14:20" x14ac:dyDescent="0.25">
      <c r="N3009" s="362"/>
      <c r="R3009" s="210"/>
      <c r="S3009" s="232"/>
      <c r="T3009" s="270"/>
    </row>
    <row r="3010" spans="14:20" x14ac:dyDescent="0.25">
      <c r="N3010" s="362"/>
      <c r="R3010" s="210"/>
      <c r="S3010" s="232"/>
      <c r="T3010" s="270"/>
    </row>
    <row r="3011" spans="14:20" x14ac:dyDescent="0.25">
      <c r="N3011" s="362"/>
      <c r="R3011" s="210"/>
      <c r="S3011" s="232"/>
      <c r="T3011" s="270"/>
    </row>
    <row r="3012" spans="14:20" x14ac:dyDescent="0.25">
      <c r="N3012" s="362"/>
      <c r="R3012" s="210"/>
      <c r="S3012" s="232"/>
      <c r="T3012" s="270"/>
    </row>
    <row r="3013" spans="14:20" x14ac:dyDescent="0.25">
      <c r="N3013" s="362"/>
      <c r="R3013" s="210"/>
      <c r="S3013" s="232"/>
      <c r="T3013" s="270"/>
    </row>
    <row r="3014" spans="14:20" x14ac:dyDescent="0.25">
      <c r="N3014" s="362"/>
      <c r="R3014" s="210"/>
      <c r="S3014" s="232"/>
      <c r="T3014" s="270"/>
    </row>
    <row r="3015" spans="14:20" x14ac:dyDescent="0.25">
      <c r="N3015" s="362"/>
      <c r="R3015" s="210"/>
      <c r="S3015" s="232"/>
      <c r="T3015" s="270"/>
    </row>
    <row r="3016" spans="14:20" x14ac:dyDescent="0.25">
      <c r="N3016" s="362"/>
      <c r="R3016" s="210"/>
      <c r="S3016" s="232"/>
      <c r="T3016" s="270"/>
    </row>
    <row r="3017" spans="14:20" x14ac:dyDescent="0.25">
      <c r="N3017" s="362"/>
      <c r="R3017" s="210"/>
      <c r="S3017" s="232"/>
      <c r="T3017" s="270"/>
    </row>
    <row r="3018" spans="14:20" x14ac:dyDescent="0.25">
      <c r="N3018" s="362"/>
      <c r="R3018" s="210"/>
      <c r="S3018" s="232"/>
      <c r="T3018" s="270"/>
    </row>
    <row r="3019" spans="14:20" x14ac:dyDescent="0.25">
      <c r="N3019" s="362"/>
      <c r="R3019" s="210"/>
      <c r="S3019" s="232"/>
      <c r="T3019" s="270"/>
    </row>
    <row r="3020" spans="14:20" x14ac:dyDescent="0.25">
      <c r="N3020" s="362"/>
      <c r="R3020" s="210"/>
      <c r="S3020" s="232"/>
      <c r="T3020" s="270"/>
    </row>
    <row r="3021" spans="14:20" x14ac:dyDescent="0.25">
      <c r="N3021" s="362"/>
      <c r="R3021" s="210"/>
      <c r="S3021" s="232"/>
      <c r="T3021" s="270"/>
    </row>
    <row r="3022" spans="14:20" x14ac:dyDescent="0.25">
      <c r="N3022" s="362"/>
      <c r="R3022" s="210"/>
      <c r="S3022" s="232"/>
      <c r="T3022" s="270"/>
    </row>
    <row r="3023" spans="14:20" x14ac:dyDescent="0.25">
      <c r="N3023" s="362"/>
      <c r="R3023" s="210"/>
      <c r="S3023" s="232"/>
      <c r="T3023" s="270"/>
    </row>
    <row r="3024" spans="14:20" x14ac:dyDescent="0.25">
      <c r="N3024" s="362"/>
      <c r="R3024" s="210"/>
      <c r="S3024" s="232"/>
      <c r="T3024" s="270"/>
    </row>
    <row r="3025" spans="14:20" x14ac:dyDescent="0.25">
      <c r="N3025" s="362"/>
      <c r="R3025" s="210"/>
      <c r="S3025" s="232"/>
      <c r="T3025" s="270"/>
    </row>
    <row r="3026" spans="14:20" x14ac:dyDescent="0.25">
      <c r="N3026" s="362"/>
      <c r="R3026" s="210"/>
      <c r="S3026" s="232"/>
      <c r="T3026" s="270"/>
    </row>
    <row r="3027" spans="14:20" x14ac:dyDescent="0.25">
      <c r="N3027" s="362"/>
      <c r="R3027" s="210"/>
      <c r="S3027" s="232"/>
      <c r="T3027" s="270"/>
    </row>
    <row r="3028" spans="14:20" x14ac:dyDescent="0.25">
      <c r="N3028" s="362"/>
      <c r="R3028" s="210"/>
      <c r="S3028" s="232"/>
      <c r="T3028" s="270"/>
    </row>
    <row r="3029" spans="14:20" x14ac:dyDescent="0.25">
      <c r="N3029" s="362"/>
      <c r="R3029" s="210"/>
      <c r="S3029" s="232"/>
      <c r="T3029" s="270"/>
    </row>
    <row r="3030" spans="14:20" x14ac:dyDescent="0.25">
      <c r="N3030" s="362"/>
      <c r="R3030" s="210"/>
      <c r="S3030" s="232"/>
      <c r="T3030" s="270"/>
    </row>
    <row r="3031" spans="14:20" x14ac:dyDescent="0.25">
      <c r="N3031" s="362"/>
      <c r="R3031" s="210"/>
      <c r="S3031" s="232"/>
      <c r="T3031" s="270"/>
    </row>
    <row r="3032" spans="14:20" x14ac:dyDescent="0.25">
      <c r="N3032" s="362"/>
      <c r="R3032" s="210"/>
      <c r="S3032" s="232"/>
      <c r="T3032" s="270"/>
    </row>
    <row r="3033" spans="14:20" x14ac:dyDescent="0.25">
      <c r="N3033" s="362"/>
      <c r="R3033" s="210"/>
      <c r="S3033" s="232"/>
      <c r="T3033" s="270"/>
    </row>
    <row r="3034" spans="14:20" x14ac:dyDescent="0.25">
      <c r="N3034" s="362"/>
      <c r="R3034" s="210"/>
      <c r="S3034" s="232"/>
      <c r="T3034" s="270"/>
    </row>
    <row r="3035" spans="14:20" x14ac:dyDescent="0.25">
      <c r="N3035" s="362"/>
      <c r="R3035" s="210"/>
      <c r="S3035" s="232"/>
      <c r="T3035" s="270"/>
    </row>
    <row r="3036" spans="14:20" x14ac:dyDescent="0.25">
      <c r="N3036" s="362"/>
      <c r="R3036" s="210"/>
      <c r="S3036" s="232"/>
      <c r="T3036" s="270"/>
    </row>
    <row r="3037" spans="14:20" x14ac:dyDescent="0.25">
      <c r="N3037" s="362"/>
      <c r="R3037" s="210"/>
      <c r="S3037" s="232"/>
      <c r="T3037" s="270"/>
    </row>
    <row r="3038" spans="14:20" x14ac:dyDescent="0.25">
      <c r="N3038" s="362"/>
      <c r="R3038" s="210"/>
      <c r="S3038" s="232"/>
      <c r="T3038" s="270"/>
    </row>
    <row r="3039" spans="14:20" x14ac:dyDescent="0.25">
      <c r="N3039" s="362"/>
      <c r="R3039" s="210"/>
      <c r="S3039" s="232"/>
      <c r="T3039" s="270"/>
    </row>
    <row r="3040" spans="14:20" x14ac:dyDescent="0.25">
      <c r="N3040" s="362"/>
      <c r="R3040" s="210"/>
      <c r="S3040" s="232"/>
      <c r="T3040" s="270"/>
    </row>
    <row r="3041" spans="14:20" x14ac:dyDescent="0.25">
      <c r="N3041" s="362"/>
      <c r="R3041" s="210"/>
      <c r="S3041" s="232"/>
      <c r="T3041" s="270"/>
    </row>
    <row r="3042" spans="14:20" x14ac:dyDescent="0.25">
      <c r="N3042" s="362"/>
      <c r="R3042" s="210"/>
      <c r="S3042" s="232"/>
      <c r="T3042" s="270"/>
    </row>
    <row r="3043" spans="14:20" x14ac:dyDescent="0.25">
      <c r="N3043" s="362"/>
      <c r="R3043" s="210"/>
      <c r="S3043" s="232"/>
      <c r="T3043" s="270"/>
    </row>
    <row r="3044" spans="14:20" x14ac:dyDescent="0.25">
      <c r="N3044" s="362"/>
      <c r="R3044" s="210"/>
      <c r="S3044" s="232"/>
      <c r="T3044" s="270"/>
    </row>
    <row r="3045" spans="14:20" x14ac:dyDescent="0.25">
      <c r="N3045" s="362"/>
      <c r="R3045" s="210"/>
      <c r="S3045" s="232"/>
      <c r="T3045" s="270"/>
    </row>
    <row r="3046" spans="14:20" x14ac:dyDescent="0.25">
      <c r="N3046" s="362"/>
      <c r="R3046" s="210"/>
      <c r="S3046" s="232"/>
      <c r="T3046" s="270"/>
    </row>
    <row r="3047" spans="14:20" x14ac:dyDescent="0.25">
      <c r="N3047" s="362"/>
      <c r="R3047" s="210"/>
      <c r="S3047" s="232"/>
      <c r="T3047" s="270"/>
    </row>
    <row r="3048" spans="14:20" x14ac:dyDescent="0.25">
      <c r="N3048" s="362"/>
      <c r="R3048" s="210"/>
      <c r="S3048" s="232"/>
      <c r="T3048" s="270"/>
    </row>
    <row r="3049" spans="14:20" x14ac:dyDescent="0.25">
      <c r="N3049" s="362"/>
      <c r="R3049" s="210"/>
      <c r="S3049" s="232"/>
      <c r="T3049" s="270"/>
    </row>
    <row r="3050" spans="14:20" x14ac:dyDescent="0.25">
      <c r="N3050" s="362"/>
      <c r="R3050" s="210"/>
      <c r="S3050" s="232"/>
      <c r="T3050" s="270"/>
    </row>
    <row r="3051" spans="14:20" x14ac:dyDescent="0.25">
      <c r="N3051" s="362"/>
      <c r="R3051" s="210"/>
      <c r="S3051" s="232"/>
      <c r="T3051" s="270"/>
    </row>
    <row r="3052" spans="14:20" x14ac:dyDescent="0.25">
      <c r="N3052" s="362"/>
      <c r="R3052" s="210"/>
      <c r="S3052" s="232"/>
      <c r="T3052" s="270"/>
    </row>
    <row r="3053" spans="14:20" x14ac:dyDescent="0.25">
      <c r="N3053" s="362"/>
      <c r="R3053" s="210"/>
      <c r="S3053" s="232"/>
      <c r="T3053" s="270"/>
    </row>
    <row r="3054" spans="14:20" x14ac:dyDescent="0.25">
      <c r="N3054" s="362"/>
      <c r="R3054" s="210"/>
      <c r="S3054" s="232"/>
      <c r="T3054" s="270"/>
    </row>
    <row r="3055" spans="14:20" x14ac:dyDescent="0.25">
      <c r="N3055" s="362"/>
      <c r="R3055" s="210"/>
      <c r="S3055" s="232"/>
      <c r="T3055" s="270"/>
    </row>
    <row r="3056" spans="14:20" x14ac:dyDescent="0.25">
      <c r="N3056" s="362"/>
      <c r="R3056" s="210"/>
      <c r="S3056" s="232"/>
      <c r="T3056" s="270"/>
    </row>
    <row r="3057" spans="14:20" x14ac:dyDescent="0.25">
      <c r="N3057" s="362"/>
      <c r="R3057" s="210"/>
      <c r="S3057" s="232"/>
      <c r="T3057" s="270"/>
    </row>
    <row r="3058" spans="14:20" x14ac:dyDescent="0.25">
      <c r="N3058" s="362"/>
      <c r="R3058" s="210"/>
      <c r="S3058" s="232"/>
      <c r="T3058" s="270"/>
    </row>
    <row r="3059" spans="14:20" x14ac:dyDescent="0.25">
      <c r="N3059" s="362"/>
      <c r="R3059" s="210"/>
      <c r="S3059" s="232"/>
      <c r="T3059" s="270"/>
    </row>
    <row r="3060" spans="14:20" x14ac:dyDescent="0.25">
      <c r="N3060" s="362"/>
      <c r="R3060" s="210"/>
      <c r="S3060" s="232"/>
      <c r="T3060" s="270"/>
    </row>
    <row r="3061" spans="14:20" x14ac:dyDescent="0.25">
      <c r="N3061" s="362"/>
      <c r="R3061" s="210"/>
      <c r="S3061" s="232"/>
      <c r="T3061" s="270"/>
    </row>
    <row r="3062" spans="14:20" x14ac:dyDescent="0.25">
      <c r="N3062" s="362"/>
      <c r="R3062" s="210"/>
      <c r="S3062" s="232"/>
      <c r="T3062" s="270"/>
    </row>
    <row r="3063" spans="14:20" x14ac:dyDescent="0.25">
      <c r="N3063" s="362"/>
      <c r="R3063" s="210"/>
      <c r="S3063" s="232"/>
      <c r="T3063" s="270"/>
    </row>
    <row r="3064" spans="14:20" x14ac:dyDescent="0.25">
      <c r="N3064" s="362"/>
      <c r="R3064" s="210"/>
      <c r="S3064" s="232"/>
      <c r="T3064" s="270"/>
    </row>
    <row r="3065" spans="14:20" x14ac:dyDescent="0.25">
      <c r="N3065" s="362"/>
      <c r="R3065" s="210"/>
      <c r="S3065" s="232"/>
      <c r="T3065" s="270"/>
    </row>
    <row r="3066" spans="14:20" x14ac:dyDescent="0.25">
      <c r="N3066" s="362"/>
      <c r="R3066" s="210"/>
      <c r="S3066" s="232"/>
      <c r="T3066" s="270"/>
    </row>
    <row r="3067" spans="14:20" x14ac:dyDescent="0.25">
      <c r="N3067" s="362"/>
      <c r="R3067" s="210"/>
      <c r="S3067" s="232"/>
      <c r="T3067" s="270"/>
    </row>
    <row r="3068" spans="14:20" x14ac:dyDescent="0.25">
      <c r="N3068" s="362"/>
      <c r="R3068" s="210"/>
      <c r="S3068" s="232"/>
      <c r="T3068" s="270"/>
    </row>
    <row r="3069" spans="14:20" x14ac:dyDescent="0.25">
      <c r="N3069" s="362"/>
      <c r="R3069" s="210"/>
      <c r="S3069" s="232"/>
      <c r="T3069" s="270"/>
    </row>
    <row r="3070" spans="14:20" x14ac:dyDescent="0.25">
      <c r="N3070" s="362"/>
      <c r="R3070" s="210"/>
      <c r="S3070" s="232"/>
      <c r="T3070" s="270"/>
    </row>
    <row r="3071" spans="14:20" x14ac:dyDescent="0.25">
      <c r="N3071" s="362"/>
      <c r="R3071" s="210"/>
      <c r="S3071" s="232"/>
      <c r="T3071" s="270"/>
    </row>
    <row r="3072" spans="14:20" x14ac:dyDescent="0.25">
      <c r="N3072" s="362"/>
      <c r="R3072" s="210"/>
      <c r="S3072" s="232"/>
      <c r="T3072" s="270"/>
    </row>
    <row r="3073" spans="14:20" x14ac:dyDescent="0.25">
      <c r="N3073" s="362"/>
      <c r="R3073" s="210"/>
      <c r="S3073" s="232"/>
      <c r="T3073" s="270"/>
    </row>
    <row r="3074" spans="14:20" x14ac:dyDescent="0.25">
      <c r="N3074" s="362"/>
      <c r="R3074" s="210"/>
      <c r="S3074" s="232"/>
      <c r="T3074" s="270"/>
    </row>
    <row r="3075" spans="14:20" x14ac:dyDescent="0.25">
      <c r="N3075" s="362"/>
      <c r="R3075" s="210"/>
      <c r="S3075" s="232"/>
      <c r="T3075" s="270"/>
    </row>
    <row r="3076" spans="14:20" x14ac:dyDescent="0.25">
      <c r="N3076" s="362"/>
      <c r="R3076" s="210"/>
      <c r="S3076" s="232"/>
      <c r="T3076" s="270"/>
    </row>
    <row r="3077" spans="14:20" x14ac:dyDescent="0.25">
      <c r="N3077" s="362"/>
      <c r="R3077" s="210"/>
      <c r="S3077" s="232"/>
      <c r="T3077" s="270"/>
    </row>
    <row r="3078" spans="14:20" x14ac:dyDescent="0.25">
      <c r="N3078" s="362"/>
      <c r="R3078" s="210"/>
      <c r="S3078" s="232"/>
      <c r="T3078" s="270"/>
    </row>
    <row r="3079" spans="14:20" x14ac:dyDescent="0.25">
      <c r="N3079" s="362"/>
      <c r="R3079" s="210"/>
      <c r="S3079" s="232"/>
      <c r="T3079" s="270"/>
    </row>
    <row r="3080" spans="14:20" x14ac:dyDescent="0.25">
      <c r="N3080" s="362"/>
      <c r="R3080" s="210"/>
      <c r="S3080" s="232"/>
      <c r="T3080" s="270"/>
    </row>
    <row r="3081" spans="14:20" x14ac:dyDescent="0.25">
      <c r="N3081" s="362"/>
      <c r="R3081" s="210"/>
      <c r="S3081" s="232"/>
      <c r="T3081" s="270"/>
    </row>
    <row r="3082" spans="14:20" x14ac:dyDescent="0.25">
      <c r="N3082" s="362"/>
      <c r="R3082" s="210"/>
      <c r="S3082" s="232"/>
      <c r="T3082" s="270"/>
    </row>
    <row r="3083" spans="14:20" x14ac:dyDescent="0.25">
      <c r="N3083" s="362"/>
      <c r="R3083" s="210"/>
      <c r="S3083" s="232"/>
      <c r="T3083" s="270"/>
    </row>
    <row r="3084" spans="14:20" x14ac:dyDescent="0.25">
      <c r="N3084" s="362"/>
      <c r="R3084" s="210"/>
      <c r="S3084" s="232"/>
      <c r="T3084" s="270"/>
    </row>
    <row r="3085" spans="14:20" x14ac:dyDescent="0.25">
      <c r="N3085" s="362"/>
      <c r="R3085" s="210"/>
      <c r="S3085" s="232"/>
      <c r="T3085" s="270"/>
    </row>
    <row r="3086" spans="14:20" x14ac:dyDescent="0.25">
      <c r="N3086" s="362"/>
      <c r="R3086" s="210"/>
      <c r="S3086" s="232"/>
      <c r="T3086" s="270"/>
    </row>
    <row r="3087" spans="14:20" x14ac:dyDescent="0.25">
      <c r="N3087" s="362"/>
      <c r="R3087" s="210"/>
      <c r="S3087" s="232"/>
      <c r="T3087" s="270"/>
    </row>
    <row r="3088" spans="14:20" x14ac:dyDescent="0.25">
      <c r="N3088" s="362"/>
      <c r="R3088" s="210"/>
      <c r="S3088" s="232"/>
      <c r="T3088" s="270"/>
    </row>
    <row r="3089" spans="14:20" x14ac:dyDescent="0.25">
      <c r="N3089" s="362"/>
      <c r="R3089" s="210"/>
      <c r="S3089" s="232"/>
      <c r="T3089" s="270"/>
    </row>
    <row r="3090" spans="14:20" x14ac:dyDescent="0.25">
      <c r="N3090" s="362"/>
      <c r="R3090" s="210"/>
      <c r="S3090" s="232"/>
      <c r="T3090" s="270"/>
    </row>
    <row r="3091" spans="14:20" x14ac:dyDescent="0.25">
      <c r="N3091" s="362"/>
      <c r="R3091" s="210"/>
      <c r="S3091" s="232"/>
      <c r="T3091" s="270"/>
    </row>
    <row r="3092" spans="14:20" x14ac:dyDescent="0.25">
      <c r="N3092" s="362"/>
      <c r="R3092" s="210"/>
      <c r="S3092" s="232"/>
      <c r="T3092" s="270"/>
    </row>
    <row r="3093" spans="14:20" x14ac:dyDescent="0.25">
      <c r="N3093" s="362"/>
      <c r="R3093" s="210"/>
      <c r="S3093" s="232"/>
      <c r="T3093" s="270"/>
    </row>
    <row r="3094" spans="14:20" x14ac:dyDescent="0.25">
      <c r="N3094" s="362"/>
      <c r="R3094" s="210"/>
      <c r="S3094" s="232"/>
      <c r="T3094" s="270"/>
    </row>
    <row r="3095" spans="14:20" x14ac:dyDescent="0.25">
      <c r="N3095" s="362"/>
      <c r="R3095" s="210"/>
      <c r="S3095" s="232"/>
      <c r="T3095" s="270"/>
    </row>
    <row r="3096" spans="14:20" x14ac:dyDescent="0.25">
      <c r="N3096" s="362"/>
      <c r="R3096" s="210"/>
      <c r="S3096" s="232"/>
      <c r="T3096" s="270"/>
    </row>
    <row r="3097" spans="14:20" x14ac:dyDescent="0.25">
      <c r="N3097" s="362"/>
      <c r="R3097" s="210"/>
      <c r="S3097" s="232"/>
      <c r="T3097" s="270"/>
    </row>
    <row r="3098" spans="14:20" x14ac:dyDescent="0.25">
      <c r="N3098" s="362"/>
      <c r="R3098" s="210"/>
      <c r="S3098" s="232"/>
      <c r="T3098" s="270"/>
    </row>
    <row r="3099" spans="14:20" x14ac:dyDescent="0.25">
      <c r="N3099" s="362"/>
      <c r="R3099" s="210"/>
      <c r="S3099" s="232"/>
      <c r="T3099" s="270"/>
    </row>
    <row r="3100" spans="14:20" x14ac:dyDescent="0.25">
      <c r="N3100" s="362"/>
      <c r="R3100" s="210"/>
      <c r="S3100" s="232"/>
      <c r="T3100" s="270"/>
    </row>
    <row r="3101" spans="14:20" x14ac:dyDescent="0.25">
      <c r="N3101" s="362"/>
      <c r="R3101" s="210"/>
      <c r="S3101" s="232"/>
      <c r="T3101" s="270"/>
    </row>
    <row r="3102" spans="14:20" x14ac:dyDescent="0.25">
      <c r="N3102" s="362"/>
      <c r="R3102" s="210"/>
      <c r="S3102" s="232"/>
      <c r="T3102" s="270"/>
    </row>
    <row r="3103" spans="14:20" x14ac:dyDescent="0.25">
      <c r="N3103" s="362"/>
      <c r="R3103" s="210"/>
      <c r="S3103" s="232"/>
      <c r="T3103" s="270"/>
    </row>
    <row r="3104" spans="14:20" x14ac:dyDescent="0.25">
      <c r="N3104" s="362"/>
      <c r="R3104" s="210"/>
      <c r="S3104" s="232"/>
      <c r="T3104" s="270"/>
    </row>
    <row r="3105" spans="14:20" x14ac:dyDescent="0.25">
      <c r="N3105" s="362"/>
      <c r="R3105" s="210"/>
      <c r="S3105" s="232"/>
      <c r="T3105" s="270"/>
    </row>
    <row r="3106" spans="14:20" x14ac:dyDescent="0.25">
      <c r="N3106" s="362"/>
      <c r="R3106" s="210"/>
      <c r="S3106" s="232"/>
      <c r="T3106" s="270"/>
    </row>
    <row r="3107" spans="14:20" x14ac:dyDescent="0.25">
      <c r="N3107" s="362"/>
      <c r="R3107" s="210"/>
      <c r="S3107" s="232"/>
      <c r="T3107" s="270"/>
    </row>
    <row r="3108" spans="14:20" x14ac:dyDescent="0.25">
      <c r="N3108" s="362"/>
      <c r="R3108" s="210"/>
      <c r="S3108" s="232"/>
      <c r="T3108" s="270"/>
    </row>
    <row r="3109" spans="14:20" x14ac:dyDescent="0.25">
      <c r="N3109" s="362"/>
      <c r="R3109" s="210"/>
      <c r="S3109" s="232"/>
      <c r="T3109" s="270"/>
    </row>
    <row r="3110" spans="14:20" x14ac:dyDescent="0.25">
      <c r="N3110" s="362"/>
      <c r="R3110" s="210"/>
      <c r="S3110" s="232"/>
      <c r="T3110" s="270"/>
    </row>
    <row r="3111" spans="14:20" x14ac:dyDescent="0.25">
      <c r="N3111" s="362"/>
      <c r="R3111" s="210"/>
      <c r="S3111" s="232"/>
      <c r="T3111" s="270"/>
    </row>
    <row r="3112" spans="14:20" x14ac:dyDescent="0.25">
      <c r="N3112" s="362"/>
      <c r="R3112" s="210"/>
      <c r="S3112" s="232"/>
      <c r="T3112" s="270"/>
    </row>
    <row r="3113" spans="14:20" x14ac:dyDescent="0.25">
      <c r="N3113" s="362"/>
      <c r="R3113" s="210"/>
      <c r="S3113" s="232"/>
      <c r="T3113" s="270"/>
    </row>
    <row r="3114" spans="14:20" x14ac:dyDescent="0.25">
      <c r="N3114" s="362"/>
      <c r="R3114" s="210"/>
      <c r="S3114" s="232"/>
      <c r="T3114" s="270"/>
    </row>
    <row r="3115" spans="14:20" x14ac:dyDescent="0.25">
      <c r="N3115" s="362"/>
      <c r="R3115" s="210"/>
      <c r="S3115" s="232"/>
      <c r="T3115" s="270"/>
    </row>
    <row r="3116" spans="14:20" x14ac:dyDescent="0.25">
      <c r="N3116" s="362"/>
      <c r="R3116" s="210"/>
      <c r="S3116" s="232"/>
      <c r="T3116" s="270"/>
    </row>
    <row r="3117" spans="14:20" x14ac:dyDescent="0.25">
      <c r="N3117" s="362"/>
      <c r="R3117" s="210"/>
      <c r="S3117" s="232"/>
      <c r="T3117" s="270"/>
    </row>
    <row r="3118" spans="14:20" x14ac:dyDescent="0.25">
      <c r="N3118" s="362"/>
      <c r="R3118" s="210"/>
      <c r="S3118" s="232"/>
      <c r="T3118" s="270"/>
    </row>
    <row r="3119" spans="14:20" x14ac:dyDescent="0.25">
      <c r="N3119" s="362"/>
      <c r="R3119" s="210"/>
      <c r="S3119" s="232"/>
      <c r="T3119" s="270"/>
    </row>
    <row r="3120" spans="14:20" x14ac:dyDescent="0.25">
      <c r="N3120" s="362"/>
      <c r="R3120" s="210"/>
      <c r="S3120" s="232"/>
      <c r="T3120" s="270"/>
    </row>
    <row r="3121" spans="14:20" x14ac:dyDescent="0.25">
      <c r="N3121" s="362"/>
      <c r="R3121" s="210"/>
      <c r="S3121" s="232"/>
      <c r="T3121" s="270"/>
    </row>
    <row r="3122" spans="14:20" x14ac:dyDescent="0.25">
      <c r="N3122" s="362"/>
      <c r="R3122" s="210"/>
      <c r="S3122" s="232"/>
      <c r="T3122" s="270"/>
    </row>
    <row r="3123" spans="14:20" x14ac:dyDescent="0.25">
      <c r="N3123" s="362"/>
      <c r="R3123" s="210"/>
      <c r="S3123" s="232"/>
      <c r="T3123" s="270"/>
    </row>
    <row r="3124" spans="14:20" x14ac:dyDescent="0.25">
      <c r="N3124" s="362"/>
      <c r="R3124" s="210"/>
      <c r="S3124" s="232"/>
      <c r="T3124" s="270"/>
    </row>
    <row r="3125" spans="14:20" x14ac:dyDescent="0.25">
      <c r="N3125" s="362"/>
      <c r="R3125" s="210"/>
      <c r="S3125" s="232"/>
      <c r="T3125" s="270"/>
    </row>
    <row r="3126" spans="14:20" x14ac:dyDescent="0.25">
      <c r="N3126" s="362"/>
      <c r="R3126" s="210"/>
      <c r="S3126" s="232"/>
      <c r="T3126" s="270"/>
    </row>
    <row r="3127" spans="14:20" x14ac:dyDescent="0.25">
      <c r="N3127" s="362"/>
      <c r="R3127" s="210"/>
      <c r="S3127" s="232"/>
      <c r="T3127" s="270"/>
    </row>
    <row r="3128" spans="14:20" x14ac:dyDescent="0.25">
      <c r="N3128" s="362"/>
      <c r="R3128" s="210"/>
      <c r="S3128" s="232"/>
      <c r="T3128" s="270"/>
    </row>
    <row r="3129" spans="14:20" x14ac:dyDescent="0.25">
      <c r="N3129" s="362"/>
      <c r="R3129" s="210"/>
      <c r="S3129" s="232"/>
      <c r="T3129" s="270"/>
    </row>
    <row r="3130" spans="14:20" x14ac:dyDescent="0.25">
      <c r="N3130" s="362"/>
      <c r="R3130" s="210"/>
      <c r="S3130" s="232"/>
      <c r="T3130" s="270"/>
    </row>
    <row r="3131" spans="14:20" x14ac:dyDescent="0.25">
      <c r="N3131" s="362"/>
      <c r="R3131" s="210"/>
      <c r="S3131" s="232"/>
      <c r="T3131" s="270"/>
    </row>
    <row r="3132" spans="14:20" x14ac:dyDescent="0.25">
      <c r="N3132" s="362"/>
      <c r="R3132" s="210"/>
      <c r="S3132" s="232"/>
      <c r="T3132" s="270"/>
    </row>
    <row r="3133" spans="14:20" x14ac:dyDescent="0.25">
      <c r="N3133" s="362"/>
      <c r="R3133" s="210"/>
      <c r="S3133" s="232"/>
      <c r="T3133" s="270"/>
    </row>
    <row r="3134" spans="14:20" x14ac:dyDescent="0.25">
      <c r="N3134" s="362"/>
      <c r="R3134" s="210"/>
      <c r="S3134" s="232"/>
      <c r="T3134" s="270"/>
    </row>
    <row r="3135" spans="14:20" x14ac:dyDescent="0.25">
      <c r="N3135" s="362"/>
      <c r="R3135" s="210"/>
      <c r="S3135" s="232"/>
      <c r="T3135" s="270"/>
    </row>
    <row r="3136" spans="14:20" x14ac:dyDescent="0.25">
      <c r="N3136" s="362"/>
      <c r="R3136" s="210"/>
      <c r="S3136" s="232"/>
      <c r="T3136" s="270"/>
    </row>
    <row r="3137" spans="14:20" x14ac:dyDescent="0.25">
      <c r="N3137" s="362"/>
      <c r="R3137" s="210"/>
      <c r="S3137" s="232"/>
      <c r="T3137" s="270"/>
    </row>
    <row r="3138" spans="14:20" x14ac:dyDescent="0.25">
      <c r="N3138" s="362"/>
      <c r="R3138" s="210"/>
      <c r="S3138" s="232"/>
      <c r="T3138" s="270"/>
    </row>
    <row r="3139" spans="14:20" x14ac:dyDescent="0.25">
      <c r="N3139" s="362"/>
      <c r="R3139" s="210"/>
      <c r="S3139" s="232"/>
      <c r="T3139" s="270"/>
    </row>
    <row r="3140" spans="14:20" x14ac:dyDescent="0.25">
      <c r="N3140" s="362"/>
      <c r="R3140" s="210"/>
      <c r="S3140" s="232"/>
      <c r="T3140" s="270"/>
    </row>
    <row r="3141" spans="14:20" x14ac:dyDescent="0.25">
      <c r="N3141" s="362"/>
      <c r="R3141" s="210"/>
      <c r="S3141" s="232"/>
      <c r="T3141" s="270"/>
    </row>
    <row r="3142" spans="14:20" x14ac:dyDescent="0.25">
      <c r="N3142" s="362"/>
      <c r="R3142" s="210"/>
      <c r="S3142" s="232"/>
      <c r="T3142" s="270"/>
    </row>
    <row r="3143" spans="14:20" x14ac:dyDescent="0.25">
      <c r="N3143" s="362"/>
      <c r="R3143" s="210"/>
      <c r="S3143" s="232"/>
      <c r="T3143" s="270"/>
    </row>
    <row r="3144" spans="14:20" x14ac:dyDescent="0.25">
      <c r="N3144" s="362"/>
      <c r="R3144" s="210"/>
      <c r="S3144" s="232"/>
      <c r="T3144" s="270"/>
    </row>
    <row r="3145" spans="14:20" x14ac:dyDescent="0.25">
      <c r="N3145" s="362"/>
      <c r="R3145" s="210"/>
      <c r="S3145" s="232"/>
      <c r="T3145" s="270"/>
    </row>
    <row r="3146" spans="14:20" x14ac:dyDescent="0.25">
      <c r="N3146" s="362"/>
      <c r="R3146" s="210"/>
      <c r="S3146" s="232"/>
      <c r="T3146" s="270"/>
    </row>
    <row r="3147" spans="14:20" x14ac:dyDescent="0.25">
      <c r="N3147" s="362"/>
      <c r="R3147" s="210"/>
      <c r="S3147" s="232"/>
      <c r="T3147" s="270"/>
    </row>
    <row r="3148" spans="14:20" x14ac:dyDescent="0.25">
      <c r="N3148" s="362"/>
      <c r="R3148" s="210"/>
      <c r="S3148" s="232"/>
      <c r="T3148" s="270"/>
    </row>
    <row r="3149" spans="14:20" x14ac:dyDescent="0.25">
      <c r="N3149" s="362"/>
      <c r="R3149" s="210"/>
      <c r="S3149" s="232"/>
      <c r="T3149" s="270"/>
    </row>
    <row r="3150" spans="14:20" x14ac:dyDescent="0.25">
      <c r="N3150" s="362"/>
      <c r="R3150" s="210"/>
      <c r="S3150" s="232"/>
      <c r="T3150" s="270"/>
    </row>
    <row r="3151" spans="14:20" x14ac:dyDescent="0.25">
      <c r="N3151" s="362"/>
      <c r="R3151" s="210"/>
      <c r="S3151" s="232"/>
      <c r="T3151" s="270"/>
    </row>
    <row r="3152" spans="14:20" x14ac:dyDescent="0.25">
      <c r="N3152" s="362"/>
      <c r="R3152" s="210"/>
      <c r="S3152" s="232"/>
      <c r="T3152" s="270"/>
    </row>
    <row r="3153" spans="14:20" x14ac:dyDescent="0.25">
      <c r="N3153" s="362"/>
      <c r="R3153" s="210"/>
      <c r="S3153" s="232"/>
      <c r="T3153" s="270"/>
    </row>
    <row r="3154" spans="14:20" x14ac:dyDescent="0.25">
      <c r="N3154" s="362"/>
      <c r="R3154" s="210"/>
      <c r="S3154" s="232"/>
      <c r="T3154" s="270"/>
    </row>
    <row r="3155" spans="14:20" x14ac:dyDescent="0.25">
      <c r="N3155" s="362"/>
      <c r="R3155" s="210"/>
      <c r="S3155" s="232"/>
      <c r="T3155" s="270"/>
    </row>
    <row r="3156" spans="14:20" x14ac:dyDescent="0.25">
      <c r="N3156" s="362"/>
      <c r="R3156" s="210"/>
      <c r="S3156" s="232"/>
      <c r="T3156" s="270"/>
    </row>
    <row r="3157" spans="14:20" x14ac:dyDescent="0.25">
      <c r="N3157" s="362"/>
      <c r="R3157" s="210"/>
      <c r="S3157" s="232"/>
      <c r="T3157" s="270"/>
    </row>
    <row r="3158" spans="14:20" x14ac:dyDescent="0.25">
      <c r="N3158" s="362"/>
      <c r="R3158" s="210"/>
      <c r="S3158" s="232"/>
      <c r="T3158" s="270"/>
    </row>
    <row r="3159" spans="14:20" x14ac:dyDescent="0.25">
      <c r="N3159" s="362"/>
      <c r="R3159" s="210"/>
      <c r="S3159" s="232"/>
      <c r="T3159" s="270"/>
    </row>
    <row r="3160" spans="14:20" x14ac:dyDescent="0.25">
      <c r="N3160" s="362"/>
      <c r="R3160" s="210"/>
      <c r="S3160" s="232"/>
      <c r="T3160" s="270"/>
    </row>
    <row r="3161" spans="14:20" x14ac:dyDescent="0.25">
      <c r="N3161" s="362"/>
      <c r="R3161" s="210"/>
      <c r="S3161" s="232"/>
      <c r="T3161" s="270"/>
    </row>
    <row r="3162" spans="14:20" x14ac:dyDescent="0.25">
      <c r="N3162" s="362"/>
      <c r="R3162" s="210"/>
      <c r="S3162" s="232"/>
      <c r="T3162" s="270"/>
    </row>
    <row r="3163" spans="14:20" x14ac:dyDescent="0.25">
      <c r="N3163" s="362"/>
      <c r="R3163" s="210"/>
      <c r="S3163" s="232"/>
      <c r="T3163" s="270"/>
    </row>
    <row r="3164" spans="14:20" x14ac:dyDescent="0.25">
      <c r="N3164" s="362"/>
      <c r="R3164" s="210"/>
      <c r="S3164" s="232"/>
      <c r="T3164" s="270"/>
    </row>
    <row r="3165" spans="14:20" x14ac:dyDescent="0.25">
      <c r="N3165" s="362"/>
      <c r="R3165" s="210"/>
      <c r="S3165" s="232"/>
      <c r="T3165" s="270"/>
    </row>
    <row r="3166" spans="14:20" x14ac:dyDescent="0.25">
      <c r="N3166" s="362"/>
      <c r="R3166" s="210"/>
      <c r="S3166" s="232"/>
      <c r="T3166" s="270"/>
    </row>
    <row r="3167" spans="14:20" x14ac:dyDescent="0.25">
      <c r="N3167" s="362"/>
      <c r="R3167" s="210"/>
      <c r="S3167" s="232"/>
      <c r="T3167" s="270"/>
    </row>
    <row r="3168" spans="14:20" x14ac:dyDescent="0.25">
      <c r="N3168" s="362"/>
      <c r="R3168" s="210"/>
      <c r="S3168" s="232"/>
      <c r="T3168" s="270"/>
    </row>
    <row r="3169" spans="14:20" x14ac:dyDescent="0.25">
      <c r="N3169" s="362"/>
      <c r="R3169" s="210"/>
      <c r="S3169" s="232"/>
      <c r="T3169" s="270"/>
    </row>
    <row r="3170" spans="14:20" x14ac:dyDescent="0.25">
      <c r="N3170" s="362"/>
      <c r="R3170" s="210"/>
      <c r="S3170" s="232"/>
      <c r="T3170" s="270"/>
    </row>
    <row r="3171" spans="14:20" x14ac:dyDescent="0.25">
      <c r="N3171" s="362"/>
      <c r="R3171" s="210"/>
      <c r="S3171" s="232"/>
      <c r="T3171" s="270"/>
    </row>
    <row r="3172" spans="14:20" x14ac:dyDescent="0.25">
      <c r="N3172" s="362"/>
      <c r="R3172" s="210"/>
      <c r="S3172" s="232"/>
      <c r="T3172" s="270"/>
    </row>
    <row r="3173" spans="14:20" x14ac:dyDescent="0.25">
      <c r="N3173" s="362"/>
      <c r="R3173" s="210"/>
      <c r="S3173" s="232"/>
      <c r="T3173" s="270"/>
    </row>
    <row r="3174" spans="14:20" x14ac:dyDescent="0.25">
      <c r="N3174" s="362"/>
      <c r="R3174" s="210"/>
      <c r="S3174" s="232"/>
      <c r="T3174" s="270"/>
    </row>
    <row r="3175" spans="14:20" x14ac:dyDescent="0.25">
      <c r="N3175" s="362"/>
      <c r="R3175" s="210"/>
      <c r="S3175" s="232"/>
      <c r="T3175" s="270"/>
    </row>
    <row r="3176" spans="14:20" x14ac:dyDescent="0.25">
      <c r="N3176" s="362"/>
      <c r="R3176" s="210"/>
      <c r="S3176" s="232"/>
      <c r="T3176" s="270"/>
    </row>
    <row r="3177" spans="14:20" x14ac:dyDescent="0.25">
      <c r="N3177" s="362"/>
      <c r="R3177" s="210"/>
      <c r="S3177" s="232"/>
      <c r="T3177" s="270"/>
    </row>
    <row r="3178" spans="14:20" x14ac:dyDescent="0.25">
      <c r="N3178" s="362"/>
      <c r="R3178" s="210"/>
      <c r="S3178" s="232"/>
      <c r="T3178" s="270"/>
    </row>
    <row r="3179" spans="14:20" x14ac:dyDescent="0.25">
      <c r="N3179" s="362"/>
      <c r="R3179" s="210"/>
      <c r="S3179" s="232"/>
      <c r="T3179" s="270"/>
    </row>
    <row r="3180" spans="14:20" x14ac:dyDescent="0.25">
      <c r="N3180" s="362"/>
      <c r="R3180" s="210"/>
      <c r="S3180" s="232"/>
      <c r="T3180" s="270"/>
    </row>
    <row r="3181" spans="14:20" x14ac:dyDescent="0.25">
      <c r="N3181" s="362"/>
      <c r="R3181" s="210"/>
      <c r="S3181" s="232"/>
      <c r="T3181" s="270"/>
    </row>
    <row r="3182" spans="14:20" x14ac:dyDescent="0.25">
      <c r="N3182" s="362"/>
      <c r="R3182" s="210"/>
      <c r="S3182" s="232"/>
      <c r="T3182" s="270"/>
    </row>
    <row r="3183" spans="14:20" x14ac:dyDescent="0.25">
      <c r="N3183" s="362"/>
      <c r="R3183" s="210"/>
      <c r="S3183" s="232"/>
      <c r="T3183" s="270"/>
    </row>
    <row r="3184" spans="14:20" x14ac:dyDescent="0.25">
      <c r="N3184" s="362"/>
      <c r="R3184" s="210"/>
      <c r="S3184" s="232"/>
      <c r="T3184" s="270"/>
    </row>
    <row r="3185" spans="14:20" x14ac:dyDescent="0.25">
      <c r="N3185" s="362"/>
      <c r="R3185" s="210"/>
      <c r="S3185" s="232"/>
      <c r="T3185" s="270"/>
    </row>
    <row r="3186" spans="14:20" x14ac:dyDescent="0.25">
      <c r="N3186" s="362"/>
      <c r="R3186" s="210"/>
      <c r="S3186" s="232"/>
      <c r="T3186" s="270"/>
    </row>
    <row r="3187" spans="14:20" x14ac:dyDescent="0.25">
      <c r="N3187" s="362"/>
      <c r="R3187" s="210"/>
      <c r="S3187" s="232"/>
      <c r="T3187" s="270"/>
    </row>
    <row r="3188" spans="14:20" x14ac:dyDescent="0.25">
      <c r="N3188" s="362"/>
      <c r="R3188" s="210"/>
      <c r="S3188" s="232"/>
      <c r="T3188" s="270"/>
    </row>
    <row r="3189" spans="14:20" x14ac:dyDescent="0.25">
      <c r="N3189" s="362"/>
      <c r="R3189" s="210"/>
      <c r="S3189" s="232"/>
      <c r="T3189" s="270"/>
    </row>
    <row r="3190" spans="14:20" x14ac:dyDescent="0.25">
      <c r="N3190" s="362"/>
      <c r="R3190" s="210"/>
      <c r="S3190" s="232"/>
      <c r="T3190" s="270"/>
    </row>
    <row r="3191" spans="14:20" x14ac:dyDescent="0.25">
      <c r="N3191" s="362"/>
      <c r="R3191" s="210"/>
      <c r="S3191" s="232"/>
      <c r="T3191" s="270"/>
    </row>
    <row r="3192" spans="14:20" x14ac:dyDescent="0.25">
      <c r="N3192" s="362"/>
      <c r="R3192" s="210"/>
      <c r="S3192" s="232"/>
      <c r="T3192" s="270"/>
    </row>
    <row r="3193" spans="14:20" x14ac:dyDescent="0.25">
      <c r="N3193" s="362"/>
      <c r="R3193" s="210"/>
      <c r="S3193" s="232"/>
      <c r="T3193" s="270"/>
    </row>
    <row r="3194" spans="14:20" x14ac:dyDescent="0.25">
      <c r="N3194" s="362"/>
      <c r="R3194" s="210"/>
      <c r="S3194" s="232"/>
      <c r="T3194" s="270"/>
    </row>
    <row r="3195" spans="14:20" x14ac:dyDescent="0.25">
      <c r="N3195" s="362"/>
      <c r="R3195" s="210"/>
      <c r="S3195" s="232"/>
      <c r="T3195" s="270"/>
    </row>
    <row r="3196" spans="14:20" x14ac:dyDescent="0.25">
      <c r="N3196" s="362"/>
      <c r="R3196" s="210"/>
      <c r="S3196" s="232"/>
      <c r="T3196" s="270"/>
    </row>
    <row r="3197" spans="14:20" x14ac:dyDescent="0.25">
      <c r="N3197" s="362"/>
      <c r="R3197" s="210"/>
      <c r="S3197" s="232"/>
      <c r="T3197" s="270"/>
    </row>
    <row r="3198" spans="14:20" x14ac:dyDescent="0.25">
      <c r="N3198" s="362"/>
      <c r="R3198" s="210"/>
      <c r="S3198" s="232"/>
      <c r="T3198" s="270"/>
    </row>
    <row r="3199" spans="14:20" x14ac:dyDescent="0.25">
      <c r="N3199" s="362"/>
      <c r="R3199" s="210"/>
      <c r="S3199" s="232"/>
      <c r="T3199" s="270"/>
    </row>
    <row r="3200" spans="14:20" x14ac:dyDescent="0.25">
      <c r="N3200" s="362"/>
      <c r="R3200" s="210"/>
      <c r="S3200" s="232"/>
      <c r="T3200" s="270"/>
    </row>
    <row r="3201" spans="14:20" x14ac:dyDescent="0.25">
      <c r="N3201" s="362"/>
      <c r="R3201" s="210"/>
      <c r="S3201" s="232"/>
      <c r="T3201" s="270"/>
    </row>
    <row r="3202" spans="14:20" x14ac:dyDescent="0.25">
      <c r="N3202" s="362"/>
      <c r="R3202" s="210"/>
      <c r="S3202" s="232"/>
      <c r="T3202" s="270"/>
    </row>
    <row r="3203" spans="14:20" x14ac:dyDescent="0.25">
      <c r="N3203" s="362"/>
      <c r="R3203" s="210"/>
      <c r="S3203" s="232"/>
      <c r="T3203" s="270"/>
    </row>
    <row r="3204" spans="14:20" x14ac:dyDescent="0.25">
      <c r="N3204" s="362"/>
      <c r="R3204" s="210"/>
      <c r="S3204" s="232"/>
      <c r="T3204" s="270"/>
    </row>
    <row r="3205" spans="14:20" x14ac:dyDescent="0.25">
      <c r="N3205" s="362"/>
      <c r="R3205" s="210"/>
      <c r="S3205" s="232"/>
      <c r="T3205" s="270"/>
    </row>
    <row r="3206" spans="14:20" x14ac:dyDescent="0.25">
      <c r="N3206" s="362"/>
      <c r="R3206" s="210"/>
      <c r="S3206" s="232"/>
      <c r="T3206" s="270"/>
    </row>
    <row r="3207" spans="14:20" x14ac:dyDescent="0.25">
      <c r="N3207" s="362"/>
      <c r="R3207" s="210"/>
      <c r="S3207" s="232"/>
      <c r="T3207" s="270"/>
    </row>
    <row r="3208" spans="14:20" x14ac:dyDescent="0.25">
      <c r="N3208" s="362"/>
      <c r="R3208" s="210"/>
      <c r="S3208" s="232"/>
      <c r="T3208" s="270"/>
    </row>
    <row r="3209" spans="14:20" x14ac:dyDescent="0.25">
      <c r="N3209" s="362"/>
      <c r="R3209" s="210"/>
      <c r="S3209" s="232"/>
      <c r="T3209" s="270"/>
    </row>
    <row r="3210" spans="14:20" x14ac:dyDescent="0.25">
      <c r="N3210" s="362"/>
      <c r="R3210" s="210"/>
      <c r="S3210" s="232"/>
      <c r="T3210" s="270"/>
    </row>
    <row r="3211" spans="14:20" x14ac:dyDescent="0.25">
      <c r="N3211" s="362"/>
      <c r="R3211" s="210"/>
      <c r="S3211" s="232"/>
      <c r="T3211" s="270"/>
    </row>
    <row r="3212" spans="14:20" x14ac:dyDescent="0.25">
      <c r="N3212" s="362"/>
      <c r="R3212" s="210"/>
      <c r="S3212" s="232"/>
      <c r="T3212" s="270"/>
    </row>
    <row r="3213" spans="14:20" x14ac:dyDescent="0.25">
      <c r="N3213" s="362"/>
      <c r="R3213" s="210"/>
      <c r="S3213" s="232"/>
      <c r="T3213" s="270"/>
    </row>
    <row r="3214" spans="14:20" x14ac:dyDescent="0.25">
      <c r="N3214" s="362"/>
      <c r="R3214" s="210"/>
      <c r="S3214" s="232"/>
      <c r="T3214" s="270"/>
    </row>
    <row r="3215" spans="14:20" x14ac:dyDescent="0.25">
      <c r="N3215" s="362"/>
      <c r="R3215" s="210"/>
      <c r="S3215" s="232"/>
      <c r="T3215" s="270"/>
    </row>
    <row r="3216" spans="14:20" x14ac:dyDescent="0.25">
      <c r="N3216" s="362"/>
      <c r="R3216" s="210"/>
      <c r="S3216" s="232"/>
      <c r="T3216" s="270"/>
    </row>
    <row r="3217" spans="14:20" x14ac:dyDescent="0.25">
      <c r="N3217" s="362"/>
      <c r="R3217" s="210"/>
      <c r="S3217" s="232"/>
      <c r="T3217" s="270"/>
    </row>
    <row r="3218" spans="14:20" x14ac:dyDescent="0.25">
      <c r="N3218" s="362"/>
      <c r="R3218" s="210"/>
      <c r="S3218" s="232"/>
      <c r="T3218" s="270"/>
    </row>
    <row r="3219" spans="14:20" x14ac:dyDescent="0.25">
      <c r="N3219" s="362"/>
      <c r="R3219" s="210"/>
      <c r="S3219" s="232"/>
      <c r="T3219" s="270"/>
    </row>
    <row r="3220" spans="14:20" x14ac:dyDescent="0.25">
      <c r="N3220" s="362"/>
      <c r="R3220" s="210"/>
      <c r="S3220" s="232"/>
      <c r="T3220" s="270"/>
    </row>
    <row r="3221" spans="14:20" x14ac:dyDescent="0.25">
      <c r="N3221" s="362"/>
      <c r="R3221" s="210"/>
      <c r="S3221" s="232"/>
      <c r="T3221" s="270"/>
    </row>
    <row r="3222" spans="14:20" x14ac:dyDescent="0.25">
      <c r="N3222" s="362"/>
      <c r="R3222" s="210"/>
      <c r="S3222" s="232"/>
      <c r="T3222" s="270"/>
    </row>
    <row r="3223" spans="14:20" x14ac:dyDescent="0.25">
      <c r="N3223" s="362"/>
      <c r="R3223" s="210"/>
      <c r="S3223" s="232"/>
      <c r="T3223" s="270"/>
    </row>
    <row r="3224" spans="14:20" x14ac:dyDescent="0.25">
      <c r="N3224" s="362"/>
      <c r="R3224" s="210"/>
      <c r="S3224" s="232"/>
      <c r="T3224" s="270"/>
    </row>
    <row r="3225" spans="14:20" x14ac:dyDescent="0.25">
      <c r="N3225" s="362"/>
      <c r="R3225" s="210"/>
      <c r="S3225" s="232"/>
      <c r="T3225" s="270"/>
    </row>
    <row r="3226" spans="14:20" x14ac:dyDescent="0.25">
      <c r="N3226" s="362"/>
      <c r="R3226" s="210"/>
      <c r="S3226" s="232"/>
      <c r="T3226" s="270"/>
    </row>
    <row r="3227" spans="14:20" x14ac:dyDescent="0.25">
      <c r="N3227" s="362"/>
      <c r="R3227" s="210"/>
      <c r="S3227" s="232"/>
      <c r="T3227" s="270"/>
    </row>
    <row r="3228" spans="14:20" x14ac:dyDescent="0.25">
      <c r="N3228" s="362"/>
      <c r="R3228" s="210"/>
      <c r="S3228" s="232"/>
      <c r="T3228" s="270"/>
    </row>
    <row r="3229" spans="14:20" x14ac:dyDescent="0.25">
      <c r="N3229" s="362"/>
      <c r="R3229" s="210"/>
      <c r="S3229" s="232"/>
      <c r="T3229" s="270"/>
    </row>
    <row r="3230" spans="14:20" x14ac:dyDescent="0.25">
      <c r="N3230" s="362"/>
      <c r="R3230" s="210"/>
      <c r="S3230" s="232"/>
      <c r="T3230" s="270"/>
    </row>
    <row r="3231" spans="14:20" x14ac:dyDescent="0.25">
      <c r="N3231" s="362"/>
      <c r="R3231" s="210"/>
      <c r="S3231" s="232"/>
      <c r="T3231" s="270"/>
    </row>
    <row r="3232" spans="14:20" x14ac:dyDescent="0.25">
      <c r="N3232" s="362"/>
      <c r="R3232" s="210"/>
      <c r="S3232" s="232"/>
      <c r="T3232" s="270"/>
    </row>
    <row r="3233" spans="14:20" x14ac:dyDescent="0.25">
      <c r="N3233" s="362"/>
      <c r="R3233" s="210"/>
      <c r="S3233" s="232"/>
      <c r="T3233" s="270"/>
    </row>
    <row r="3234" spans="14:20" x14ac:dyDescent="0.25">
      <c r="N3234" s="362"/>
      <c r="R3234" s="210"/>
      <c r="S3234" s="232"/>
      <c r="T3234" s="270"/>
    </row>
    <row r="3235" spans="14:20" x14ac:dyDescent="0.25">
      <c r="N3235" s="362"/>
      <c r="R3235" s="210"/>
      <c r="S3235" s="232"/>
      <c r="T3235" s="270"/>
    </row>
    <row r="3236" spans="14:20" x14ac:dyDescent="0.25">
      <c r="N3236" s="362"/>
      <c r="R3236" s="210"/>
      <c r="S3236" s="232"/>
      <c r="T3236" s="270"/>
    </row>
    <row r="3237" spans="14:20" x14ac:dyDescent="0.25">
      <c r="N3237" s="362"/>
      <c r="R3237" s="210"/>
      <c r="S3237" s="232"/>
      <c r="T3237" s="270"/>
    </row>
    <row r="3238" spans="14:20" x14ac:dyDescent="0.25">
      <c r="N3238" s="362"/>
      <c r="R3238" s="210"/>
      <c r="S3238" s="232"/>
      <c r="T3238" s="270"/>
    </row>
    <row r="3239" spans="14:20" x14ac:dyDescent="0.25">
      <c r="N3239" s="362"/>
      <c r="R3239" s="210"/>
      <c r="S3239" s="232"/>
      <c r="T3239" s="270"/>
    </row>
    <row r="3240" spans="14:20" x14ac:dyDescent="0.25">
      <c r="N3240" s="362"/>
      <c r="R3240" s="210"/>
      <c r="S3240" s="232"/>
      <c r="T3240" s="270"/>
    </row>
    <row r="3241" spans="14:20" x14ac:dyDescent="0.25">
      <c r="N3241" s="362"/>
      <c r="R3241" s="210"/>
      <c r="S3241" s="232"/>
      <c r="T3241" s="270"/>
    </row>
    <row r="3242" spans="14:20" x14ac:dyDescent="0.25">
      <c r="N3242" s="362"/>
      <c r="R3242" s="210"/>
      <c r="S3242" s="232"/>
      <c r="T3242" s="270"/>
    </row>
    <row r="3243" spans="14:20" x14ac:dyDescent="0.25">
      <c r="N3243" s="362"/>
      <c r="R3243" s="210"/>
      <c r="S3243" s="232"/>
      <c r="T3243" s="270"/>
    </row>
    <row r="3244" spans="14:20" x14ac:dyDescent="0.25">
      <c r="N3244" s="362"/>
      <c r="R3244" s="210"/>
      <c r="S3244" s="232"/>
      <c r="T3244" s="270"/>
    </row>
    <row r="3245" spans="14:20" x14ac:dyDescent="0.25">
      <c r="N3245" s="362"/>
      <c r="R3245" s="210"/>
      <c r="S3245" s="232"/>
      <c r="T3245" s="270"/>
    </row>
    <row r="3246" spans="14:20" x14ac:dyDescent="0.25">
      <c r="N3246" s="362"/>
      <c r="R3246" s="210"/>
      <c r="S3246" s="232"/>
      <c r="T3246" s="270"/>
    </row>
    <row r="3247" spans="14:20" x14ac:dyDescent="0.25">
      <c r="N3247" s="362"/>
      <c r="R3247" s="210"/>
      <c r="S3247" s="232"/>
      <c r="T3247" s="270"/>
    </row>
    <row r="3248" spans="14:20" x14ac:dyDescent="0.25">
      <c r="N3248" s="362"/>
      <c r="R3248" s="210"/>
      <c r="S3248" s="232"/>
      <c r="T3248" s="270"/>
    </row>
    <row r="3249" spans="14:20" x14ac:dyDescent="0.25">
      <c r="N3249" s="362"/>
      <c r="R3249" s="210"/>
      <c r="S3249" s="232"/>
      <c r="T3249" s="270"/>
    </row>
    <row r="3250" spans="14:20" x14ac:dyDescent="0.25">
      <c r="N3250" s="362"/>
      <c r="R3250" s="210"/>
      <c r="S3250" s="232"/>
      <c r="T3250" s="270"/>
    </row>
    <row r="3251" spans="14:20" x14ac:dyDescent="0.25">
      <c r="N3251" s="362"/>
      <c r="R3251" s="210"/>
      <c r="S3251" s="232"/>
      <c r="T3251" s="270"/>
    </row>
    <row r="3252" spans="14:20" x14ac:dyDescent="0.25">
      <c r="N3252" s="362"/>
      <c r="R3252" s="210"/>
      <c r="S3252" s="232"/>
      <c r="T3252" s="270"/>
    </row>
    <row r="3253" spans="14:20" x14ac:dyDescent="0.25">
      <c r="N3253" s="362"/>
      <c r="R3253" s="210"/>
      <c r="S3253" s="232"/>
      <c r="T3253" s="270"/>
    </row>
    <row r="3254" spans="14:20" x14ac:dyDescent="0.25">
      <c r="N3254" s="362"/>
      <c r="R3254" s="210"/>
      <c r="S3254" s="232"/>
      <c r="T3254" s="270"/>
    </row>
    <row r="3255" spans="14:20" x14ac:dyDescent="0.25">
      <c r="N3255" s="362"/>
      <c r="R3255" s="210"/>
      <c r="S3255" s="232"/>
      <c r="T3255" s="270"/>
    </row>
    <row r="3256" spans="14:20" x14ac:dyDescent="0.25">
      <c r="N3256" s="362"/>
      <c r="R3256" s="210"/>
      <c r="S3256" s="232"/>
      <c r="T3256" s="270"/>
    </row>
    <row r="3257" spans="14:20" x14ac:dyDescent="0.25">
      <c r="N3257" s="362"/>
      <c r="R3257" s="210"/>
      <c r="S3257" s="232"/>
      <c r="T3257" s="270"/>
    </row>
    <row r="3258" spans="14:20" x14ac:dyDescent="0.25">
      <c r="N3258" s="362"/>
      <c r="R3258" s="210"/>
      <c r="S3258" s="232"/>
      <c r="T3258" s="270"/>
    </row>
    <row r="3259" spans="14:20" x14ac:dyDescent="0.25">
      <c r="N3259" s="362"/>
      <c r="R3259" s="210"/>
      <c r="S3259" s="232"/>
      <c r="T3259" s="270"/>
    </row>
    <row r="3260" spans="14:20" x14ac:dyDescent="0.25">
      <c r="N3260" s="362"/>
      <c r="R3260" s="210"/>
      <c r="S3260" s="232"/>
      <c r="T3260" s="270"/>
    </row>
    <row r="3261" spans="14:20" x14ac:dyDescent="0.25">
      <c r="N3261" s="362"/>
      <c r="R3261" s="210"/>
      <c r="S3261" s="232"/>
      <c r="T3261" s="270"/>
    </row>
    <row r="3262" spans="14:20" x14ac:dyDescent="0.25">
      <c r="N3262" s="362"/>
      <c r="R3262" s="210"/>
      <c r="S3262" s="232"/>
      <c r="T3262" s="270"/>
    </row>
    <row r="3263" spans="14:20" x14ac:dyDescent="0.25">
      <c r="N3263" s="362"/>
      <c r="R3263" s="210"/>
      <c r="S3263" s="232"/>
      <c r="T3263" s="270"/>
    </row>
    <row r="3264" spans="14:20" x14ac:dyDescent="0.25">
      <c r="N3264" s="362"/>
      <c r="R3264" s="210"/>
      <c r="S3264" s="232"/>
      <c r="T3264" s="270"/>
    </row>
    <row r="3265" spans="14:20" x14ac:dyDescent="0.25">
      <c r="N3265" s="362"/>
      <c r="R3265" s="210"/>
      <c r="S3265" s="232"/>
      <c r="T3265" s="270"/>
    </row>
    <row r="3266" spans="14:20" x14ac:dyDescent="0.25">
      <c r="N3266" s="362"/>
      <c r="R3266" s="210"/>
      <c r="S3266" s="232"/>
      <c r="T3266" s="270"/>
    </row>
    <row r="3267" spans="14:20" x14ac:dyDescent="0.25">
      <c r="N3267" s="362"/>
      <c r="R3267" s="210"/>
      <c r="S3267" s="232"/>
      <c r="T3267" s="270"/>
    </row>
    <row r="3268" spans="14:20" x14ac:dyDescent="0.25">
      <c r="N3268" s="362"/>
      <c r="R3268" s="210"/>
      <c r="S3268" s="232"/>
      <c r="T3268" s="270"/>
    </row>
    <row r="3269" spans="14:20" x14ac:dyDescent="0.25">
      <c r="N3269" s="362"/>
      <c r="R3269" s="210"/>
      <c r="S3269" s="232"/>
      <c r="T3269" s="270"/>
    </row>
    <row r="3270" spans="14:20" x14ac:dyDescent="0.25">
      <c r="N3270" s="362"/>
      <c r="R3270" s="210"/>
      <c r="S3270" s="232"/>
      <c r="T3270" s="270"/>
    </row>
    <row r="3271" spans="14:20" x14ac:dyDescent="0.25">
      <c r="N3271" s="362"/>
      <c r="R3271" s="210"/>
      <c r="S3271" s="232"/>
      <c r="T3271" s="270"/>
    </row>
    <row r="3272" spans="14:20" x14ac:dyDescent="0.25">
      <c r="N3272" s="362"/>
      <c r="R3272" s="210"/>
      <c r="S3272" s="232"/>
      <c r="T3272" s="270"/>
    </row>
    <row r="3273" spans="14:20" x14ac:dyDescent="0.25">
      <c r="N3273" s="362"/>
      <c r="R3273" s="210"/>
      <c r="S3273" s="232"/>
      <c r="T3273" s="270"/>
    </row>
    <row r="3274" spans="14:20" x14ac:dyDescent="0.25">
      <c r="N3274" s="362"/>
      <c r="R3274" s="210"/>
      <c r="S3274" s="232"/>
      <c r="T3274" s="270"/>
    </row>
    <row r="3275" spans="14:20" x14ac:dyDescent="0.25">
      <c r="N3275" s="362"/>
      <c r="R3275" s="210"/>
      <c r="S3275" s="232"/>
      <c r="T3275" s="270"/>
    </row>
    <row r="3276" spans="14:20" x14ac:dyDescent="0.25">
      <c r="N3276" s="362"/>
      <c r="R3276" s="210"/>
      <c r="S3276" s="232"/>
      <c r="T3276" s="270"/>
    </row>
    <row r="3277" spans="14:20" x14ac:dyDescent="0.25">
      <c r="N3277" s="362"/>
      <c r="R3277" s="210"/>
      <c r="S3277" s="232"/>
      <c r="T3277" s="270"/>
    </row>
    <row r="3278" spans="14:20" x14ac:dyDescent="0.25">
      <c r="N3278" s="362"/>
      <c r="R3278" s="210"/>
      <c r="S3278" s="232"/>
      <c r="T3278" s="270"/>
    </row>
    <row r="3279" spans="14:20" x14ac:dyDescent="0.25">
      <c r="N3279" s="362"/>
      <c r="R3279" s="210"/>
      <c r="S3279" s="232"/>
      <c r="T3279" s="270"/>
    </row>
    <row r="3280" spans="14:20" x14ac:dyDescent="0.25">
      <c r="N3280" s="362"/>
      <c r="R3280" s="210"/>
      <c r="S3280" s="232"/>
      <c r="T3280" s="270"/>
    </row>
    <row r="3281" spans="14:20" x14ac:dyDescent="0.25">
      <c r="N3281" s="362"/>
      <c r="R3281" s="210"/>
      <c r="S3281" s="232"/>
      <c r="T3281" s="270"/>
    </row>
    <row r="3282" spans="14:20" x14ac:dyDescent="0.25">
      <c r="N3282" s="362"/>
      <c r="R3282" s="210"/>
      <c r="S3282" s="232"/>
      <c r="T3282" s="270"/>
    </row>
    <row r="3283" spans="14:20" x14ac:dyDescent="0.25">
      <c r="N3283" s="362"/>
      <c r="R3283" s="210"/>
      <c r="S3283" s="232"/>
      <c r="T3283" s="270"/>
    </row>
    <row r="3284" spans="14:20" x14ac:dyDescent="0.25">
      <c r="N3284" s="362"/>
      <c r="R3284" s="210"/>
      <c r="S3284" s="232"/>
      <c r="T3284" s="270"/>
    </row>
    <row r="3285" spans="14:20" x14ac:dyDescent="0.25">
      <c r="N3285" s="362"/>
      <c r="R3285" s="210"/>
      <c r="S3285" s="232"/>
      <c r="T3285" s="270"/>
    </row>
    <row r="3286" spans="14:20" x14ac:dyDescent="0.25">
      <c r="N3286" s="362"/>
      <c r="R3286" s="210"/>
      <c r="S3286" s="232"/>
      <c r="T3286" s="270"/>
    </row>
    <row r="3287" spans="14:20" x14ac:dyDescent="0.25">
      <c r="N3287" s="362"/>
      <c r="R3287" s="210"/>
      <c r="S3287" s="232"/>
      <c r="T3287" s="270"/>
    </row>
    <row r="3288" spans="14:20" x14ac:dyDescent="0.25">
      <c r="N3288" s="362"/>
      <c r="R3288" s="210"/>
      <c r="S3288" s="232"/>
      <c r="T3288" s="270"/>
    </row>
    <row r="3289" spans="14:20" x14ac:dyDescent="0.25">
      <c r="N3289" s="362"/>
      <c r="R3289" s="210"/>
      <c r="S3289" s="232"/>
      <c r="T3289" s="270"/>
    </row>
    <row r="3290" spans="14:20" x14ac:dyDescent="0.25">
      <c r="N3290" s="362"/>
      <c r="R3290" s="210"/>
      <c r="S3290" s="232"/>
      <c r="T3290" s="270"/>
    </row>
    <row r="3291" spans="14:20" x14ac:dyDescent="0.25">
      <c r="N3291" s="362"/>
      <c r="R3291" s="210"/>
      <c r="S3291" s="232"/>
      <c r="T3291" s="270"/>
    </row>
    <row r="3292" spans="14:20" x14ac:dyDescent="0.25">
      <c r="N3292" s="362"/>
      <c r="R3292" s="210"/>
      <c r="S3292" s="232"/>
      <c r="T3292" s="270"/>
    </row>
    <row r="3293" spans="14:20" x14ac:dyDescent="0.25">
      <c r="N3293" s="362"/>
      <c r="R3293" s="210"/>
      <c r="S3293" s="232"/>
      <c r="T3293" s="270"/>
    </row>
    <row r="3294" spans="14:20" x14ac:dyDescent="0.25">
      <c r="N3294" s="362"/>
      <c r="R3294" s="210"/>
      <c r="S3294" s="232"/>
      <c r="T3294" s="270"/>
    </row>
    <row r="3295" spans="14:20" x14ac:dyDescent="0.25">
      <c r="N3295" s="362"/>
      <c r="R3295" s="210"/>
      <c r="S3295" s="232"/>
      <c r="T3295" s="270"/>
    </row>
    <row r="3296" spans="14:20" x14ac:dyDescent="0.25">
      <c r="N3296" s="362"/>
      <c r="R3296" s="210"/>
      <c r="S3296" s="232"/>
      <c r="T3296" s="270"/>
    </row>
    <row r="3297" spans="14:20" x14ac:dyDescent="0.25">
      <c r="N3297" s="362"/>
      <c r="R3297" s="210"/>
      <c r="S3297" s="232"/>
      <c r="T3297" s="270"/>
    </row>
    <row r="3298" spans="14:20" x14ac:dyDescent="0.25">
      <c r="N3298" s="362"/>
      <c r="R3298" s="210"/>
      <c r="S3298" s="232"/>
      <c r="T3298" s="270"/>
    </row>
    <row r="3299" spans="14:20" x14ac:dyDescent="0.25">
      <c r="N3299" s="362"/>
      <c r="R3299" s="210"/>
      <c r="S3299" s="232"/>
      <c r="T3299" s="270"/>
    </row>
    <row r="3300" spans="14:20" x14ac:dyDescent="0.25">
      <c r="N3300" s="362"/>
      <c r="R3300" s="210"/>
      <c r="S3300" s="232"/>
      <c r="T3300" s="270"/>
    </row>
    <row r="3301" spans="14:20" x14ac:dyDescent="0.25">
      <c r="N3301" s="362"/>
      <c r="R3301" s="210"/>
      <c r="S3301" s="232"/>
      <c r="T3301" s="270"/>
    </row>
    <row r="3302" spans="14:20" x14ac:dyDescent="0.25">
      <c r="N3302" s="362"/>
      <c r="R3302" s="210"/>
      <c r="S3302" s="232"/>
      <c r="T3302" s="270"/>
    </row>
    <row r="3303" spans="14:20" x14ac:dyDescent="0.25">
      <c r="N3303" s="362"/>
      <c r="R3303" s="210"/>
      <c r="S3303" s="232"/>
      <c r="T3303" s="270"/>
    </row>
    <row r="3304" spans="14:20" x14ac:dyDescent="0.25">
      <c r="N3304" s="362"/>
      <c r="R3304" s="210"/>
      <c r="S3304" s="232"/>
      <c r="T3304" s="270"/>
    </row>
    <row r="3305" spans="14:20" x14ac:dyDescent="0.25">
      <c r="N3305" s="362"/>
      <c r="R3305" s="210"/>
      <c r="S3305" s="232"/>
      <c r="T3305" s="270"/>
    </row>
    <row r="3306" spans="14:20" x14ac:dyDescent="0.25">
      <c r="N3306" s="362"/>
      <c r="R3306" s="210"/>
      <c r="S3306" s="232"/>
      <c r="T3306" s="270"/>
    </row>
    <row r="3307" spans="14:20" x14ac:dyDescent="0.25">
      <c r="N3307" s="362"/>
      <c r="R3307" s="210"/>
      <c r="S3307" s="232"/>
      <c r="T3307" s="270"/>
    </row>
    <row r="3308" spans="14:20" x14ac:dyDescent="0.25">
      <c r="N3308" s="362"/>
      <c r="R3308" s="210"/>
      <c r="S3308" s="232"/>
      <c r="T3308" s="270"/>
    </row>
    <row r="3309" spans="14:20" x14ac:dyDescent="0.25">
      <c r="N3309" s="362"/>
      <c r="R3309" s="210"/>
      <c r="S3309" s="232"/>
      <c r="T3309" s="270"/>
    </row>
    <row r="3310" spans="14:20" x14ac:dyDescent="0.25">
      <c r="N3310" s="362"/>
      <c r="R3310" s="210"/>
      <c r="S3310" s="232"/>
      <c r="T3310" s="270"/>
    </row>
    <row r="3311" spans="14:20" x14ac:dyDescent="0.25">
      <c r="N3311" s="362"/>
      <c r="R3311" s="210"/>
      <c r="S3311" s="232"/>
      <c r="T3311" s="270"/>
    </row>
    <row r="3312" spans="14:20" x14ac:dyDescent="0.25">
      <c r="N3312" s="362"/>
      <c r="R3312" s="210"/>
      <c r="S3312" s="232"/>
      <c r="T3312" s="270"/>
    </row>
    <row r="3313" spans="14:20" x14ac:dyDescent="0.25">
      <c r="N3313" s="362"/>
      <c r="R3313" s="210"/>
      <c r="S3313" s="232"/>
      <c r="T3313" s="270"/>
    </row>
    <row r="3314" spans="14:20" x14ac:dyDescent="0.25">
      <c r="N3314" s="362"/>
      <c r="R3314" s="210"/>
      <c r="S3314" s="232"/>
      <c r="T3314" s="270"/>
    </row>
    <row r="3315" spans="14:20" x14ac:dyDescent="0.25">
      <c r="N3315" s="362"/>
      <c r="R3315" s="210"/>
      <c r="S3315" s="232"/>
      <c r="T3315" s="270"/>
    </row>
    <row r="3316" spans="14:20" x14ac:dyDescent="0.25">
      <c r="N3316" s="362"/>
      <c r="R3316" s="210"/>
      <c r="S3316" s="232"/>
      <c r="T3316" s="270"/>
    </row>
    <row r="3317" spans="14:20" x14ac:dyDescent="0.25">
      <c r="N3317" s="362"/>
      <c r="R3317" s="210"/>
      <c r="S3317" s="232"/>
      <c r="T3317" s="270"/>
    </row>
    <row r="3318" spans="14:20" x14ac:dyDescent="0.25">
      <c r="N3318" s="362"/>
      <c r="R3318" s="210"/>
      <c r="S3318" s="232"/>
      <c r="T3318" s="270"/>
    </row>
    <row r="3319" spans="14:20" x14ac:dyDescent="0.25">
      <c r="N3319" s="362"/>
      <c r="R3319" s="210"/>
      <c r="S3319" s="232"/>
      <c r="T3319" s="270"/>
    </row>
    <row r="3320" spans="14:20" x14ac:dyDescent="0.25">
      <c r="N3320" s="362"/>
      <c r="R3320" s="210"/>
      <c r="S3320" s="232"/>
      <c r="T3320" s="270"/>
    </row>
    <row r="3321" spans="14:20" x14ac:dyDescent="0.25">
      <c r="N3321" s="362"/>
      <c r="R3321" s="210"/>
      <c r="S3321" s="232"/>
      <c r="T3321" s="270"/>
    </row>
    <row r="3322" spans="14:20" x14ac:dyDescent="0.25">
      <c r="N3322" s="362"/>
      <c r="R3322" s="210"/>
      <c r="S3322" s="232"/>
      <c r="T3322" s="270"/>
    </row>
    <row r="3323" spans="14:20" x14ac:dyDescent="0.25">
      <c r="N3323" s="362"/>
      <c r="R3323" s="210"/>
      <c r="S3323" s="232"/>
      <c r="T3323" s="270"/>
    </row>
    <row r="3324" spans="14:20" x14ac:dyDescent="0.25">
      <c r="N3324" s="362"/>
      <c r="R3324" s="210"/>
      <c r="S3324" s="232"/>
      <c r="T3324" s="270"/>
    </row>
    <row r="3325" spans="14:20" x14ac:dyDescent="0.25">
      <c r="N3325" s="362"/>
      <c r="R3325" s="210"/>
      <c r="S3325" s="232"/>
      <c r="T3325" s="270"/>
    </row>
    <row r="3326" spans="14:20" x14ac:dyDescent="0.25">
      <c r="N3326" s="362"/>
      <c r="R3326" s="210"/>
      <c r="S3326" s="232"/>
      <c r="T3326" s="270"/>
    </row>
    <row r="3327" spans="14:20" x14ac:dyDescent="0.25">
      <c r="N3327" s="362"/>
      <c r="R3327" s="210"/>
      <c r="S3327" s="232"/>
      <c r="T3327" s="270"/>
    </row>
    <row r="3328" spans="14:20" x14ac:dyDescent="0.25">
      <c r="N3328" s="362"/>
      <c r="R3328" s="210"/>
      <c r="S3328" s="232"/>
      <c r="T3328" s="270"/>
    </row>
    <row r="3329" spans="14:20" x14ac:dyDescent="0.25">
      <c r="N3329" s="362"/>
      <c r="R3329" s="210"/>
      <c r="S3329" s="232"/>
      <c r="T3329" s="270"/>
    </row>
    <row r="3330" spans="14:20" x14ac:dyDescent="0.25">
      <c r="N3330" s="362"/>
      <c r="R3330" s="210"/>
      <c r="S3330" s="232"/>
      <c r="T3330" s="270"/>
    </row>
    <row r="3331" spans="14:20" x14ac:dyDescent="0.25">
      <c r="N3331" s="362"/>
      <c r="R3331" s="210"/>
      <c r="S3331" s="232"/>
      <c r="T3331" s="270"/>
    </row>
    <row r="3332" spans="14:20" x14ac:dyDescent="0.25">
      <c r="N3332" s="362"/>
      <c r="R3332" s="210"/>
      <c r="S3332" s="232"/>
      <c r="T3332" s="270"/>
    </row>
    <row r="3333" spans="14:20" x14ac:dyDescent="0.25">
      <c r="N3333" s="362"/>
      <c r="R3333" s="210"/>
      <c r="S3333" s="232"/>
      <c r="T3333" s="270"/>
    </row>
    <row r="3334" spans="14:20" x14ac:dyDescent="0.25">
      <c r="N3334" s="362"/>
      <c r="R3334" s="210"/>
      <c r="S3334" s="232"/>
      <c r="T3334" s="270"/>
    </row>
    <row r="3335" spans="14:20" x14ac:dyDescent="0.25">
      <c r="N3335" s="362"/>
      <c r="R3335" s="210"/>
      <c r="S3335" s="232"/>
      <c r="T3335" s="270"/>
    </row>
    <row r="3336" spans="14:20" x14ac:dyDescent="0.25">
      <c r="N3336" s="362"/>
      <c r="R3336" s="210"/>
      <c r="S3336" s="232"/>
      <c r="T3336" s="270"/>
    </row>
    <row r="3337" spans="14:20" x14ac:dyDescent="0.25">
      <c r="N3337" s="362"/>
      <c r="R3337" s="210"/>
      <c r="S3337" s="232"/>
      <c r="T3337" s="270"/>
    </row>
    <row r="3338" spans="14:20" x14ac:dyDescent="0.25">
      <c r="N3338" s="362"/>
      <c r="R3338" s="210"/>
      <c r="S3338" s="232"/>
      <c r="T3338" s="270"/>
    </row>
    <row r="3339" spans="14:20" x14ac:dyDescent="0.25">
      <c r="N3339" s="362"/>
      <c r="R3339" s="210"/>
      <c r="S3339" s="232"/>
      <c r="T3339" s="270"/>
    </row>
    <row r="3340" spans="14:20" x14ac:dyDescent="0.25">
      <c r="N3340" s="362"/>
      <c r="R3340" s="210"/>
      <c r="S3340" s="232"/>
      <c r="T3340" s="270"/>
    </row>
    <row r="3341" spans="14:20" x14ac:dyDescent="0.25">
      <c r="N3341" s="362"/>
      <c r="R3341" s="210"/>
      <c r="S3341" s="232"/>
      <c r="T3341" s="270"/>
    </row>
    <row r="3342" spans="14:20" x14ac:dyDescent="0.25">
      <c r="N3342" s="362"/>
      <c r="R3342" s="210"/>
      <c r="S3342" s="232"/>
      <c r="T3342" s="270"/>
    </row>
    <row r="3343" spans="14:20" x14ac:dyDescent="0.25">
      <c r="N3343" s="362"/>
      <c r="R3343" s="210"/>
      <c r="S3343" s="232"/>
      <c r="T3343" s="270"/>
    </row>
    <row r="3344" spans="14:20" x14ac:dyDescent="0.25">
      <c r="N3344" s="362"/>
      <c r="R3344" s="210"/>
      <c r="S3344" s="232"/>
      <c r="T3344" s="270"/>
    </row>
    <row r="3345" spans="14:20" x14ac:dyDescent="0.25">
      <c r="N3345" s="362"/>
      <c r="R3345" s="210"/>
      <c r="S3345" s="232"/>
      <c r="T3345" s="270"/>
    </row>
    <row r="3346" spans="14:20" x14ac:dyDescent="0.25">
      <c r="N3346" s="362"/>
      <c r="R3346" s="210"/>
      <c r="S3346" s="232"/>
      <c r="T3346" s="270"/>
    </row>
    <row r="3347" spans="14:20" x14ac:dyDescent="0.25">
      <c r="N3347" s="362"/>
      <c r="R3347" s="210"/>
      <c r="S3347" s="232"/>
      <c r="T3347" s="270"/>
    </row>
    <row r="3348" spans="14:20" x14ac:dyDescent="0.25">
      <c r="N3348" s="362"/>
      <c r="R3348" s="210"/>
      <c r="S3348" s="232"/>
      <c r="T3348" s="270"/>
    </row>
    <row r="3349" spans="14:20" x14ac:dyDescent="0.25">
      <c r="N3349" s="362"/>
      <c r="R3349" s="210"/>
      <c r="S3349" s="232"/>
      <c r="T3349" s="270"/>
    </row>
    <row r="3350" spans="14:20" x14ac:dyDescent="0.25">
      <c r="N3350" s="362"/>
      <c r="R3350" s="210"/>
      <c r="S3350" s="232"/>
      <c r="T3350" s="270"/>
    </row>
    <row r="3351" spans="14:20" x14ac:dyDescent="0.25">
      <c r="N3351" s="362"/>
      <c r="R3351" s="210"/>
      <c r="S3351" s="232"/>
      <c r="T3351" s="270"/>
    </row>
    <row r="3352" spans="14:20" x14ac:dyDescent="0.25">
      <c r="N3352" s="362"/>
      <c r="R3352" s="210"/>
      <c r="S3352" s="232"/>
      <c r="T3352" s="270"/>
    </row>
    <row r="3353" spans="14:20" x14ac:dyDescent="0.25">
      <c r="N3353" s="362"/>
      <c r="R3353" s="210"/>
      <c r="S3353" s="232"/>
      <c r="T3353" s="270"/>
    </row>
    <row r="3354" spans="14:20" x14ac:dyDescent="0.25">
      <c r="N3354" s="362"/>
      <c r="R3354" s="210"/>
      <c r="S3354" s="232"/>
      <c r="T3354" s="270"/>
    </row>
    <row r="3355" spans="14:20" x14ac:dyDescent="0.25">
      <c r="N3355" s="362"/>
      <c r="R3355" s="210"/>
      <c r="S3355" s="232"/>
      <c r="T3355" s="270"/>
    </row>
    <row r="3356" spans="14:20" x14ac:dyDescent="0.25">
      <c r="N3356" s="362"/>
      <c r="R3356" s="210"/>
      <c r="S3356" s="232"/>
      <c r="T3356" s="270"/>
    </row>
    <row r="3357" spans="14:20" x14ac:dyDescent="0.25">
      <c r="N3357" s="362"/>
      <c r="R3357" s="210"/>
      <c r="S3357" s="232"/>
      <c r="T3357" s="270"/>
    </row>
    <row r="3358" spans="14:20" x14ac:dyDescent="0.25">
      <c r="N3358" s="362"/>
      <c r="R3358" s="210"/>
      <c r="S3358" s="232"/>
      <c r="T3358" s="270"/>
    </row>
    <row r="3359" spans="14:20" x14ac:dyDescent="0.25">
      <c r="N3359" s="362"/>
      <c r="R3359" s="210"/>
      <c r="S3359" s="232"/>
      <c r="T3359" s="270"/>
    </row>
    <row r="3360" spans="14:20" x14ac:dyDescent="0.25">
      <c r="N3360" s="362"/>
      <c r="R3360" s="210"/>
      <c r="S3360" s="232"/>
      <c r="T3360" s="270"/>
    </row>
    <row r="3361" spans="14:20" x14ac:dyDescent="0.25">
      <c r="N3361" s="362"/>
      <c r="R3361" s="210"/>
      <c r="S3361" s="232"/>
      <c r="T3361" s="270"/>
    </row>
    <row r="3362" spans="14:20" x14ac:dyDescent="0.25">
      <c r="N3362" s="362"/>
      <c r="R3362" s="210"/>
      <c r="S3362" s="232"/>
      <c r="T3362" s="270"/>
    </row>
    <row r="3363" spans="14:20" x14ac:dyDescent="0.25">
      <c r="N3363" s="362"/>
      <c r="R3363" s="210"/>
      <c r="S3363" s="232"/>
      <c r="T3363" s="270"/>
    </row>
    <row r="3364" spans="14:20" x14ac:dyDescent="0.25">
      <c r="N3364" s="362"/>
      <c r="R3364" s="210"/>
      <c r="S3364" s="232"/>
      <c r="T3364" s="270"/>
    </row>
    <row r="3365" spans="14:20" x14ac:dyDescent="0.25">
      <c r="N3365" s="362"/>
      <c r="R3365" s="210"/>
      <c r="S3365" s="232"/>
      <c r="T3365" s="270"/>
    </row>
    <row r="3366" spans="14:20" x14ac:dyDescent="0.25">
      <c r="N3366" s="362"/>
      <c r="R3366" s="210"/>
      <c r="S3366" s="232"/>
      <c r="T3366" s="270"/>
    </row>
    <row r="3367" spans="14:20" x14ac:dyDescent="0.25">
      <c r="N3367" s="362"/>
      <c r="R3367" s="210"/>
      <c r="S3367" s="232"/>
      <c r="T3367" s="270"/>
    </row>
    <row r="3368" spans="14:20" x14ac:dyDescent="0.25">
      <c r="N3368" s="362"/>
      <c r="R3368" s="210"/>
      <c r="S3368" s="232"/>
      <c r="T3368" s="270"/>
    </row>
    <row r="3369" spans="14:20" x14ac:dyDescent="0.25">
      <c r="N3369" s="362"/>
      <c r="R3369" s="210"/>
      <c r="S3369" s="232"/>
      <c r="T3369" s="270"/>
    </row>
    <row r="3370" spans="14:20" x14ac:dyDescent="0.25">
      <c r="N3370" s="362"/>
      <c r="R3370" s="210"/>
      <c r="S3370" s="232"/>
      <c r="T3370" s="270"/>
    </row>
    <row r="3371" spans="14:20" x14ac:dyDescent="0.25">
      <c r="N3371" s="362"/>
      <c r="R3371" s="210"/>
      <c r="S3371" s="232"/>
      <c r="T3371" s="270"/>
    </row>
    <row r="3372" spans="14:20" x14ac:dyDescent="0.25">
      <c r="N3372" s="362"/>
      <c r="R3372" s="210"/>
      <c r="S3372" s="232"/>
      <c r="T3372" s="270"/>
    </row>
    <row r="3373" spans="14:20" x14ac:dyDescent="0.25">
      <c r="N3373" s="362"/>
      <c r="R3373" s="210"/>
      <c r="S3373" s="232"/>
      <c r="T3373" s="270"/>
    </row>
    <row r="3374" spans="14:20" x14ac:dyDescent="0.25">
      <c r="N3374" s="362"/>
      <c r="R3374" s="210"/>
      <c r="S3374" s="232"/>
      <c r="T3374" s="270"/>
    </row>
    <row r="3375" spans="14:20" x14ac:dyDescent="0.25">
      <c r="N3375" s="362"/>
      <c r="R3375" s="210"/>
      <c r="S3375" s="232"/>
      <c r="T3375" s="270"/>
    </row>
    <row r="3376" spans="14:20" x14ac:dyDescent="0.25">
      <c r="N3376" s="362"/>
      <c r="R3376" s="210"/>
      <c r="S3376" s="232"/>
      <c r="T3376" s="270"/>
    </row>
    <row r="3377" spans="14:20" x14ac:dyDescent="0.25">
      <c r="N3377" s="362"/>
      <c r="R3377" s="210"/>
      <c r="S3377" s="232"/>
      <c r="T3377" s="270"/>
    </row>
    <row r="3378" spans="14:20" x14ac:dyDescent="0.25">
      <c r="N3378" s="362"/>
      <c r="R3378" s="210"/>
      <c r="S3378" s="232"/>
      <c r="T3378" s="270"/>
    </row>
    <row r="3379" spans="14:20" x14ac:dyDescent="0.25">
      <c r="N3379" s="362"/>
      <c r="R3379" s="210"/>
      <c r="S3379" s="232"/>
      <c r="T3379" s="270"/>
    </row>
    <row r="3380" spans="14:20" x14ac:dyDescent="0.25">
      <c r="N3380" s="362"/>
      <c r="R3380" s="210"/>
      <c r="S3380" s="232"/>
      <c r="T3380" s="270"/>
    </row>
    <row r="3381" spans="14:20" x14ac:dyDescent="0.25">
      <c r="N3381" s="362"/>
      <c r="R3381" s="210"/>
      <c r="S3381" s="232"/>
      <c r="T3381" s="270"/>
    </row>
    <row r="3382" spans="14:20" x14ac:dyDescent="0.25">
      <c r="N3382" s="362"/>
      <c r="R3382" s="210"/>
      <c r="S3382" s="232"/>
      <c r="T3382" s="270"/>
    </row>
    <row r="3383" spans="14:20" x14ac:dyDescent="0.25">
      <c r="N3383" s="362"/>
      <c r="R3383" s="210"/>
      <c r="S3383" s="232"/>
      <c r="T3383" s="270"/>
    </row>
    <row r="3384" spans="14:20" x14ac:dyDescent="0.25">
      <c r="N3384" s="362"/>
      <c r="R3384" s="210"/>
      <c r="S3384" s="232"/>
      <c r="T3384" s="270"/>
    </row>
    <row r="3385" spans="14:20" x14ac:dyDescent="0.25">
      <c r="N3385" s="362"/>
      <c r="R3385" s="210"/>
      <c r="S3385" s="232"/>
      <c r="T3385" s="270"/>
    </row>
    <row r="3386" spans="14:20" x14ac:dyDescent="0.25">
      <c r="N3386" s="362"/>
      <c r="R3386" s="210"/>
      <c r="S3386" s="232"/>
      <c r="T3386" s="270"/>
    </row>
    <row r="3387" spans="14:20" x14ac:dyDescent="0.25">
      <c r="N3387" s="362"/>
      <c r="R3387" s="210"/>
      <c r="S3387" s="232"/>
      <c r="T3387" s="270"/>
    </row>
    <row r="3388" spans="14:20" x14ac:dyDescent="0.25">
      <c r="N3388" s="362"/>
      <c r="R3388" s="210"/>
      <c r="S3388" s="232"/>
      <c r="T3388" s="270"/>
    </row>
    <row r="3389" spans="14:20" x14ac:dyDescent="0.25">
      <c r="N3389" s="362"/>
      <c r="R3389" s="210"/>
      <c r="S3389" s="232"/>
      <c r="T3389" s="270"/>
    </row>
    <row r="3390" spans="14:20" x14ac:dyDescent="0.25">
      <c r="N3390" s="362"/>
      <c r="R3390" s="210"/>
      <c r="S3390" s="232"/>
      <c r="T3390" s="270"/>
    </row>
    <row r="3391" spans="14:20" x14ac:dyDescent="0.25">
      <c r="N3391" s="362"/>
      <c r="R3391" s="210"/>
      <c r="S3391" s="232"/>
      <c r="T3391" s="270"/>
    </row>
    <row r="3392" spans="14:20" x14ac:dyDescent="0.25">
      <c r="N3392" s="362"/>
      <c r="R3392" s="210"/>
      <c r="S3392" s="232"/>
      <c r="T3392" s="270"/>
    </row>
    <row r="3393" spans="14:20" x14ac:dyDescent="0.25">
      <c r="N3393" s="362"/>
      <c r="R3393" s="210"/>
      <c r="S3393" s="232"/>
      <c r="T3393" s="270"/>
    </row>
    <row r="3394" spans="14:20" x14ac:dyDescent="0.25">
      <c r="N3394" s="362"/>
      <c r="R3394" s="210"/>
      <c r="S3394" s="232"/>
      <c r="T3394" s="270"/>
    </row>
    <row r="3395" spans="14:20" x14ac:dyDescent="0.25">
      <c r="N3395" s="362"/>
      <c r="R3395" s="210"/>
      <c r="S3395" s="232"/>
      <c r="T3395" s="270"/>
    </row>
    <row r="3396" spans="14:20" x14ac:dyDescent="0.25">
      <c r="N3396" s="362"/>
      <c r="R3396" s="210"/>
      <c r="S3396" s="232"/>
      <c r="T3396" s="270"/>
    </row>
    <row r="3397" spans="14:20" x14ac:dyDescent="0.25">
      <c r="N3397" s="362"/>
      <c r="R3397" s="210"/>
      <c r="S3397" s="232"/>
      <c r="T3397" s="270"/>
    </row>
    <row r="3398" spans="14:20" x14ac:dyDescent="0.25">
      <c r="N3398" s="362"/>
      <c r="R3398" s="210"/>
      <c r="S3398" s="232"/>
      <c r="T3398" s="270"/>
    </row>
    <row r="3399" spans="14:20" x14ac:dyDescent="0.25">
      <c r="N3399" s="362"/>
      <c r="R3399" s="210"/>
      <c r="S3399" s="232"/>
      <c r="T3399" s="270"/>
    </row>
    <row r="3400" spans="14:20" x14ac:dyDescent="0.25">
      <c r="N3400" s="362"/>
      <c r="R3400" s="210"/>
      <c r="S3400" s="232"/>
      <c r="T3400" s="270"/>
    </row>
    <row r="3401" spans="14:20" x14ac:dyDescent="0.25">
      <c r="N3401" s="362"/>
      <c r="R3401" s="210"/>
      <c r="S3401" s="232"/>
      <c r="T3401" s="270"/>
    </row>
    <row r="3402" spans="14:20" x14ac:dyDescent="0.25">
      <c r="N3402" s="362"/>
      <c r="R3402" s="210"/>
      <c r="S3402" s="232"/>
      <c r="T3402" s="270"/>
    </row>
    <row r="3403" spans="14:20" x14ac:dyDescent="0.25">
      <c r="N3403" s="362"/>
      <c r="R3403" s="210"/>
      <c r="S3403" s="232"/>
      <c r="T3403" s="270"/>
    </row>
    <row r="3404" spans="14:20" x14ac:dyDescent="0.25">
      <c r="N3404" s="362"/>
      <c r="R3404" s="210"/>
      <c r="S3404" s="232"/>
      <c r="T3404" s="270"/>
    </row>
    <row r="3405" spans="14:20" x14ac:dyDescent="0.25">
      <c r="N3405" s="362"/>
      <c r="R3405" s="210"/>
      <c r="S3405" s="232"/>
      <c r="T3405" s="270"/>
    </row>
    <row r="3406" spans="14:20" x14ac:dyDescent="0.25">
      <c r="N3406" s="362"/>
      <c r="R3406" s="210"/>
      <c r="S3406" s="232"/>
      <c r="T3406" s="270"/>
    </row>
    <row r="3407" spans="14:20" x14ac:dyDescent="0.25">
      <c r="N3407" s="362"/>
      <c r="R3407" s="210"/>
      <c r="S3407" s="232"/>
      <c r="T3407" s="270"/>
    </row>
    <row r="3408" spans="14:20" x14ac:dyDescent="0.25">
      <c r="N3408" s="362"/>
      <c r="R3408" s="210"/>
      <c r="S3408" s="232"/>
      <c r="T3408" s="270"/>
    </row>
    <row r="3409" spans="14:20" x14ac:dyDescent="0.25">
      <c r="N3409" s="362"/>
      <c r="R3409" s="210"/>
      <c r="S3409" s="232"/>
      <c r="T3409" s="270"/>
    </row>
    <row r="3410" spans="14:20" x14ac:dyDescent="0.25">
      <c r="N3410" s="362"/>
      <c r="R3410" s="210"/>
      <c r="S3410" s="232"/>
      <c r="T3410" s="270"/>
    </row>
    <row r="3411" spans="14:20" x14ac:dyDescent="0.25">
      <c r="N3411" s="362"/>
      <c r="R3411" s="210"/>
      <c r="S3411" s="232"/>
      <c r="T3411" s="270"/>
    </row>
    <row r="3412" spans="14:20" x14ac:dyDescent="0.25">
      <c r="N3412" s="362"/>
      <c r="R3412" s="210"/>
      <c r="S3412" s="232"/>
      <c r="T3412" s="270"/>
    </row>
    <row r="3413" spans="14:20" x14ac:dyDescent="0.25">
      <c r="N3413" s="362"/>
      <c r="R3413" s="210"/>
      <c r="S3413" s="232"/>
      <c r="T3413" s="270"/>
    </row>
    <row r="3414" spans="14:20" x14ac:dyDescent="0.25">
      <c r="N3414" s="362"/>
      <c r="R3414" s="210"/>
      <c r="S3414" s="232"/>
      <c r="T3414" s="270"/>
    </row>
    <row r="3415" spans="14:20" x14ac:dyDescent="0.25">
      <c r="N3415" s="362"/>
      <c r="R3415" s="210"/>
      <c r="S3415" s="232"/>
      <c r="T3415" s="270"/>
    </row>
    <row r="3416" spans="14:20" x14ac:dyDescent="0.25">
      <c r="N3416" s="362"/>
      <c r="R3416" s="210"/>
      <c r="S3416" s="232"/>
      <c r="T3416" s="270"/>
    </row>
    <row r="3417" spans="14:20" x14ac:dyDescent="0.25">
      <c r="N3417" s="362"/>
      <c r="R3417" s="210"/>
      <c r="S3417" s="232"/>
      <c r="T3417" s="270"/>
    </row>
    <row r="3418" spans="14:20" x14ac:dyDescent="0.25">
      <c r="N3418" s="362"/>
      <c r="R3418" s="210"/>
      <c r="S3418" s="232"/>
      <c r="T3418" s="270"/>
    </row>
    <row r="3419" spans="14:20" x14ac:dyDescent="0.25">
      <c r="N3419" s="362"/>
      <c r="R3419" s="210"/>
      <c r="S3419" s="232"/>
      <c r="T3419" s="270"/>
    </row>
    <row r="3420" spans="14:20" x14ac:dyDescent="0.25">
      <c r="N3420" s="362"/>
      <c r="R3420" s="210"/>
      <c r="S3420" s="232"/>
      <c r="T3420" s="270"/>
    </row>
    <row r="3421" spans="14:20" x14ac:dyDescent="0.25">
      <c r="N3421" s="362"/>
      <c r="R3421" s="210"/>
      <c r="S3421" s="232"/>
      <c r="T3421" s="270"/>
    </row>
    <row r="3422" spans="14:20" x14ac:dyDescent="0.25">
      <c r="N3422" s="362"/>
      <c r="R3422" s="210"/>
      <c r="S3422" s="232"/>
      <c r="T3422" s="270"/>
    </row>
    <row r="3423" spans="14:20" x14ac:dyDescent="0.25">
      <c r="N3423" s="362"/>
      <c r="R3423" s="210"/>
      <c r="S3423" s="232"/>
      <c r="T3423" s="270"/>
    </row>
    <row r="3424" spans="14:20" x14ac:dyDescent="0.25">
      <c r="N3424" s="362"/>
      <c r="R3424" s="210"/>
      <c r="S3424" s="232"/>
      <c r="T3424" s="270"/>
    </row>
    <row r="3425" spans="14:20" x14ac:dyDescent="0.25">
      <c r="N3425" s="362"/>
      <c r="R3425" s="210"/>
      <c r="S3425" s="232"/>
      <c r="T3425" s="270"/>
    </row>
    <row r="3426" spans="14:20" x14ac:dyDescent="0.25">
      <c r="N3426" s="362"/>
      <c r="R3426" s="210"/>
      <c r="S3426" s="232"/>
      <c r="T3426" s="270"/>
    </row>
    <row r="3427" spans="14:20" x14ac:dyDescent="0.25">
      <c r="N3427" s="362"/>
      <c r="R3427" s="210"/>
      <c r="S3427" s="232"/>
      <c r="T3427" s="270"/>
    </row>
    <row r="3428" spans="14:20" x14ac:dyDescent="0.25">
      <c r="N3428" s="362"/>
      <c r="R3428" s="210"/>
      <c r="S3428" s="232"/>
      <c r="T3428" s="270"/>
    </row>
    <row r="3429" spans="14:20" x14ac:dyDescent="0.25">
      <c r="N3429" s="362"/>
      <c r="R3429" s="210"/>
      <c r="S3429" s="232"/>
      <c r="T3429" s="270"/>
    </row>
    <row r="3430" spans="14:20" x14ac:dyDescent="0.25">
      <c r="N3430" s="362"/>
      <c r="R3430" s="210"/>
      <c r="S3430" s="232"/>
      <c r="T3430" s="270"/>
    </row>
    <row r="3431" spans="14:20" x14ac:dyDescent="0.25">
      <c r="N3431" s="362"/>
      <c r="R3431" s="210"/>
      <c r="S3431" s="232"/>
      <c r="T3431" s="270"/>
    </row>
    <row r="3432" spans="14:20" x14ac:dyDescent="0.25">
      <c r="N3432" s="362"/>
      <c r="R3432" s="210"/>
      <c r="S3432" s="232"/>
      <c r="T3432" s="270"/>
    </row>
    <row r="3433" spans="14:20" x14ac:dyDescent="0.25">
      <c r="N3433" s="362"/>
      <c r="R3433" s="210"/>
      <c r="S3433" s="232"/>
      <c r="T3433" s="270"/>
    </row>
    <row r="3434" spans="14:20" x14ac:dyDescent="0.25">
      <c r="N3434" s="362"/>
      <c r="R3434" s="210"/>
      <c r="S3434" s="232"/>
      <c r="T3434" s="270"/>
    </row>
    <row r="3435" spans="14:20" x14ac:dyDescent="0.25">
      <c r="N3435" s="362"/>
      <c r="R3435" s="210"/>
      <c r="S3435" s="232"/>
      <c r="T3435" s="270"/>
    </row>
    <row r="3436" spans="14:20" x14ac:dyDescent="0.25">
      <c r="N3436" s="362"/>
      <c r="R3436" s="210"/>
      <c r="S3436" s="232"/>
      <c r="T3436" s="270"/>
    </row>
    <row r="3437" spans="14:20" x14ac:dyDescent="0.25">
      <c r="N3437" s="362"/>
      <c r="R3437" s="210"/>
      <c r="S3437" s="232"/>
      <c r="T3437" s="270"/>
    </row>
    <row r="3438" spans="14:20" x14ac:dyDescent="0.25">
      <c r="N3438" s="362"/>
      <c r="R3438" s="210"/>
      <c r="S3438" s="232"/>
      <c r="T3438" s="270"/>
    </row>
    <row r="3439" spans="14:20" x14ac:dyDescent="0.25">
      <c r="N3439" s="362"/>
      <c r="R3439" s="210"/>
      <c r="S3439" s="232"/>
      <c r="T3439" s="270"/>
    </row>
    <row r="3440" spans="14:20" x14ac:dyDescent="0.25">
      <c r="N3440" s="362"/>
      <c r="R3440" s="210"/>
      <c r="S3440" s="232"/>
      <c r="T3440" s="270"/>
    </row>
    <row r="3441" spans="14:20" x14ac:dyDescent="0.25">
      <c r="N3441" s="362"/>
      <c r="R3441" s="210"/>
      <c r="S3441" s="232"/>
      <c r="T3441" s="270"/>
    </row>
    <row r="3442" spans="14:20" x14ac:dyDescent="0.25">
      <c r="N3442" s="362"/>
      <c r="R3442" s="210"/>
      <c r="S3442" s="232"/>
      <c r="T3442" s="270"/>
    </row>
    <row r="3443" spans="14:20" x14ac:dyDescent="0.25">
      <c r="N3443" s="362"/>
      <c r="R3443" s="210"/>
      <c r="S3443" s="232"/>
      <c r="T3443" s="270"/>
    </row>
    <row r="3444" spans="14:20" x14ac:dyDescent="0.25">
      <c r="N3444" s="362"/>
      <c r="R3444" s="210"/>
      <c r="S3444" s="232"/>
      <c r="T3444" s="270"/>
    </row>
    <row r="3445" spans="14:20" x14ac:dyDescent="0.25">
      <c r="N3445" s="362"/>
      <c r="R3445" s="210"/>
      <c r="S3445" s="232"/>
      <c r="T3445" s="270"/>
    </row>
    <row r="3446" spans="14:20" x14ac:dyDescent="0.25">
      <c r="N3446" s="362"/>
      <c r="R3446" s="210"/>
      <c r="S3446" s="232"/>
      <c r="T3446" s="270"/>
    </row>
    <row r="3447" spans="14:20" x14ac:dyDescent="0.25">
      <c r="N3447" s="362"/>
      <c r="R3447" s="210"/>
      <c r="S3447" s="232"/>
      <c r="T3447" s="270"/>
    </row>
    <row r="3448" spans="14:20" x14ac:dyDescent="0.25">
      <c r="N3448" s="362"/>
      <c r="R3448" s="210"/>
      <c r="S3448" s="232"/>
      <c r="T3448" s="270"/>
    </row>
    <row r="3449" spans="14:20" x14ac:dyDescent="0.25">
      <c r="N3449" s="362"/>
      <c r="R3449" s="210"/>
      <c r="S3449" s="232"/>
      <c r="T3449" s="270"/>
    </row>
    <row r="3450" spans="14:20" x14ac:dyDescent="0.25">
      <c r="N3450" s="362"/>
      <c r="R3450" s="210"/>
      <c r="S3450" s="232"/>
      <c r="T3450" s="270"/>
    </row>
    <row r="3451" spans="14:20" x14ac:dyDescent="0.25">
      <c r="N3451" s="362"/>
      <c r="R3451" s="210"/>
      <c r="S3451" s="232"/>
      <c r="T3451" s="270"/>
    </row>
    <row r="3452" spans="14:20" x14ac:dyDescent="0.25">
      <c r="N3452" s="362"/>
      <c r="R3452" s="210"/>
      <c r="S3452" s="232"/>
      <c r="T3452" s="270"/>
    </row>
    <row r="3453" spans="14:20" x14ac:dyDescent="0.25">
      <c r="N3453" s="362"/>
      <c r="R3453" s="210"/>
      <c r="S3453" s="232"/>
      <c r="T3453" s="270"/>
    </row>
    <row r="3454" spans="14:20" x14ac:dyDescent="0.25">
      <c r="N3454" s="362"/>
      <c r="R3454" s="210"/>
      <c r="S3454" s="232"/>
      <c r="T3454" s="270"/>
    </row>
    <row r="3455" spans="14:20" x14ac:dyDescent="0.25">
      <c r="N3455" s="362"/>
      <c r="R3455" s="210"/>
      <c r="S3455" s="232"/>
      <c r="T3455" s="270"/>
    </row>
    <row r="3456" spans="14:20" x14ac:dyDescent="0.25">
      <c r="N3456" s="362"/>
      <c r="R3456" s="210"/>
      <c r="S3456" s="232"/>
      <c r="T3456" s="270"/>
    </row>
    <row r="3457" spans="14:20" x14ac:dyDescent="0.25">
      <c r="N3457" s="362"/>
      <c r="R3457" s="210"/>
      <c r="S3457" s="232"/>
      <c r="T3457" s="270"/>
    </row>
    <row r="3458" spans="14:20" x14ac:dyDescent="0.25">
      <c r="N3458" s="362"/>
      <c r="R3458" s="210"/>
      <c r="S3458" s="232"/>
      <c r="T3458" s="270"/>
    </row>
    <row r="3459" spans="14:20" x14ac:dyDescent="0.25">
      <c r="N3459" s="362"/>
      <c r="R3459" s="210"/>
      <c r="S3459" s="232"/>
      <c r="T3459" s="270"/>
    </row>
    <row r="3460" spans="14:20" x14ac:dyDescent="0.25">
      <c r="N3460" s="362"/>
      <c r="R3460" s="210"/>
      <c r="S3460" s="232"/>
      <c r="T3460" s="270"/>
    </row>
    <row r="3461" spans="14:20" x14ac:dyDescent="0.25">
      <c r="N3461" s="362"/>
      <c r="R3461" s="210"/>
      <c r="S3461" s="232"/>
      <c r="T3461" s="270"/>
    </row>
    <row r="3462" spans="14:20" x14ac:dyDescent="0.25">
      <c r="N3462" s="362"/>
      <c r="R3462" s="210"/>
      <c r="S3462" s="232"/>
      <c r="T3462" s="270"/>
    </row>
    <row r="3463" spans="14:20" x14ac:dyDescent="0.25">
      <c r="N3463" s="362"/>
      <c r="R3463" s="210"/>
      <c r="S3463" s="232"/>
      <c r="T3463" s="270"/>
    </row>
    <row r="3464" spans="14:20" x14ac:dyDescent="0.25">
      <c r="N3464" s="362"/>
      <c r="R3464" s="210"/>
      <c r="S3464" s="232"/>
      <c r="T3464" s="270"/>
    </row>
    <row r="3465" spans="14:20" x14ac:dyDescent="0.25">
      <c r="N3465" s="362"/>
      <c r="R3465" s="210"/>
      <c r="S3465" s="232"/>
      <c r="T3465" s="270"/>
    </row>
    <row r="3466" spans="14:20" x14ac:dyDescent="0.25">
      <c r="N3466" s="362"/>
      <c r="R3466" s="210"/>
      <c r="S3466" s="232"/>
      <c r="T3466" s="270"/>
    </row>
    <row r="3467" spans="14:20" x14ac:dyDescent="0.25">
      <c r="N3467" s="362"/>
      <c r="R3467" s="210"/>
      <c r="S3467" s="232"/>
      <c r="T3467" s="270"/>
    </row>
    <row r="3468" spans="14:20" x14ac:dyDescent="0.25">
      <c r="N3468" s="362"/>
      <c r="R3468" s="210"/>
      <c r="S3468" s="232"/>
      <c r="T3468" s="270"/>
    </row>
    <row r="3469" spans="14:20" x14ac:dyDescent="0.25">
      <c r="N3469" s="362"/>
      <c r="R3469" s="210"/>
      <c r="S3469" s="232"/>
      <c r="T3469" s="270"/>
    </row>
    <row r="3470" spans="14:20" x14ac:dyDescent="0.25">
      <c r="N3470" s="362"/>
      <c r="R3470" s="210"/>
      <c r="S3470" s="232"/>
      <c r="T3470" s="270"/>
    </row>
    <row r="3471" spans="14:20" x14ac:dyDescent="0.25">
      <c r="N3471" s="362"/>
      <c r="R3471" s="210"/>
      <c r="S3471" s="232"/>
      <c r="T3471" s="270"/>
    </row>
    <row r="3472" spans="14:20" x14ac:dyDescent="0.25">
      <c r="N3472" s="362"/>
      <c r="R3472" s="210"/>
      <c r="S3472" s="232"/>
      <c r="T3472" s="270"/>
    </row>
    <row r="3473" spans="14:20" x14ac:dyDescent="0.25">
      <c r="N3473" s="362"/>
      <c r="R3473" s="210"/>
      <c r="S3473" s="232"/>
      <c r="T3473" s="270"/>
    </row>
    <row r="3474" spans="14:20" x14ac:dyDescent="0.25">
      <c r="N3474" s="362"/>
      <c r="R3474" s="210"/>
      <c r="S3474" s="232"/>
      <c r="T3474" s="270"/>
    </row>
    <row r="3475" spans="14:20" x14ac:dyDescent="0.25">
      <c r="N3475" s="362"/>
      <c r="R3475" s="210"/>
      <c r="S3475" s="232"/>
      <c r="T3475" s="270"/>
    </row>
    <row r="3476" spans="14:20" x14ac:dyDescent="0.25">
      <c r="N3476" s="362"/>
      <c r="R3476" s="210"/>
      <c r="S3476" s="232"/>
      <c r="T3476" s="270"/>
    </row>
    <row r="3477" spans="14:20" x14ac:dyDescent="0.25">
      <c r="N3477" s="362"/>
      <c r="R3477" s="210"/>
      <c r="S3477" s="232"/>
      <c r="T3477" s="270"/>
    </row>
    <row r="3478" spans="14:20" x14ac:dyDescent="0.25">
      <c r="N3478" s="362"/>
      <c r="R3478" s="210"/>
      <c r="S3478" s="232"/>
      <c r="T3478" s="270"/>
    </row>
    <row r="3479" spans="14:20" x14ac:dyDescent="0.25">
      <c r="N3479" s="362"/>
      <c r="R3479" s="210"/>
      <c r="S3479" s="232"/>
      <c r="T3479" s="270"/>
    </row>
    <row r="3480" spans="14:20" x14ac:dyDescent="0.25">
      <c r="N3480" s="362"/>
      <c r="R3480" s="210"/>
      <c r="S3480" s="232"/>
      <c r="T3480" s="270"/>
    </row>
    <row r="3481" spans="14:20" x14ac:dyDescent="0.25">
      <c r="N3481" s="362"/>
      <c r="R3481" s="210"/>
      <c r="S3481" s="232"/>
      <c r="T3481" s="270"/>
    </row>
    <row r="3482" spans="14:20" x14ac:dyDescent="0.25">
      <c r="N3482" s="362"/>
      <c r="R3482" s="210"/>
      <c r="S3482" s="232"/>
      <c r="T3482" s="270"/>
    </row>
    <row r="3483" spans="14:20" x14ac:dyDescent="0.25">
      <c r="N3483" s="362"/>
      <c r="R3483" s="210"/>
      <c r="S3483" s="232"/>
      <c r="T3483" s="270"/>
    </row>
    <row r="3484" spans="14:20" x14ac:dyDescent="0.25">
      <c r="N3484" s="362"/>
      <c r="R3484" s="210"/>
      <c r="S3484" s="232"/>
      <c r="T3484" s="270"/>
    </row>
    <row r="3485" spans="14:20" x14ac:dyDescent="0.25">
      <c r="N3485" s="362"/>
      <c r="R3485" s="210"/>
      <c r="S3485" s="232"/>
      <c r="T3485" s="270"/>
    </row>
    <row r="3486" spans="14:20" x14ac:dyDescent="0.25">
      <c r="N3486" s="362"/>
      <c r="R3486" s="210"/>
      <c r="S3486" s="232"/>
      <c r="T3486" s="270"/>
    </row>
    <row r="3487" spans="14:20" x14ac:dyDescent="0.25">
      <c r="N3487" s="362"/>
      <c r="R3487" s="210"/>
      <c r="S3487" s="232"/>
      <c r="T3487" s="270"/>
    </row>
    <row r="3488" spans="14:20" x14ac:dyDescent="0.25">
      <c r="N3488" s="362"/>
      <c r="R3488" s="210"/>
      <c r="S3488" s="232"/>
      <c r="T3488" s="270"/>
    </row>
    <row r="3489" spans="14:20" x14ac:dyDescent="0.25">
      <c r="N3489" s="362"/>
      <c r="R3489" s="210"/>
      <c r="S3489" s="232"/>
      <c r="T3489" s="270"/>
    </row>
    <row r="3490" spans="14:20" x14ac:dyDescent="0.25">
      <c r="N3490" s="362"/>
      <c r="R3490" s="210"/>
      <c r="S3490" s="232"/>
      <c r="T3490" s="270"/>
    </row>
    <row r="3491" spans="14:20" x14ac:dyDescent="0.25">
      <c r="N3491" s="362"/>
      <c r="R3491" s="210"/>
      <c r="S3491" s="232"/>
      <c r="T3491" s="270"/>
    </row>
    <row r="3492" spans="14:20" x14ac:dyDescent="0.25">
      <c r="N3492" s="362"/>
      <c r="R3492" s="210"/>
      <c r="S3492" s="232"/>
      <c r="T3492" s="270"/>
    </row>
    <row r="3493" spans="14:20" x14ac:dyDescent="0.25">
      <c r="N3493" s="362"/>
      <c r="R3493" s="210"/>
      <c r="S3493" s="232"/>
      <c r="T3493" s="270"/>
    </row>
    <row r="3494" spans="14:20" x14ac:dyDescent="0.25">
      <c r="N3494" s="362"/>
      <c r="R3494" s="210"/>
      <c r="S3494" s="232"/>
      <c r="T3494" s="270"/>
    </row>
    <row r="3495" spans="14:20" x14ac:dyDescent="0.25">
      <c r="N3495" s="362"/>
      <c r="R3495" s="210"/>
      <c r="S3495" s="232"/>
      <c r="T3495" s="270"/>
    </row>
    <row r="3496" spans="14:20" x14ac:dyDescent="0.25">
      <c r="N3496" s="362"/>
      <c r="R3496" s="210"/>
      <c r="S3496" s="232"/>
      <c r="T3496" s="270"/>
    </row>
    <row r="3497" spans="14:20" x14ac:dyDescent="0.25">
      <c r="N3497" s="362"/>
      <c r="R3497" s="210"/>
      <c r="S3497" s="232"/>
      <c r="T3497" s="270"/>
    </row>
    <row r="3498" spans="14:20" x14ac:dyDescent="0.25">
      <c r="N3498" s="362"/>
      <c r="R3498" s="210"/>
      <c r="S3498" s="232"/>
      <c r="T3498" s="270"/>
    </row>
    <row r="3499" spans="14:20" x14ac:dyDescent="0.25">
      <c r="N3499" s="362"/>
      <c r="R3499" s="210"/>
      <c r="S3499" s="232"/>
      <c r="T3499" s="270"/>
    </row>
    <row r="3500" spans="14:20" x14ac:dyDescent="0.25">
      <c r="N3500" s="362"/>
      <c r="R3500" s="210"/>
      <c r="S3500" s="232"/>
      <c r="T3500" s="270"/>
    </row>
    <row r="3501" spans="14:20" x14ac:dyDescent="0.25">
      <c r="N3501" s="362"/>
      <c r="R3501" s="210"/>
      <c r="S3501" s="232"/>
      <c r="T3501" s="270"/>
    </row>
    <row r="3502" spans="14:20" x14ac:dyDescent="0.25">
      <c r="N3502" s="362"/>
      <c r="R3502" s="210"/>
      <c r="S3502" s="232"/>
      <c r="T3502" s="270"/>
    </row>
    <row r="3503" spans="14:20" x14ac:dyDescent="0.25">
      <c r="N3503" s="362"/>
      <c r="R3503" s="210"/>
      <c r="S3503" s="232"/>
      <c r="T3503" s="270"/>
    </row>
    <row r="3504" spans="14:20" x14ac:dyDescent="0.25">
      <c r="N3504" s="362"/>
      <c r="R3504" s="210"/>
      <c r="S3504" s="232"/>
      <c r="T3504" s="270"/>
    </row>
    <row r="3505" spans="14:20" x14ac:dyDescent="0.25">
      <c r="N3505" s="362"/>
      <c r="R3505" s="210"/>
      <c r="S3505" s="232"/>
      <c r="T3505" s="270"/>
    </row>
    <row r="3506" spans="14:20" x14ac:dyDescent="0.25">
      <c r="N3506" s="362"/>
      <c r="R3506" s="210"/>
      <c r="S3506" s="232"/>
      <c r="T3506" s="270"/>
    </row>
    <row r="3507" spans="14:20" x14ac:dyDescent="0.25">
      <c r="N3507" s="362"/>
      <c r="R3507" s="210"/>
      <c r="S3507" s="232"/>
      <c r="T3507" s="270"/>
    </row>
    <row r="3508" spans="14:20" x14ac:dyDescent="0.25">
      <c r="N3508" s="362"/>
      <c r="R3508" s="210"/>
      <c r="S3508" s="232"/>
      <c r="T3508" s="270"/>
    </row>
    <row r="3509" spans="14:20" x14ac:dyDescent="0.25">
      <c r="N3509" s="362"/>
      <c r="R3509" s="210"/>
      <c r="S3509" s="232"/>
      <c r="T3509" s="270"/>
    </row>
    <row r="3510" spans="14:20" x14ac:dyDescent="0.25">
      <c r="N3510" s="362"/>
      <c r="R3510" s="210"/>
      <c r="S3510" s="232"/>
      <c r="T3510" s="270"/>
    </row>
    <row r="3511" spans="14:20" x14ac:dyDescent="0.25">
      <c r="N3511" s="362"/>
      <c r="R3511" s="210"/>
      <c r="S3511" s="232"/>
      <c r="T3511" s="270"/>
    </row>
    <row r="3512" spans="14:20" x14ac:dyDescent="0.25">
      <c r="N3512" s="362"/>
      <c r="R3512" s="210"/>
      <c r="S3512" s="232"/>
      <c r="T3512" s="270"/>
    </row>
    <row r="3513" spans="14:20" x14ac:dyDescent="0.25">
      <c r="N3513" s="362"/>
      <c r="R3513" s="210"/>
      <c r="S3513" s="232"/>
      <c r="T3513" s="270"/>
    </row>
    <row r="3514" spans="14:20" x14ac:dyDescent="0.25">
      <c r="N3514" s="362"/>
      <c r="R3514" s="210"/>
      <c r="S3514" s="232"/>
      <c r="T3514" s="270"/>
    </row>
    <row r="3515" spans="14:20" x14ac:dyDescent="0.25">
      <c r="N3515" s="362"/>
      <c r="R3515" s="210"/>
      <c r="S3515" s="232"/>
      <c r="T3515" s="270"/>
    </row>
    <row r="3516" spans="14:20" x14ac:dyDescent="0.25">
      <c r="N3516" s="362"/>
      <c r="R3516" s="210"/>
      <c r="S3516" s="232"/>
      <c r="T3516" s="270"/>
    </row>
    <row r="3517" spans="14:20" x14ac:dyDescent="0.25">
      <c r="N3517" s="362"/>
      <c r="R3517" s="210"/>
      <c r="S3517" s="232"/>
      <c r="T3517" s="270"/>
    </row>
    <row r="3518" spans="14:20" x14ac:dyDescent="0.25">
      <c r="N3518" s="362"/>
      <c r="R3518" s="210"/>
      <c r="S3518" s="232"/>
      <c r="T3518" s="270"/>
    </row>
    <row r="3519" spans="14:20" x14ac:dyDescent="0.25">
      <c r="N3519" s="362"/>
      <c r="R3519" s="210"/>
      <c r="S3519" s="232"/>
      <c r="T3519" s="270"/>
    </row>
    <row r="3520" spans="14:20" x14ac:dyDescent="0.25">
      <c r="N3520" s="362"/>
      <c r="R3520" s="210"/>
      <c r="S3520" s="232"/>
      <c r="T3520" s="270"/>
    </row>
    <row r="3521" spans="14:20" x14ac:dyDescent="0.25">
      <c r="N3521" s="362"/>
      <c r="R3521" s="210"/>
      <c r="S3521" s="232"/>
      <c r="T3521" s="270"/>
    </row>
    <row r="3522" spans="14:20" x14ac:dyDescent="0.25">
      <c r="N3522" s="362"/>
      <c r="R3522" s="210"/>
      <c r="S3522" s="232"/>
      <c r="T3522" s="270"/>
    </row>
    <row r="3523" spans="14:20" x14ac:dyDescent="0.25">
      <c r="N3523" s="362"/>
      <c r="R3523" s="210"/>
      <c r="S3523" s="232"/>
      <c r="T3523" s="270"/>
    </row>
    <row r="3524" spans="14:20" x14ac:dyDescent="0.25">
      <c r="N3524" s="362"/>
      <c r="R3524" s="210"/>
      <c r="S3524" s="232"/>
      <c r="T3524" s="270"/>
    </row>
    <row r="3525" spans="14:20" x14ac:dyDescent="0.25">
      <c r="N3525" s="362"/>
      <c r="R3525" s="210"/>
      <c r="S3525" s="232"/>
      <c r="T3525" s="270"/>
    </row>
    <row r="3526" spans="14:20" x14ac:dyDescent="0.25">
      <c r="N3526" s="362"/>
      <c r="R3526" s="210"/>
      <c r="S3526" s="232"/>
      <c r="T3526" s="270"/>
    </row>
    <row r="3527" spans="14:20" x14ac:dyDescent="0.25">
      <c r="N3527" s="362"/>
      <c r="R3527" s="210"/>
      <c r="S3527" s="232"/>
      <c r="T3527" s="270"/>
    </row>
    <row r="3528" spans="14:20" x14ac:dyDescent="0.25">
      <c r="N3528" s="362"/>
      <c r="R3528" s="210"/>
      <c r="S3528" s="232"/>
      <c r="T3528" s="270"/>
    </row>
    <row r="3529" spans="14:20" x14ac:dyDescent="0.25">
      <c r="N3529" s="362"/>
      <c r="R3529" s="210"/>
      <c r="S3529" s="232"/>
      <c r="T3529" s="270"/>
    </row>
    <row r="3530" spans="14:20" x14ac:dyDescent="0.25">
      <c r="N3530" s="362"/>
      <c r="R3530" s="210"/>
      <c r="S3530" s="232"/>
      <c r="T3530" s="270"/>
    </row>
    <row r="3531" spans="14:20" x14ac:dyDescent="0.25">
      <c r="N3531" s="362"/>
      <c r="R3531" s="210"/>
      <c r="S3531" s="232"/>
      <c r="T3531" s="270"/>
    </row>
    <row r="3532" spans="14:20" x14ac:dyDescent="0.25">
      <c r="N3532" s="362"/>
      <c r="R3532" s="210"/>
      <c r="S3532" s="232"/>
      <c r="T3532" s="270"/>
    </row>
    <row r="3533" spans="14:20" x14ac:dyDescent="0.25">
      <c r="N3533" s="362"/>
      <c r="R3533" s="210"/>
      <c r="S3533" s="232"/>
      <c r="T3533" s="270"/>
    </row>
    <row r="3534" spans="14:20" x14ac:dyDescent="0.25">
      <c r="N3534" s="362"/>
      <c r="R3534" s="210"/>
      <c r="S3534" s="232"/>
      <c r="T3534" s="270"/>
    </row>
    <row r="3535" spans="14:20" x14ac:dyDescent="0.25">
      <c r="N3535" s="362"/>
      <c r="R3535" s="210"/>
      <c r="S3535" s="232"/>
      <c r="T3535" s="270"/>
    </row>
    <row r="3536" spans="14:20" x14ac:dyDescent="0.25">
      <c r="N3536" s="362"/>
      <c r="R3536" s="210"/>
      <c r="S3536" s="232"/>
      <c r="T3536" s="270"/>
    </row>
    <row r="3537" spans="14:20" x14ac:dyDescent="0.25">
      <c r="N3537" s="362"/>
      <c r="R3537" s="210"/>
      <c r="S3537" s="232"/>
      <c r="T3537" s="270"/>
    </row>
    <row r="3538" spans="14:20" x14ac:dyDescent="0.25">
      <c r="N3538" s="362"/>
      <c r="R3538" s="210"/>
      <c r="S3538" s="232"/>
      <c r="T3538" s="270"/>
    </row>
    <row r="3539" spans="14:20" x14ac:dyDescent="0.25">
      <c r="N3539" s="362"/>
      <c r="R3539" s="210"/>
      <c r="S3539" s="232"/>
      <c r="T3539" s="270"/>
    </row>
    <row r="3540" spans="14:20" x14ac:dyDescent="0.25">
      <c r="N3540" s="362"/>
      <c r="R3540" s="210"/>
      <c r="S3540" s="232"/>
      <c r="T3540" s="270"/>
    </row>
    <row r="3541" spans="14:20" x14ac:dyDescent="0.25">
      <c r="N3541" s="362"/>
      <c r="R3541" s="210"/>
      <c r="S3541" s="232"/>
      <c r="T3541" s="270"/>
    </row>
    <row r="3542" spans="14:20" x14ac:dyDescent="0.25">
      <c r="N3542" s="362"/>
      <c r="R3542" s="210"/>
      <c r="S3542" s="232"/>
      <c r="T3542" s="270"/>
    </row>
    <row r="3543" spans="14:20" x14ac:dyDescent="0.25">
      <c r="N3543" s="362"/>
      <c r="R3543" s="210"/>
      <c r="S3543" s="232"/>
      <c r="T3543" s="270"/>
    </row>
    <row r="3544" spans="14:20" x14ac:dyDescent="0.25">
      <c r="N3544" s="362"/>
      <c r="R3544" s="210"/>
      <c r="S3544" s="232"/>
      <c r="T3544" s="270"/>
    </row>
    <row r="3545" spans="14:20" x14ac:dyDescent="0.25">
      <c r="N3545" s="362"/>
      <c r="R3545" s="210"/>
      <c r="S3545" s="232"/>
      <c r="T3545" s="270"/>
    </row>
    <row r="3546" spans="14:20" x14ac:dyDescent="0.25">
      <c r="N3546" s="362"/>
      <c r="R3546" s="210"/>
      <c r="S3546" s="232"/>
      <c r="T3546" s="270"/>
    </row>
    <row r="3547" spans="14:20" x14ac:dyDescent="0.25">
      <c r="N3547" s="362"/>
      <c r="R3547" s="210"/>
      <c r="S3547" s="232"/>
      <c r="T3547" s="270"/>
    </row>
    <row r="3548" spans="14:20" x14ac:dyDescent="0.25">
      <c r="N3548" s="362"/>
      <c r="R3548" s="210"/>
      <c r="S3548" s="232"/>
      <c r="T3548" s="270"/>
    </row>
    <row r="3549" spans="14:20" x14ac:dyDescent="0.25">
      <c r="N3549" s="362"/>
      <c r="R3549" s="210"/>
      <c r="S3549" s="232"/>
      <c r="T3549" s="270"/>
    </row>
    <row r="3550" spans="14:20" x14ac:dyDescent="0.25">
      <c r="N3550" s="362"/>
      <c r="R3550" s="210"/>
      <c r="S3550" s="232"/>
      <c r="T3550" s="270"/>
    </row>
    <row r="3551" spans="14:20" x14ac:dyDescent="0.25">
      <c r="N3551" s="362"/>
      <c r="R3551" s="210"/>
      <c r="S3551" s="232"/>
      <c r="T3551" s="270"/>
    </row>
    <row r="3552" spans="14:20" x14ac:dyDescent="0.25">
      <c r="N3552" s="362"/>
      <c r="R3552" s="210"/>
      <c r="S3552" s="232"/>
      <c r="T3552" s="270"/>
    </row>
    <row r="3553" spans="14:20" x14ac:dyDescent="0.25">
      <c r="N3553" s="362"/>
      <c r="R3553" s="210"/>
      <c r="S3553" s="232"/>
      <c r="T3553" s="270"/>
    </row>
    <row r="3554" spans="14:20" x14ac:dyDescent="0.25">
      <c r="N3554" s="362"/>
      <c r="R3554" s="210"/>
      <c r="S3554" s="232"/>
      <c r="T3554" s="270"/>
    </row>
    <row r="3555" spans="14:20" x14ac:dyDescent="0.25">
      <c r="N3555" s="362"/>
      <c r="R3555" s="210"/>
      <c r="S3555" s="232"/>
      <c r="T3555" s="270"/>
    </row>
    <row r="3556" spans="14:20" x14ac:dyDescent="0.25">
      <c r="N3556" s="362"/>
      <c r="R3556" s="210"/>
      <c r="S3556" s="232"/>
      <c r="T3556" s="270"/>
    </row>
    <row r="3557" spans="14:20" x14ac:dyDescent="0.25">
      <c r="N3557" s="362"/>
      <c r="R3557" s="210"/>
      <c r="S3557" s="232"/>
      <c r="T3557" s="270"/>
    </row>
    <row r="3558" spans="14:20" x14ac:dyDescent="0.25">
      <c r="N3558" s="362"/>
      <c r="R3558" s="210"/>
      <c r="S3558" s="232"/>
      <c r="T3558" s="270"/>
    </row>
    <row r="3559" spans="14:20" x14ac:dyDescent="0.25">
      <c r="N3559" s="362"/>
      <c r="R3559" s="210"/>
      <c r="S3559" s="232"/>
      <c r="T3559" s="270"/>
    </row>
    <row r="3560" spans="14:20" x14ac:dyDescent="0.25">
      <c r="N3560" s="362"/>
      <c r="R3560" s="210"/>
      <c r="S3560" s="232"/>
      <c r="T3560" s="270"/>
    </row>
    <row r="3561" spans="14:20" x14ac:dyDescent="0.25">
      <c r="N3561" s="362"/>
      <c r="R3561" s="210"/>
      <c r="S3561" s="232"/>
      <c r="T3561" s="270"/>
    </row>
    <row r="3562" spans="14:20" x14ac:dyDescent="0.25">
      <c r="N3562" s="362"/>
      <c r="R3562" s="210"/>
      <c r="S3562" s="232"/>
      <c r="T3562" s="270"/>
    </row>
    <row r="3563" spans="14:20" x14ac:dyDescent="0.25">
      <c r="N3563" s="362"/>
      <c r="R3563" s="210"/>
      <c r="S3563" s="232"/>
      <c r="T3563" s="270"/>
    </row>
    <row r="3564" spans="14:20" x14ac:dyDescent="0.25">
      <c r="N3564" s="362"/>
      <c r="R3564" s="210"/>
      <c r="S3564" s="232"/>
      <c r="T3564" s="270"/>
    </row>
    <row r="3565" spans="14:20" x14ac:dyDescent="0.25">
      <c r="N3565" s="362"/>
      <c r="R3565" s="210"/>
      <c r="S3565" s="232"/>
      <c r="T3565" s="270"/>
    </row>
    <row r="3566" spans="14:20" x14ac:dyDescent="0.25">
      <c r="N3566" s="362"/>
      <c r="R3566" s="210"/>
      <c r="S3566" s="232"/>
      <c r="T3566" s="270"/>
    </row>
    <row r="3567" spans="14:20" x14ac:dyDescent="0.25">
      <c r="N3567" s="362"/>
      <c r="R3567" s="210"/>
      <c r="S3567" s="232"/>
      <c r="T3567" s="270"/>
    </row>
    <row r="3568" spans="14:20" x14ac:dyDescent="0.25">
      <c r="N3568" s="362"/>
      <c r="R3568" s="210"/>
      <c r="S3568" s="232"/>
      <c r="T3568" s="270"/>
    </row>
    <row r="3569" spans="14:20" x14ac:dyDescent="0.25">
      <c r="N3569" s="362"/>
      <c r="R3569" s="210"/>
      <c r="S3569" s="232"/>
      <c r="T3569" s="270"/>
    </row>
    <row r="3570" spans="14:20" x14ac:dyDescent="0.25">
      <c r="N3570" s="362"/>
      <c r="R3570" s="210"/>
      <c r="S3570" s="232"/>
      <c r="T3570" s="270"/>
    </row>
    <row r="3571" spans="14:20" x14ac:dyDescent="0.25">
      <c r="N3571" s="362"/>
      <c r="R3571" s="210"/>
      <c r="S3571" s="232"/>
      <c r="T3571" s="270"/>
    </row>
    <row r="3572" spans="14:20" x14ac:dyDescent="0.25">
      <c r="N3572" s="362"/>
      <c r="R3572" s="210"/>
      <c r="S3572" s="232"/>
      <c r="T3572" s="270"/>
    </row>
    <row r="3573" spans="14:20" x14ac:dyDescent="0.25">
      <c r="N3573" s="362"/>
      <c r="R3573" s="210"/>
      <c r="S3573" s="232"/>
      <c r="T3573" s="270"/>
    </row>
    <row r="3574" spans="14:20" x14ac:dyDescent="0.25">
      <c r="N3574" s="362"/>
      <c r="R3574" s="210"/>
      <c r="S3574" s="232"/>
      <c r="T3574" s="270"/>
    </row>
    <row r="3575" spans="14:20" x14ac:dyDescent="0.25">
      <c r="N3575" s="362"/>
      <c r="R3575" s="210"/>
      <c r="S3575" s="232"/>
      <c r="T3575" s="270"/>
    </row>
    <row r="3576" spans="14:20" x14ac:dyDescent="0.25">
      <c r="N3576" s="362"/>
      <c r="R3576" s="210"/>
      <c r="S3576" s="232"/>
      <c r="T3576" s="270"/>
    </row>
    <row r="3577" spans="14:20" x14ac:dyDescent="0.25">
      <c r="N3577" s="362"/>
      <c r="R3577" s="210"/>
      <c r="S3577" s="232"/>
      <c r="T3577" s="270"/>
    </row>
    <row r="3578" spans="14:20" x14ac:dyDescent="0.25">
      <c r="N3578" s="362"/>
      <c r="R3578" s="210"/>
      <c r="S3578" s="232"/>
      <c r="T3578" s="270"/>
    </row>
    <row r="3579" spans="14:20" x14ac:dyDescent="0.25">
      <c r="N3579" s="362"/>
      <c r="R3579" s="210"/>
      <c r="S3579" s="232"/>
      <c r="T3579" s="270"/>
    </row>
    <row r="3580" spans="14:20" x14ac:dyDescent="0.25">
      <c r="N3580" s="362"/>
      <c r="R3580" s="210"/>
      <c r="S3580" s="232"/>
      <c r="T3580" s="270"/>
    </row>
    <row r="3581" spans="14:20" x14ac:dyDescent="0.25">
      <c r="N3581" s="362"/>
      <c r="R3581" s="210"/>
      <c r="S3581" s="232"/>
      <c r="T3581" s="270"/>
    </row>
    <row r="3582" spans="14:20" x14ac:dyDescent="0.25">
      <c r="N3582" s="362"/>
      <c r="R3582" s="210"/>
      <c r="S3582" s="232"/>
      <c r="T3582" s="270"/>
    </row>
    <row r="3583" spans="14:20" x14ac:dyDescent="0.25">
      <c r="N3583" s="362"/>
      <c r="R3583" s="210"/>
      <c r="S3583" s="232"/>
      <c r="T3583" s="270"/>
    </row>
    <row r="3584" spans="14:20" x14ac:dyDescent="0.25">
      <c r="N3584" s="362"/>
      <c r="R3584" s="210"/>
      <c r="S3584" s="232"/>
      <c r="T3584" s="270"/>
    </row>
    <row r="3585" spans="14:20" x14ac:dyDescent="0.25">
      <c r="N3585" s="362"/>
      <c r="R3585" s="210"/>
      <c r="S3585" s="232"/>
      <c r="T3585" s="270"/>
    </row>
    <row r="3586" spans="14:20" x14ac:dyDescent="0.25">
      <c r="N3586" s="362"/>
      <c r="R3586" s="210"/>
      <c r="S3586" s="232"/>
      <c r="T3586" s="270"/>
    </row>
    <row r="3587" spans="14:20" x14ac:dyDescent="0.25">
      <c r="N3587" s="362"/>
      <c r="R3587" s="210"/>
      <c r="S3587" s="232"/>
      <c r="T3587" s="270"/>
    </row>
    <row r="3588" spans="14:20" x14ac:dyDescent="0.25">
      <c r="N3588" s="362"/>
      <c r="R3588" s="210"/>
      <c r="S3588" s="232"/>
      <c r="T3588" s="270"/>
    </row>
    <row r="3589" spans="14:20" x14ac:dyDescent="0.25">
      <c r="N3589" s="362"/>
      <c r="R3589" s="210"/>
      <c r="S3589" s="232"/>
      <c r="T3589" s="270"/>
    </row>
    <row r="3590" spans="14:20" x14ac:dyDescent="0.25">
      <c r="N3590" s="362"/>
      <c r="R3590" s="210"/>
      <c r="S3590" s="232"/>
      <c r="T3590" s="270"/>
    </row>
    <row r="3591" spans="14:20" x14ac:dyDescent="0.25">
      <c r="N3591" s="362"/>
      <c r="R3591" s="210"/>
      <c r="S3591" s="232"/>
      <c r="T3591" s="270"/>
    </row>
    <row r="3592" spans="14:20" x14ac:dyDescent="0.25">
      <c r="N3592" s="362"/>
      <c r="R3592" s="210"/>
      <c r="S3592" s="232"/>
      <c r="T3592" s="270"/>
    </row>
    <row r="3593" spans="14:20" x14ac:dyDescent="0.25">
      <c r="N3593" s="362"/>
      <c r="R3593" s="210"/>
      <c r="S3593" s="232"/>
      <c r="T3593" s="270"/>
    </row>
    <row r="3594" spans="14:20" x14ac:dyDescent="0.25">
      <c r="N3594" s="362"/>
      <c r="R3594" s="210"/>
      <c r="S3594" s="232"/>
      <c r="T3594" s="270"/>
    </row>
    <row r="3595" spans="14:20" x14ac:dyDescent="0.25">
      <c r="N3595" s="362"/>
      <c r="R3595" s="210"/>
      <c r="S3595" s="232"/>
      <c r="T3595" s="270"/>
    </row>
    <row r="3596" spans="14:20" x14ac:dyDescent="0.25">
      <c r="N3596" s="362"/>
      <c r="R3596" s="210"/>
      <c r="S3596" s="232"/>
      <c r="T3596" s="270"/>
    </row>
    <row r="3597" spans="14:20" x14ac:dyDescent="0.25">
      <c r="N3597" s="362"/>
      <c r="R3597" s="210"/>
      <c r="S3597" s="232"/>
      <c r="T3597" s="270"/>
    </row>
    <row r="3598" spans="14:20" x14ac:dyDescent="0.25">
      <c r="N3598" s="362"/>
      <c r="R3598" s="210"/>
      <c r="S3598" s="232"/>
      <c r="T3598" s="270"/>
    </row>
    <row r="3599" spans="14:20" x14ac:dyDescent="0.25">
      <c r="N3599" s="362"/>
      <c r="R3599" s="210"/>
      <c r="S3599" s="232"/>
      <c r="T3599" s="270"/>
    </row>
    <row r="3600" spans="14:20" x14ac:dyDescent="0.25">
      <c r="N3600" s="362"/>
      <c r="R3600" s="210"/>
      <c r="S3600" s="232"/>
      <c r="T3600" s="270"/>
    </row>
    <row r="3601" spans="14:20" x14ac:dyDescent="0.25">
      <c r="N3601" s="362"/>
      <c r="R3601" s="210"/>
      <c r="S3601" s="232"/>
      <c r="T3601" s="270"/>
    </row>
    <row r="3602" spans="14:20" x14ac:dyDescent="0.25">
      <c r="N3602" s="362"/>
      <c r="R3602" s="210"/>
      <c r="S3602" s="232"/>
      <c r="T3602" s="270"/>
    </row>
    <row r="3603" spans="14:20" x14ac:dyDescent="0.25">
      <c r="N3603" s="362"/>
      <c r="R3603" s="210"/>
      <c r="S3603" s="232"/>
      <c r="T3603" s="270"/>
    </row>
    <row r="3604" spans="14:20" x14ac:dyDescent="0.25">
      <c r="N3604" s="362"/>
      <c r="R3604" s="210"/>
      <c r="S3604" s="232"/>
      <c r="T3604" s="270"/>
    </row>
    <row r="3605" spans="14:20" x14ac:dyDescent="0.25">
      <c r="N3605" s="362"/>
      <c r="R3605" s="210"/>
      <c r="S3605" s="232"/>
      <c r="T3605" s="270"/>
    </row>
    <row r="3606" spans="14:20" x14ac:dyDescent="0.25">
      <c r="N3606" s="362"/>
      <c r="R3606" s="210"/>
      <c r="S3606" s="232"/>
      <c r="T3606" s="270"/>
    </row>
    <row r="3607" spans="14:20" x14ac:dyDescent="0.25">
      <c r="N3607" s="362"/>
      <c r="R3607" s="210"/>
      <c r="S3607" s="232"/>
      <c r="T3607" s="270"/>
    </row>
    <row r="3608" spans="14:20" x14ac:dyDescent="0.25">
      <c r="N3608" s="362"/>
      <c r="R3608" s="210"/>
      <c r="S3608" s="232"/>
      <c r="T3608" s="270"/>
    </row>
    <row r="3609" spans="14:20" x14ac:dyDescent="0.25">
      <c r="N3609" s="362"/>
      <c r="R3609" s="210"/>
      <c r="S3609" s="232"/>
      <c r="T3609" s="270"/>
    </row>
    <row r="3610" spans="14:20" x14ac:dyDescent="0.25">
      <c r="N3610" s="362"/>
      <c r="R3610" s="210"/>
      <c r="S3610" s="232"/>
      <c r="T3610" s="270"/>
    </row>
    <row r="3611" spans="14:20" x14ac:dyDescent="0.25">
      <c r="N3611" s="362"/>
      <c r="R3611" s="210"/>
      <c r="S3611" s="232"/>
      <c r="T3611" s="270"/>
    </row>
    <row r="3612" spans="14:20" x14ac:dyDescent="0.25">
      <c r="N3612" s="362"/>
      <c r="R3612" s="210"/>
      <c r="S3612" s="232"/>
      <c r="T3612" s="270"/>
    </row>
    <row r="3613" spans="14:20" x14ac:dyDescent="0.25">
      <c r="N3613" s="362"/>
      <c r="R3613" s="210"/>
      <c r="S3613" s="232"/>
      <c r="T3613" s="270"/>
    </row>
    <row r="3614" spans="14:20" x14ac:dyDescent="0.25">
      <c r="N3614" s="362"/>
      <c r="R3614" s="210"/>
      <c r="S3614" s="232"/>
      <c r="T3614" s="270"/>
    </row>
    <row r="3615" spans="14:20" x14ac:dyDescent="0.25">
      <c r="N3615" s="362"/>
      <c r="R3615" s="210"/>
      <c r="S3615" s="232"/>
      <c r="T3615" s="270"/>
    </row>
    <row r="3616" spans="14:20" x14ac:dyDescent="0.25">
      <c r="N3616" s="362"/>
      <c r="R3616" s="210"/>
      <c r="S3616" s="232"/>
      <c r="T3616" s="270"/>
    </row>
    <row r="3617" spans="14:20" x14ac:dyDescent="0.25">
      <c r="N3617" s="362"/>
      <c r="R3617" s="210"/>
      <c r="S3617" s="232"/>
      <c r="T3617" s="270"/>
    </row>
    <row r="3618" spans="14:20" x14ac:dyDescent="0.25">
      <c r="N3618" s="362"/>
      <c r="R3618" s="210"/>
      <c r="S3618" s="232"/>
      <c r="T3618" s="270"/>
    </row>
    <row r="3619" spans="14:20" x14ac:dyDescent="0.25">
      <c r="N3619" s="362"/>
      <c r="R3619" s="210"/>
      <c r="S3619" s="232"/>
      <c r="T3619" s="270"/>
    </row>
    <row r="3620" spans="14:20" x14ac:dyDescent="0.25">
      <c r="N3620" s="362"/>
      <c r="R3620" s="210"/>
      <c r="S3620" s="232"/>
      <c r="T3620" s="270"/>
    </row>
    <row r="3621" spans="14:20" x14ac:dyDescent="0.25">
      <c r="N3621" s="362"/>
      <c r="R3621" s="210"/>
      <c r="S3621" s="232"/>
      <c r="T3621" s="270"/>
    </row>
    <row r="3622" spans="14:20" x14ac:dyDescent="0.25">
      <c r="N3622" s="362"/>
      <c r="R3622" s="210"/>
      <c r="S3622" s="232"/>
      <c r="T3622" s="270"/>
    </row>
    <row r="3623" spans="14:20" x14ac:dyDescent="0.25">
      <c r="N3623" s="362"/>
      <c r="R3623" s="210"/>
      <c r="S3623" s="232"/>
      <c r="T3623" s="270"/>
    </row>
    <row r="3624" spans="14:20" x14ac:dyDescent="0.25">
      <c r="N3624" s="362"/>
      <c r="R3624" s="210"/>
      <c r="S3624" s="232"/>
      <c r="T3624" s="270"/>
    </row>
    <row r="3625" spans="14:20" x14ac:dyDescent="0.25">
      <c r="N3625" s="362"/>
      <c r="R3625" s="210"/>
      <c r="S3625" s="232"/>
      <c r="T3625" s="270"/>
    </row>
    <row r="3626" spans="14:20" x14ac:dyDescent="0.25">
      <c r="N3626" s="362"/>
      <c r="R3626" s="210"/>
      <c r="S3626" s="232"/>
      <c r="T3626" s="270"/>
    </row>
    <row r="3627" spans="14:20" x14ac:dyDescent="0.25">
      <c r="N3627" s="362"/>
      <c r="R3627" s="210"/>
      <c r="S3627" s="232"/>
      <c r="T3627" s="270"/>
    </row>
    <row r="3628" spans="14:20" x14ac:dyDescent="0.25">
      <c r="N3628" s="362"/>
      <c r="R3628" s="210"/>
      <c r="S3628" s="232"/>
      <c r="T3628" s="270"/>
    </row>
    <row r="3629" spans="14:20" x14ac:dyDescent="0.25">
      <c r="N3629" s="362"/>
      <c r="R3629" s="210"/>
      <c r="S3629" s="232"/>
      <c r="T3629" s="270"/>
    </row>
    <row r="3630" spans="14:20" x14ac:dyDescent="0.25">
      <c r="N3630" s="362"/>
      <c r="R3630" s="210"/>
      <c r="S3630" s="232"/>
      <c r="T3630" s="270"/>
    </row>
    <row r="3631" spans="14:20" x14ac:dyDescent="0.25">
      <c r="N3631" s="362"/>
      <c r="R3631" s="210"/>
      <c r="S3631" s="232"/>
      <c r="T3631" s="270"/>
    </row>
    <row r="3632" spans="14:20" x14ac:dyDescent="0.25">
      <c r="N3632" s="362"/>
      <c r="R3632" s="210"/>
      <c r="S3632" s="232"/>
      <c r="T3632" s="270"/>
    </row>
    <row r="3633" spans="14:20" x14ac:dyDescent="0.25">
      <c r="N3633" s="362"/>
      <c r="R3633" s="210"/>
      <c r="S3633" s="232"/>
      <c r="T3633" s="270"/>
    </row>
    <row r="3634" spans="14:20" x14ac:dyDescent="0.25">
      <c r="N3634" s="362"/>
      <c r="R3634" s="210"/>
      <c r="S3634" s="232"/>
      <c r="T3634" s="270"/>
    </row>
    <row r="3635" spans="14:20" x14ac:dyDescent="0.25">
      <c r="N3635" s="362"/>
      <c r="R3635" s="210"/>
      <c r="S3635" s="232"/>
      <c r="T3635" s="270"/>
    </row>
    <row r="3636" spans="14:20" x14ac:dyDescent="0.25">
      <c r="N3636" s="362"/>
      <c r="R3636" s="210"/>
      <c r="S3636" s="232"/>
      <c r="T3636" s="270"/>
    </row>
    <row r="3637" spans="14:20" x14ac:dyDescent="0.25">
      <c r="N3637" s="362"/>
      <c r="R3637" s="210"/>
      <c r="S3637" s="232"/>
      <c r="T3637" s="270"/>
    </row>
    <row r="3638" spans="14:20" x14ac:dyDescent="0.25">
      <c r="N3638" s="362"/>
      <c r="R3638" s="210"/>
      <c r="S3638" s="232"/>
      <c r="T3638" s="270"/>
    </row>
    <row r="3639" spans="14:20" x14ac:dyDescent="0.25">
      <c r="N3639" s="362"/>
      <c r="R3639" s="210"/>
      <c r="S3639" s="232"/>
      <c r="T3639" s="270"/>
    </row>
    <row r="3640" spans="14:20" x14ac:dyDescent="0.25">
      <c r="N3640" s="362"/>
      <c r="R3640" s="210"/>
      <c r="S3640" s="232"/>
      <c r="T3640" s="270"/>
    </row>
    <row r="3641" spans="14:20" x14ac:dyDescent="0.25">
      <c r="N3641" s="362"/>
      <c r="R3641" s="210"/>
      <c r="S3641" s="232"/>
      <c r="T3641" s="270"/>
    </row>
    <row r="3642" spans="14:20" x14ac:dyDescent="0.25">
      <c r="N3642" s="362"/>
      <c r="R3642" s="210"/>
      <c r="S3642" s="232"/>
      <c r="T3642" s="270"/>
    </row>
    <row r="3643" spans="14:20" x14ac:dyDescent="0.25">
      <c r="N3643" s="362"/>
      <c r="R3643" s="210"/>
      <c r="S3643" s="232"/>
      <c r="T3643" s="270"/>
    </row>
    <row r="3644" spans="14:20" x14ac:dyDescent="0.25">
      <c r="N3644" s="362"/>
      <c r="R3644" s="210"/>
      <c r="S3644" s="232"/>
      <c r="T3644" s="270"/>
    </row>
    <row r="3645" spans="14:20" x14ac:dyDescent="0.25">
      <c r="N3645" s="362"/>
      <c r="R3645" s="210"/>
      <c r="S3645" s="232"/>
      <c r="T3645" s="270"/>
    </row>
    <row r="3646" spans="14:20" x14ac:dyDescent="0.25">
      <c r="N3646" s="362"/>
      <c r="R3646" s="210"/>
      <c r="S3646" s="232"/>
      <c r="T3646" s="270"/>
    </row>
    <row r="3647" spans="14:20" x14ac:dyDescent="0.25">
      <c r="N3647" s="362"/>
      <c r="R3647" s="210"/>
      <c r="S3647" s="232"/>
      <c r="T3647" s="270"/>
    </row>
    <row r="3648" spans="14:20" x14ac:dyDescent="0.25">
      <c r="N3648" s="362"/>
      <c r="R3648" s="210"/>
      <c r="S3648" s="232"/>
      <c r="T3648" s="270"/>
    </row>
    <row r="3649" spans="14:20" x14ac:dyDescent="0.25">
      <c r="N3649" s="362"/>
      <c r="R3649" s="210"/>
      <c r="S3649" s="232"/>
      <c r="T3649" s="270"/>
    </row>
    <row r="3650" spans="14:20" x14ac:dyDescent="0.25">
      <c r="N3650" s="362"/>
      <c r="R3650" s="210"/>
      <c r="S3650" s="232"/>
      <c r="T3650" s="270"/>
    </row>
    <row r="3651" spans="14:20" x14ac:dyDescent="0.25">
      <c r="N3651" s="362"/>
      <c r="R3651" s="210"/>
      <c r="S3651" s="232"/>
      <c r="T3651" s="270"/>
    </row>
    <row r="3652" spans="14:20" x14ac:dyDescent="0.25">
      <c r="N3652" s="362"/>
      <c r="R3652" s="210"/>
      <c r="S3652" s="232"/>
      <c r="T3652" s="270"/>
    </row>
    <row r="3653" spans="14:20" x14ac:dyDescent="0.25">
      <c r="N3653" s="362"/>
      <c r="R3653" s="210"/>
      <c r="S3653" s="232"/>
      <c r="T3653" s="270"/>
    </row>
    <row r="3654" spans="14:20" x14ac:dyDescent="0.25">
      <c r="N3654" s="362"/>
      <c r="R3654" s="210"/>
      <c r="S3654" s="232"/>
      <c r="T3654" s="270"/>
    </row>
    <row r="3655" spans="14:20" x14ac:dyDescent="0.25">
      <c r="N3655" s="362"/>
      <c r="R3655" s="210"/>
      <c r="S3655" s="232"/>
      <c r="T3655" s="270"/>
    </row>
    <row r="3656" spans="14:20" x14ac:dyDescent="0.25">
      <c r="N3656" s="362"/>
      <c r="R3656" s="210"/>
      <c r="S3656" s="232"/>
      <c r="T3656" s="270"/>
    </row>
    <row r="3657" spans="14:20" x14ac:dyDescent="0.25">
      <c r="N3657" s="362"/>
      <c r="R3657" s="210"/>
      <c r="S3657" s="232"/>
      <c r="T3657" s="270"/>
    </row>
    <row r="3658" spans="14:20" x14ac:dyDescent="0.25">
      <c r="N3658" s="362"/>
      <c r="R3658" s="210"/>
      <c r="S3658" s="232"/>
      <c r="T3658" s="270"/>
    </row>
    <row r="3659" spans="14:20" x14ac:dyDescent="0.25">
      <c r="N3659" s="362"/>
      <c r="R3659" s="210"/>
      <c r="S3659" s="232"/>
      <c r="T3659" s="270"/>
    </row>
    <row r="3660" spans="14:20" x14ac:dyDescent="0.25">
      <c r="N3660" s="362"/>
      <c r="R3660" s="210"/>
      <c r="S3660" s="232"/>
      <c r="T3660" s="270"/>
    </row>
    <row r="3661" spans="14:20" x14ac:dyDescent="0.25">
      <c r="N3661" s="362"/>
      <c r="R3661" s="210"/>
      <c r="S3661" s="232"/>
      <c r="T3661" s="270"/>
    </row>
    <row r="3662" spans="14:20" x14ac:dyDescent="0.25">
      <c r="N3662" s="362"/>
      <c r="R3662" s="210"/>
      <c r="S3662" s="232"/>
      <c r="T3662" s="270"/>
    </row>
    <row r="3663" spans="14:20" x14ac:dyDescent="0.25">
      <c r="N3663" s="362"/>
      <c r="R3663" s="210"/>
      <c r="S3663" s="232"/>
      <c r="T3663" s="270"/>
    </row>
    <row r="3664" spans="14:20" x14ac:dyDescent="0.25">
      <c r="N3664" s="362"/>
      <c r="R3664" s="210"/>
      <c r="S3664" s="232"/>
      <c r="T3664" s="270"/>
    </row>
    <row r="3665" spans="14:20" x14ac:dyDescent="0.25">
      <c r="N3665" s="362"/>
      <c r="R3665" s="210"/>
      <c r="S3665" s="232"/>
      <c r="T3665" s="270"/>
    </row>
    <row r="3666" spans="14:20" x14ac:dyDescent="0.25">
      <c r="N3666" s="362"/>
      <c r="R3666" s="210"/>
      <c r="S3666" s="232"/>
      <c r="T3666" s="270"/>
    </row>
    <row r="3667" spans="14:20" x14ac:dyDescent="0.25">
      <c r="N3667" s="362"/>
      <c r="R3667" s="210"/>
      <c r="S3667" s="232"/>
      <c r="T3667" s="270"/>
    </row>
    <row r="3668" spans="14:20" x14ac:dyDescent="0.25">
      <c r="N3668" s="362"/>
      <c r="R3668" s="210"/>
      <c r="S3668" s="232"/>
      <c r="T3668" s="270"/>
    </row>
    <row r="3669" spans="14:20" x14ac:dyDescent="0.25">
      <c r="N3669" s="362"/>
      <c r="R3669" s="210"/>
      <c r="S3669" s="232"/>
      <c r="T3669" s="270"/>
    </row>
    <row r="3670" spans="14:20" x14ac:dyDescent="0.25">
      <c r="N3670" s="362"/>
      <c r="R3670" s="210"/>
      <c r="S3670" s="232"/>
      <c r="T3670" s="270"/>
    </row>
    <row r="3671" spans="14:20" x14ac:dyDescent="0.25">
      <c r="N3671" s="362"/>
      <c r="R3671" s="210"/>
      <c r="S3671" s="232"/>
      <c r="T3671" s="270"/>
    </row>
    <row r="3672" spans="14:20" x14ac:dyDescent="0.25">
      <c r="N3672" s="362"/>
      <c r="R3672" s="210"/>
      <c r="S3672" s="232"/>
      <c r="T3672" s="270"/>
    </row>
    <row r="3673" spans="14:20" x14ac:dyDescent="0.25">
      <c r="N3673" s="362"/>
      <c r="R3673" s="210"/>
      <c r="S3673" s="232"/>
      <c r="T3673" s="270"/>
    </row>
    <row r="3674" spans="14:20" x14ac:dyDescent="0.25">
      <c r="N3674" s="362"/>
      <c r="R3674" s="210"/>
      <c r="S3674" s="232"/>
      <c r="T3674" s="270"/>
    </row>
    <row r="3675" spans="14:20" x14ac:dyDescent="0.25">
      <c r="N3675" s="362"/>
      <c r="R3675" s="210"/>
      <c r="S3675" s="232"/>
      <c r="T3675" s="270"/>
    </row>
    <row r="3676" spans="14:20" x14ac:dyDescent="0.25">
      <c r="N3676" s="362"/>
      <c r="R3676" s="210"/>
      <c r="S3676" s="232"/>
      <c r="T3676" s="270"/>
    </row>
    <row r="3677" spans="14:20" x14ac:dyDescent="0.25">
      <c r="N3677" s="362"/>
      <c r="R3677" s="210"/>
      <c r="S3677" s="232"/>
      <c r="T3677" s="270"/>
    </row>
    <row r="3678" spans="14:20" x14ac:dyDescent="0.25">
      <c r="N3678" s="362"/>
      <c r="R3678" s="210"/>
      <c r="S3678" s="232"/>
      <c r="T3678" s="270"/>
    </row>
    <row r="3679" spans="14:20" x14ac:dyDescent="0.25">
      <c r="N3679" s="362"/>
      <c r="R3679" s="210"/>
      <c r="S3679" s="232"/>
      <c r="T3679" s="270"/>
    </row>
    <row r="3680" spans="14:20" x14ac:dyDescent="0.25">
      <c r="N3680" s="362"/>
      <c r="R3680" s="210"/>
      <c r="S3680" s="232"/>
      <c r="T3680" s="270"/>
    </row>
    <row r="3681" spans="14:20" x14ac:dyDescent="0.25">
      <c r="N3681" s="362"/>
      <c r="R3681" s="210"/>
      <c r="S3681" s="232"/>
      <c r="T3681" s="270"/>
    </row>
    <row r="3682" spans="14:20" x14ac:dyDescent="0.25">
      <c r="N3682" s="362"/>
      <c r="R3682" s="210"/>
      <c r="S3682" s="232"/>
      <c r="T3682" s="270"/>
    </row>
    <row r="3683" spans="14:20" x14ac:dyDescent="0.25">
      <c r="N3683" s="362"/>
      <c r="R3683" s="210"/>
      <c r="S3683" s="232"/>
      <c r="T3683" s="270"/>
    </row>
    <row r="3684" spans="14:20" x14ac:dyDescent="0.25">
      <c r="N3684" s="362"/>
      <c r="R3684" s="210"/>
      <c r="S3684" s="232"/>
      <c r="T3684" s="270"/>
    </row>
    <row r="3685" spans="14:20" x14ac:dyDescent="0.25">
      <c r="N3685" s="362"/>
      <c r="R3685" s="210"/>
      <c r="S3685" s="232"/>
      <c r="T3685" s="270"/>
    </row>
    <row r="3686" spans="14:20" x14ac:dyDescent="0.25">
      <c r="N3686" s="362"/>
      <c r="R3686" s="210"/>
      <c r="S3686" s="232"/>
      <c r="T3686" s="270"/>
    </row>
    <row r="3687" spans="14:20" x14ac:dyDescent="0.25">
      <c r="N3687" s="362"/>
      <c r="R3687" s="210"/>
      <c r="S3687" s="232"/>
      <c r="T3687" s="270"/>
    </row>
    <row r="3688" spans="14:20" x14ac:dyDescent="0.25">
      <c r="N3688" s="362"/>
      <c r="R3688" s="210"/>
      <c r="S3688" s="232"/>
      <c r="T3688" s="270"/>
    </row>
    <row r="3689" spans="14:20" x14ac:dyDescent="0.25">
      <c r="N3689" s="362"/>
      <c r="R3689" s="210"/>
      <c r="S3689" s="232"/>
      <c r="T3689" s="270"/>
    </row>
    <row r="3690" spans="14:20" x14ac:dyDescent="0.25">
      <c r="N3690" s="362"/>
      <c r="R3690" s="210"/>
      <c r="S3690" s="232"/>
      <c r="T3690" s="270"/>
    </row>
    <row r="3691" spans="14:20" x14ac:dyDescent="0.25">
      <c r="N3691" s="362"/>
      <c r="R3691" s="210"/>
      <c r="S3691" s="232"/>
      <c r="T3691" s="270"/>
    </row>
    <row r="3692" spans="14:20" x14ac:dyDescent="0.25">
      <c r="N3692" s="362"/>
      <c r="R3692" s="210"/>
      <c r="S3692" s="232"/>
      <c r="T3692" s="270"/>
    </row>
    <row r="3693" spans="14:20" x14ac:dyDescent="0.25">
      <c r="N3693" s="362"/>
      <c r="R3693" s="210"/>
      <c r="S3693" s="232"/>
      <c r="T3693" s="270"/>
    </row>
    <row r="3694" spans="14:20" x14ac:dyDescent="0.25">
      <c r="N3694" s="362"/>
      <c r="R3694" s="210"/>
      <c r="S3694" s="232"/>
      <c r="T3694" s="270"/>
    </row>
    <row r="3695" spans="14:20" x14ac:dyDescent="0.25">
      <c r="N3695" s="362"/>
      <c r="R3695" s="210"/>
      <c r="S3695" s="232"/>
      <c r="T3695" s="270"/>
    </row>
    <row r="3696" spans="14:20" x14ac:dyDescent="0.25">
      <c r="N3696" s="362"/>
      <c r="R3696" s="210"/>
      <c r="S3696" s="232"/>
      <c r="T3696" s="270"/>
    </row>
    <row r="3697" spans="14:20" x14ac:dyDescent="0.25">
      <c r="N3697" s="362"/>
      <c r="R3697" s="210"/>
      <c r="S3697" s="232"/>
      <c r="T3697" s="270"/>
    </row>
    <row r="3698" spans="14:20" x14ac:dyDescent="0.25">
      <c r="N3698" s="362"/>
      <c r="R3698" s="210"/>
      <c r="S3698" s="232"/>
      <c r="T3698" s="270"/>
    </row>
    <row r="3699" spans="14:20" x14ac:dyDescent="0.25">
      <c r="N3699" s="362"/>
      <c r="R3699" s="210"/>
      <c r="S3699" s="232"/>
      <c r="T3699" s="270"/>
    </row>
    <row r="3700" spans="14:20" x14ac:dyDescent="0.25">
      <c r="N3700" s="362"/>
      <c r="R3700" s="210"/>
      <c r="S3700" s="232"/>
      <c r="T3700" s="270"/>
    </row>
    <row r="3701" spans="14:20" x14ac:dyDescent="0.25">
      <c r="N3701" s="362"/>
      <c r="R3701" s="210"/>
      <c r="S3701" s="232"/>
      <c r="T3701" s="270"/>
    </row>
    <row r="3702" spans="14:20" x14ac:dyDescent="0.25">
      <c r="N3702" s="362"/>
      <c r="R3702" s="210"/>
      <c r="S3702" s="232"/>
      <c r="T3702" s="270"/>
    </row>
    <row r="3703" spans="14:20" x14ac:dyDescent="0.25">
      <c r="N3703" s="362"/>
      <c r="R3703" s="210"/>
      <c r="S3703" s="232"/>
      <c r="T3703" s="270"/>
    </row>
    <row r="3704" spans="14:20" x14ac:dyDescent="0.25">
      <c r="N3704" s="362"/>
      <c r="R3704" s="210"/>
      <c r="S3704" s="232"/>
      <c r="T3704" s="270"/>
    </row>
    <row r="3705" spans="14:20" x14ac:dyDescent="0.25">
      <c r="N3705" s="362"/>
      <c r="R3705" s="210"/>
      <c r="S3705" s="232"/>
      <c r="T3705" s="270"/>
    </row>
    <row r="3706" spans="14:20" x14ac:dyDescent="0.25">
      <c r="N3706" s="362"/>
      <c r="R3706" s="210"/>
      <c r="S3706" s="232"/>
      <c r="T3706" s="270"/>
    </row>
    <row r="3707" spans="14:20" x14ac:dyDescent="0.25">
      <c r="N3707" s="362"/>
      <c r="R3707" s="210"/>
      <c r="S3707" s="232"/>
      <c r="T3707" s="270"/>
    </row>
    <row r="3708" spans="14:20" x14ac:dyDescent="0.25">
      <c r="N3708" s="362"/>
      <c r="R3708" s="210"/>
      <c r="S3708" s="232"/>
      <c r="T3708" s="270"/>
    </row>
    <row r="3709" spans="14:20" x14ac:dyDescent="0.25">
      <c r="N3709" s="362"/>
      <c r="R3709" s="210"/>
      <c r="S3709" s="232"/>
      <c r="T3709" s="270"/>
    </row>
    <row r="3710" spans="14:20" x14ac:dyDescent="0.25">
      <c r="N3710" s="362"/>
      <c r="R3710" s="210"/>
      <c r="S3710" s="232"/>
      <c r="T3710" s="270"/>
    </row>
    <row r="3711" spans="14:20" x14ac:dyDescent="0.25">
      <c r="N3711" s="362"/>
      <c r="R3711" s="210"/>
      <c r="S3711" s="232"/>
      <c r="T3711" s="270"/>
    </row>
    <row r="3712" spans="14:20" x14ac:dyDescent="0.25">
      <c r="N3712" s="362"/>
      <c r="R3712" s="210"/>
      <c r="S3712" s="232"/>
      <c r="T3712" s="270"/>
    </row>
    <row r="3713" spans="14:20" x14ac:dyDescent="0.25">
      <c r="N3713" s="362"/>
      <c r="R3713" s="210"/>
      <c r="S3713" s="232"/>
      <c r="T3713" s="270"/>
    </row>
    <row r="3714" spans="14:20" x14ac:dyDescent="0.25">
      <c r="N3714" s="362"/>
      <c r="R3714" s="210"/>
      <c r="S3714" s="232"/>
      <c r="T3714" s="270"/>
    </row>
    <row r="3715" spans="14:20" x14ac:dyDescent="0.25">
      <c r="N3715" s="362"/>
      <c r="R3715" s="210"/>
      <c r="S3715" s="232"/>
      <c r="T3715" s="270"/>
    </row>
    <row r="3716" spans="14:20" x14ac:dyDescent="0.25">
      <c r="N3716" s="362"/>
      <c r="R3716" s="210"/>
      <c r="S3716" s="232"/>
      <c r="T3716" s="270"/>
    </row>
    <row r="3717" spans="14:20" x14ac:dyDescent="0.25">
      <c r="N3717" s="362"/>
      <c r="R3717" s="210"/>
      <c r="S3717" s="232"/>
      <c r="T3717" s="270"/>
    </row>
    <row r="3718" spans="14:20" x14ac:dyDescent="0.25">
      <c r="N3718" s="362"/>
      <c r="R3718" s="210"/>
      <c r="S3718" s="232"/>
      <c r="T3718" s="270"/>
    </row>
    <row r="3719" spans="14:20" x14ac:dyDescent="0.25">
      <c r="N3719" s="362"/>
      <c r="R3719" s="210"/>
      <c r="S3719" s="232"/>
      <c r="T3719" s="270"/>
    </row>
    <row r="3720" spans="14:20" x14ac:dyDescent="0.25">
      <c r="N3720" s="362"/>
      <c r="R3720" s="210"/>
      <c r="S3720" s="232"/>
      <c r="T3720" s="270"/>
    </row>
    <row r="3721" spans="14:20" x14ac:dyDescent="0.25">
      <c r="N3721" s="362"/>
      <c r="R3721" s="210"/>
      <c r="S3721" s="232"/>
      <c r="T3721" s="270"/>
    </row>
    <row r="3722" spans="14:20" x14ac:dyDescent="0.25">
      <c r="N3722" s="362"/>
      <c r="R3722" s="210"/>
      <c r="S3722" s="232"/>
      <c r="T3722" s="270"/>
    </row>
    <row r="3723" spans="14:20" x14ac:dyDescent="0.25">
      <c r="N3723" s="362"/>
      <c r="R3723" s="210"/>
      <c r="S3723" s="232"/>
      <c r="T3723" s="270"/>
    </row>
    <row r="3724" spans="14:20" x14ac:dyDescent="0.25">
      <c r="N3724" s="362"/>
      <c r="R3724" s="210"/>
      <c r="S3724" s="232"/>
      <c r="T3724" s="270"/>
    </row>
    <row r="3725" spans="14:20" x14ac:dyDescent="0.25">
      <c r="N3725" s="362"/>
      <c r="R3725" s="210"/>
      <c r="S3725" s="232"/>
      <c r="T3725" s="270"/>
    </row>
    <row r="3726" spans="14:20" x14ac:dyDescent="0.25">
      <c r="N3726" s="362"/>
      <c r="R3726" s="210"/>
      <c r="S3726" s="232"/>
      <c r="T3726" s="270"/>
    </row>
    <row r="3727" spans="14:20" x14ac:dyDescent="0.25">
      <c r="N3727" s="362"/>
      <c r="R3727" s="210"/>
      <c r="S3727" s="232"/>
      <c r="T3727" s="270"/>
    </row>
    <row r="3728" spans="14:20" x14ac:dyDescent="0.25">
      <c r="N3728" s="362"/>
      <c r="R3728" s="210"/>
      <c r="S3728" s="232"/>
      <c r="T3728" s="270"/>
    </row>
    <row r="3729" spans="14:20" x14ac:dyDescent="0.25">
      <c r="N3729" s="362"/>
      <c r="R3729" s="210"/>
      <c r="S3729" s="232"/>
      <c r="T3729" s="270"/>
    </row>
    <row r="3730" spans="14:20" x14ac:dyDescent="0.25">
      <c r="N3730" s="362"/>
      <c r="R3730" s="210"/>
      <c r="S3730" s="232"/>
      <c r="T3730" s="270"/>
    </row>
    <row r="3731" spans="14:20" x14ac:dyDescent="0.25">
      <c r="N3731" s="362"/>
      <c r="R3731" s="210"/>
      <c r="S3731" s="232"/>
      <c r="T3731" s="270"/>
    </row>
    <row r="3732" spans="14:20" x14ac:dyDescent="0.25">
      <c r="N3732" s="362"/>
      <c r="R3732" s="210"/>
      <c r="S3732" s="232"/>
      <c r="T3732" s="270"/>
    </row>
    <row r="3733" spans="14:20" x14ac:dyDescent="0.25">
      <c r="N3733" s="362"/>
      <c r="R3733" s="210"/>
      <c r="S3733" s="232"/>
      <c r="T3733" s="270"/>
    </row>
    <row r="3734" spans="14:20" x14ac:dyDescent="0.25">
      <c r="N3734" s="362"/>
      <c r="R3734" s="210"/>
      <c r="S3734" s="232"/>
      <c r="T3734" s="270"/>
    </row>
    <row r="3735" spans="14:20" x14ac:dyDescent="0.25">
      <c r="N3735" s="362"/>
      <c r="R3735" s="210"/>
      <c r="S3735" s="232"/>
      <c r="T3735" s="270"/>
    </row>
    <row r="3736" spans="14:20" x14ac:dyDescent="0.25">
      <c r="N3736" s="362"/>
      <c r="R3736" s="210"/>
      <c r="S3736" s="232"/>
      <c r="T3736" s="270"/>
    </row>
    <row r="3737" spans="14:20" x14ac:dyDescent="0.25">
      <c r="N3737" s="362"/>
      <c r="R3737" s="210"/>
      <c r="S3737" s="232"/>
      <c r="T3737" s="270"/>
    </row>
    <row r="3738" spans="14:20" x14ac:dyDescent="0.25">
      <c r="N3738" s="362"/>
      <c r="R3738" s="210"/>
      <c r="S3738" s="232"/>
      <c r="T3738" s="270"/>
    </row>
    <row r="3739" spans="14:20" x14ac:dyDescent="0.25">
      <c r="N3739" s="362"/>
      <c r="R3739" s="210"/>
      <c r="S3739" s="232"/>
      <c r="T3739" s="270"/>
    </row>
    <row r="3740" spans="14:20" x14ac:dyDescent="0.25">
      <c r="N3740" s="362"/>
      <c r="R3740" s="210"/>
      <c r="S3740" s="232"/>
      <c r="T3740" s="270"/>
    </row>
    <row r="3741" spans="14:20" x14ac:dyDescent="0.25">
      <c r="N3741" s="362"/>
      <c r="R3741" s="210"/>
      <c r="S3741" s="232"/>
      <c r="T3741" s="270"/>
    </row>
    <row r="3742" spans="14:20" x14ac:dyDescent="0.25">
      <c r="N3742" s="362"/>
      <c r="R3742" s="210"/>
      <c r="S3742" s="232"/>
      <c r="T3742" s="270"/>
    </row>
    <row r="3743" spans="14:20" x14ac:dyDescent="0.25">
      <c r="N3743" s="362"/>
      <c r="R3743" s="210"/>
      <c r="S3743" s="232"/>
      <c r="T3743" s="270"/>
    </row>
    <row r="3744" spans="14:20" x14ac:dyDescent="0.25">
      <c r="N3744" s="362"/>
      <c r="R3744" s="210"/>
      <c r="S3744" s="232"/>
      <c r="T3744" s="270"/>
    </row>
    <row r="3745" spans="14:20" x14ac:dyDescent="0.25">
      <c r="N3745" s="362"/>
      <c r="R3745" s="210"/>
      <c r="S3745" s="232"/>
      <c r="T3745" s="270"/>
    </row>
    <row r="3746" spans="14:20" x14ac:dyDescent="0.25">
      <c r="N3746" s="362"/>
      <c r="R3746" s="210"/>
      <c r="S3746" s="232"/>
      <c r="T3746" s="270"/>
    </row>
    <row r="3747" spans="14:20" x14ac:dyDescent="0.25">
      <c r="N3747" s="362"/>
      <c r="R3747" s="210"/>
      <c r="S3747" s="232"/>
      <c r="T3747" s="270"/>
    </row>
    <row r="3748" spans="14:20" x14ac:dyDescent="0.25">
      <c r="N3748" s="362"/>
      <c r="R3748" s="210"/>
      <c r="S3748" s="232"/>
      <c r="T3748" s="270"/>
    </row>
    <row r="3749" spans="14:20" x14ac:dyDescent="0.25">
      <c r="N3749" s="362"/>
      <c r="R3749" s="210"/>
      <c r="S3749" s="232"/>
      <c r="T3749" s="270"/>
    </row>
    <row r="3750" spans="14:20" x14ac:dyDescent="0.25">
      <c r="N3750" s="362"/>
      <c r="R3750" s="210"/>
      <c r="S3750" s="232"/>
      <c r="T3750" s="270"/>
    </row>
    <row r="3751" spans="14:20" x14ac:dyDescent="0.25">
      <c r="N3751" s="362"/>
      <c r="R3751" s="210"/>
      <c r="S3751" s="232"/>
      <c r="T3751" s="270"/>
    </row>
    <row r="3752" spans="14:20" x14ac:dyDescent="0.25">
      <c r="N3752" s="362"/>
      <c r="R3752" s="210"/>
      <c r="S3752" s="232"/>
      <c r="T3752" s="270"/>
    </row>
    <row r="3753" spans="14:20" x14ac:dyDescent="0.25">
      <c r="N3753" s="362"/>
      <c r="R3753" s="210"/>
      <c r="S3753" s="232"/>
      <c r="T3753" s="270"/>
    </row>
    <row r="3754" spans="14:20" x14ac:dyDescent="0.25">
      <c r="N3754" s="362"/>
      <c r="R3754" s="210"/>
      <c r="S3754" s="232"/>
      <c r="T3754" s="270"/>
    </row>
    <row r="3755" spans="14:20" x14ac:dyDescent="0.25">
      <c r="N3755" s="362"/>
      <c r="R3755" s="210"/>
      <c r="S3755" s="232"/>
      <c r="T3755" s="270"/>
    </row>
    <row r="3756" spans="14:20" x14ac:dyDescent="0.25">
      <c r="N3756" s="362"/>
      <c r="R3756" s="210"/>
      <c r="S3756" s="232"/>
      <c r="T3756" s="270"/>
    </row>
    <row r="3757" spans="14:20" x14ac:dyDescent="0.25">
      <c r="N3757" s="362"/>
      <c r="R3757" s="210"/>
      <c r="S3757" s="232"/>
      <c r="T3757" s="270"/>
    </row>
    <row r="3758" spans="14:20" x14ac:dyDescent="0.25">
      <c r="N3758" s="362"/>
      <c r="R3758" s="210"/>
      <c r="S3758" s="232"/>
      <c r="T3758" s="270"/>
    </row>
    <row r="3759" spans="14:20" x14ac:dyDescent="0.25">
      <c r="N3759" s="362"/>
      <c r="R3759" s="210"/>
      <c r="S3759" s="232"/>
      <c r="T3759" s="270"/>
    </row>
    <row r="3760" spans="14:20" x14ac:dyDescent="0.25">
      <c r="N3760" s="362"/>
      <c r="R3760" s="210"/>
      <c r="S3760" s="232"/>
      <c r="T3760" s="270"/>
    </row>
    <row r="3761" spans="14:20" x14ac:dyDescent="0.25">
      <c r="N3761" s="362"/>
      <c r="R3761" s="210"/>
      <c r="S3761" s="232"/>
      <c r="T3761" s="270"/>
    </row>
    <row r="3762" spans="14:20" x14ac:dyDescent="0.25">
      <c r="N3762" s="362"/>
      <c r="R3762" s="210"/>
      <c r="S3762" s="232"/>
      <c r="T3762" s="270"/>
    </row>
    <row r="3763" spans="14:20" x14ac:dyDescent="0.25">
      <c r="N3763" s="362"/>
      <c r="R3763" s="210"/>
      <c r="S3763" s="232"/>
      <c r="T3763" s="270"/>
    </row>
    <row r="3764" spans="14:20" x14ac:dyDescent="0.25">
      <c r="N3764" s="362"/>
      <c r="R3764" s="210"/>
      <c r="S3764" s="232"/>
      <c r="T3764" s="270"/>
    </row>
    <row r="3765" spans="14:20" x14ac:dyDescent="0.25">
      <c r="N3765" s="362"/>
      <c r="R3765" s="210"/>
      <c r="S3765" s="232"/>
      <c r="T3765" s="270"/>
    </row>
    <row r="3766" spans="14:20" x14ac:dyDescent="0.25">
      <c r="N3766" s="362"/>
      <c r="R3766" s="210"/>
      <c r="S3766" s="232"/>
      <c r="T3766" s="270"/>
    </row>
    <row r="3767" spans="14:20" x14ac:dyDescent="0.25">
      <c r="N3767" s="362"/>
      <c r="R3767" s="210"/>
      <c r="S3767" s="232"/>
      <c r="T3767" s="270"/>
    </row>
    <row r="3768" spans="14:20" x14ac:dyDescent="0.25">
      <c r="N3768" s="362"/>
      <c r="R3768" s="210"/>
      <c r="S3768" s="232"/>
      <c r="T3768" s="270"/>
    </row>
    <row r="3769" spans="14:20" x14ac:dyDescent="0.25">
      <c r="N3769" s="362"/>
      <c r="R3769" s="210"/>
      <c r="S3769" s="232"/>
      <c r="T3769" s="270"/>
    </row>
    <row r="3770" spans="14:20" x14ac:dyDescent="0.25">
      <c r="N3770" s="362"/>
      <c r="R3770" s="210"/>
      <c r="S3770" s="232"/>
      <c r="T3770" s="270"/>
    </row>
    <row r="3771" spans="14:20" x14ac:dyDescent="0.25">
      <c r="N3771" s="362"/>
      <c r="R3771" s="210"/>
      <c r="S3771" s="232"/>
      <c r="T3771" s="270"/>
    </row>
    <row r="3772" spans="14:20" x14ac:dyDescent="0.25">
      <c r="N3772" s="362"/>
      <c r="R3772" s="210"/>
      <c r="S3772" s="232"/>
      <c r="T3772" s="270"/>
    </row>
    <row r="3773" spans="14:20" x14ac:dyDescent="0.25">
      <c r="N3773" s="362"/>
      <c r="R3773" s="210"/>
      <c r="S3773" s="232"/>
      <c r="T3773" s="270"/>
    </row>
    <row r="3774" spans="14:20" x14ac:dyDescent="0.25">
      <c r="N3774" s="362"/>
      <c r="R3774" s="210"/>
      <c r="S3774" s="232"/>
      <c r="T3774" s="270"/>
    </row>
    <row r="3775" spans="14:20" x14ac:dyDescent="0.25">
      <c r="N3775" s="362"/>
      <c r="R3775" s="210"/>
      <c r="S3775" s="232"/>
      <c r="T3775" s="270"/>
    </row>
    <row r="3776" spans="14:20" x14ac:dyDescent="0.25">
      <c r="N3776" s="362"/>
      <c r="R3776" s="210"/>
      <c r="S3776" s="232"/>
      <c r="T3776" s="270"/>
    </row>
    <row r="3777" spans="14:20" x14ac:dyDescent="0.25">
      <c r="N3777" s="362"/>
      <c r="R3777" s="210"/>
      <c r="S3777" s="232"/>
      <c r="T3777" s="270"/>
    </row>
    <row r="3778" spans="14:20" x14ac:dyDescent="0.25">
      <c r="N3778" s="362"/>
      <c r="R3778" s="210"/>
      <c r="S3778" s="232"/>
      <c r="T3778" s="270"/>
    </row>
    <row r="3779" spans="14:20" x14ac:dyDescent="0.25">
      <c r="N3779" s="362"/>
      <c r="R3779" s="210"/>
      <c r="S3779" s="232"/>
      <c r="T3779" s="270"/>
    </row>
    <row r="3780" spans="14:20" x14ac:dyDescent="0.25">
      <c r="N3780" s="362"/>
      <c r="R3780" s="210"/>
      <c r="S3780" s="232"/>
      <c r="T3780" s="270"/>
    </row>
    <row r="3781" spans="14:20" x14ac:dyDescent="0.25">
      <c r="N3781" s="362"/>
      <c r="R3781" s="210"/>
      <c r="S3781" s="232"/>
      <c r="T3781" s="270"/>
    </row>
    <row r="3782" spans="14:20" x14ac:dyDescent="0.25">
      <c r="N3782" s="362"/>
      <c r="R3782" s="210"/>
      <c r="S3782" s="232"/>
      <c r="T3782" s="270"/>
    </row>
    <row r="3783" spans="14:20" x14ac:dyDescent="0.25">
      <c r="N3783" s="362"/>
      <c r="R3783" s="210"/>
      <c r="S3783" s="232"/>
      <c r="T3783" s="270"/>
    </row>
    <row r="3784" spans="14:20" x14ac:dyDescent="0.25">
      <c r="N3784" s="362"/>
      <c r="R3784" s="210"/>
      <c r="S3784" s="232"/>
      <c r="T3784" s="270"/>
    </row>
    <row r="3785" spans="14:20" x14ac:dyDescent="0.25">
      <c r="N3785" s="362"/>
      <c r="R3785" s="210"/>
      <c r="S3785" s="232"/>
      <c r="T3785" s="270"/>
    </row>
    <row r="3786" spans="14:20" x14ac:dyDescent="0.25">
      <c r="N3786" s="362"/>
      <c r="R3786" s="210"/>
      <c r="S3786" s="232"/>
      <c r="T3786" s="270"/>
    </row>
    <row r="3787" spans="14:20" x14ac:dyDescent="0.25">
      <c r="N3787" s="362"/>
      <c r="R3787" s="210"/>
      <c r="S3787" s="232"/>
      <c r="T3787" s="270"/>
    </row>
    <row r="3788" spans="14:20" x14ac:dyDescent="0.25">
      <c r="N3788" s="362"/>
      <c r="R3788" s="210"/>
      <c r="S3788" s="232"/>
      <c r="T3788" s="270"/>
    </row>
    <row r="3789" spans="14:20" x14ac:dyDescent="0.25">
      <c r="N3789" s="362"/>
      <c r="R3789" s="210"/>
      <c r="S3789" s="232"/>
      <c r="T3789" s="270"/>
    </row>
    <row r="3790" spans="14:20" x14ac:dyDescent="0.25">
      <c r="N3790" s="362"/>
      <c r="R3790" s="210"/>
      <c r="S3790" s="232"/>
      <c r="T3790" s="270"/>
    </row>
    <row r="3791" spans="14:20" x14ac:dyDescent="0.25">
      <c r="N3791" s="362"/>
      <c r="R3791" s="210"/>
      <c r="S3791" s="232"/>
      <c r="T3791" s="270"/>
    </row>
    <row r="3792" spans="14:20" x14ac:dyDescent="0.25">
      <c r="N3792" s="362"/>
      <c r="R3792" s="210"/>
      <c r="S3792" s="232"/>
      <c r="T3792" s="270"/>
    </row>
    <row r="3793" spans="14:20" x14ac:dyDescent="0.25">
      <c r="N3793" s="362"/>
      <c r="R3793" s="210"/>
      <c r="S3793" s="232"/>
      <c r="T3793" s="270"/>
    </row>
    <row r="3794" spans="14:20" x14ac:dyDescent="0.25">
      <c r="N3794" s="362"/>
      <c r="R3794" s="210"/>
      <c r="S3794" s="232"/>
      <c r="T3794" s="270"/>
    </row>
    <row r="3795" spans="14:20" x14ac:dyDescent="0.25">
      <c r="N3795" s="362"/>
      <c r="R3795" s="210"/>
      <c r="S3795" s="232"/>
      <c r="T3795" s="270"/>
    </row>
    <row r="3796" spans="14:20" x14ac:dyDescent="0.25">
      <c r="N3796" s="362"/>
      <c r="R3796" s="210"/>
      <c r="S3796" s="232"/>
      <c r="T3796" s="270"/>
    </row>
    <row r="3797" spans="14:20" x14ac:dyDescent="0.25">
      <c r="N3797" s="362"/>
      <c r="R3797" s="210"/>
      <c r="S3797" s="232"/>
      <c r="T3797" s="270"/>
    </row>
    <row r="3798" spans="14:20" x14ac:dyDescent="0.25">
      <c r="N3798" s="362"/>
      <c r="R3798" s="210"/>
      <c r="S3798" s="232"/>
      <c r="T3798" s="270"/>
    </row>
    <row r="3799" spans="14:20" x14ac:dyDescent="0.25">
      <c r="N3799" s="362"/>
      <c r="R3799" s="210"/>
      <c r="S3799" s="232"/>
      <c r="T3799" s="270"/>
    </row>
    <row r="3800" spans="14:20" x14ac:dyDescent="0.25">
      <c r="N3800" s="362"/>
      <c r="R3800" s="210"/>
      <c r="S3800" s="232"/>
      <c r="T3800" s="270"/>
    </row>
    <row r="3801" spans="14:20" x14ac:dyDescent="0.25">
      <c r="N3801" s="362"/>
      <c r="R3801" s="210"/>
      <c r="S3801" s="232"/>
      <c r="T3801" s="270"/>
    </row>
    <row r="3802" spans="14:20" x14ac:dyDescent="0.25">
      <c r="N3802" s="362"/>
      <c r="R3802" s="210"/>
      <c r="S3802" s="232"/>
      <c r="T3802" s="270"/>
    </row>
    <row r="3803" spans="14:20" x14ac:dyDescent="0.25">
      <c r="N3803" s="362"/>
      <c r="R3803" s="210"/>
      <c r="S3803" s="232"/>
      <c r="T3803" s="270"/>
    </row>
    <row r="3804" spans="14:20" x14ac:dyDescent="0.25">
      <c r="N3804" s="362"/>
      <c r="R3804" s="210"/>
      <c r="S3804" s="232"/>
      <c r="T3804" s="270"/>
    </row>
    <row r="3805" spans="14:20" x14ac:dyDescent="0.25">
      <c r="N3805" s="362"/>
      <c r="R3805" s="210"/>
      <c r="S3805" s="232"/>
      <c r="T3805" s="270"/>
    </row>
    <row r="3806" spans="14:20" x14ac:dyDescent="0.25">
      <c r="N3806" s="362"/>
      <c r="R3806" s="210"/>
      <c r="S3806" s="232"/>
      <c r="T3806" s="270"/>
    </row>
    <row r="3807" spans="14:20" x14ac:dyDescent="0.25">
      <c r="N3807" s="362"/>
      <c r="R3807" s="210"/>
      <c r="S3807" s="232"/>
      <c r="T3807" s="270"/>
    </row>
    <row r="3808" spans="14:20" x14ac:dyDescent="0.25">
      <c r="N3808" s="362"/>
      <c r="R3808" s="210"/>
      <c r="S3808" s="232"/>
      <c r="T3808" s="270"/>
    </row>
    <row r="3809" spans="14:20" x14ac:dyDescent="0.25">
      <c r="N3809" s="362"/>
      <c r="R3809" s="210"/>
      <c r="S3809" s="232"/>
      <c r="T3809" s="270"/>
    </row>
    <row r="3810" spans="14:20" x14ac:dyDescent="0.25">
      <c r="N3810" s="362"/>
      <c r="R3810" s="210"/>
      <c r="S3810" s="232"/>
      <c r="T3810" s="270"/>
    </row>
    <row r="3811" spans="14:20" x14ac:dyDescent="0.25">
      <c r="N3811" s="362"/>
      <c r="R3811" s="210"/>
      <c r="S3811" s="232"/>
      <c r="T3811" s="270"/>
    </row>
    <row r="3812" spans="14:20" x14ac:dyDescent="0.25">
      <c r="N3812" s="362"/>
      <c r="R3812" s="210"/>
      <c r="S3812" s="232"/>
      <c r="T3812" s="270"/>
    </row>
    <row r="3813" spans="14:20" x14ac:dyDescent="0.25">
      <c r="N3813" s="362"/>
      <c r="R3813" s="210"/>
      <c r="S3813" s="232"/>
      <c r="T3813" s="270"/>
    </row>
    <row r="3814" spans="14:20" x14ac:dyDescent="0.25">
      <c r="N3814" s="362"/>
      <c r="R3814" s="210"/>
      <c r="S3814" s="232"/>
      <c r="T3814" s="270"/>
    </row>
    <row r="3815" spans="14:20" x14ac:dyDescent="0.25">
      <c r="N3815" s="362"/>
      <c r="R3815" s="210"/>
      <c r="S3815" s="232"/>
      <c r="T3815" s="270"/>
    </row>
    <row r="3816" spans="14:20" x14ac:dyDescent="0.25">
      <c r="N3816" s="362"/>
      <c r="R3816" s="210"/>
      <c r="S3816" s="232"/>
      <c r="T3816" s="270"/>
    </row>
    <row r="3817" spans="14:20" x14ac:dyDescent="0.25">
      <c r="N3817" s="362"/>
      <c r="R3817" s="210"/>
      <c r="S3817" s="232"/>
      <c r="T3817" s="270"/>
    </row>
    <row r="3818" spans="14:20" x14ac:dyDescent="0.25">
      <c r="N3818" s="362"/>
      <c r="R3818" s="210"/>
      <c r="S3818" s="232"/>
      <c r="T3818" s="270"/>
    </row>
    <row r="3819" spans="14:20" x14ac:dyDescent="0.25">
      <c r="N3819" s="362"/>
      <c r="R3819" s="210"/>
      <c r="S3819" s="232"/>
      <c r="T3819" s="270"/>
    </row>
    <row r="3820" spans="14:20" x14ac:dyDescent="0.25">
      <c r="N3820" s="362"/>
      <c r="R3820" s="210"/>
      <c r="S3820" s="232"/>
      <c r="T3820" s="270"/>
    </row>
    <row r="3821" spans="14:20" x14ac:dyDescent="0.25">
      <c r="N3821" s="362"/>
      <c r="R3821" s="210"/>
      <c r="S3821" s="232"/>
      <c r="T3821" s="270"/>
    </row>
    <row r="3822" spans="14:20" x14ac:dyDescent="0.25">
      <c r="N3822" s="362"/>
      <c r="R3822" s="210"/>
      <c r="S3822" s="232"/>
      <c r="T3822" s="270"/>
    </row>
    <row r="3823" spans="14:20" x14ac:dyDescent="0.25">
      <c r="N3823" s="362"/>
      <c r="R3823" s="210"/>
      <c r="S3823" s="232"/>
      <c r="T3823" s="270"/>
    </row>
    <row r="3824" spans="14:20" x14ac:dyDescent="0.25">
      <c r="N3824" s="362"/>
      <c r="R3824" s="210"/>
      <c r="S3824" s="232"/>
      <c r="T3824" s="270"/>
    </row>
    <row r="3825" spans="14:20" x14ac:dyDescent="0.25">
      <c r="N3825" s="362"/>
      <c r="R3825" s="210"/>
      <c r="S3825" s="232"/>
      <c r="T3825" s="270"/>
    </row>
    <row r="3826" spans="14:20" x14ac:dyDescent="0.25">
      <c r="N3826" s="362"/>
      <c r="R3826" s="210"/>
      <c r="S3826" s="232"/>
      <c r="T3826" s="270"/>
    </row>
    <row r="3827" spans="14:20" x14ac:dyDescent="0.25">
      <c r="N3827" s="362"/>
      <c r="R3827" s="210"/>
      <c r="S3827" s="232"/>
      <c r="T3827" s="270"/>
    </row>
    <row r="3828" spans="14:20" x14ac:dyDescent="0.25">
      <c r="N3828" s="362"/>
      <c r="R3828" s="210"/>
      <c r="S3828" s="232"/>
      <c r="T3828" s="270"/>
    </row>
    <row r="3829" spans="14:20" x14ac:dyDescent="0.25">
      <c r="N3829" s="362"/>
      <c r="R3829" s="210"/>
      <c r="S3829" s="232"/>
      <c r="T3829" s="270"/>
    </row>
    <row r="3830" spans="14:20" x14ac:dyDescent="0.25">
      <c r="N3830" s="362"/>
      <c r="R3830" s="210"/>
      <c r="S3830" s="232"/>
      <c r="T3830" s="270"/>
    </row>
    <row r="3831" spans="14:20" x14ac:dyDescent="0.25">
      <c r="N3831" s="362"/>
      <c r="R3831" s="210"/>
      <c r="S3831" s="232"/>
      <c r="T3831" s="270"/>
    </row>
    <row r="3832" spans="14:20" x14ac:dyDescent="0.25">
      <c r="N3832" s="362"/>
      <c r="R3832" s="210"/>
      <c r="S3832" s="232"/>
      <c r="T3832" s="270"/>
    </row>
    <row r="3833" spans="14:20" x14ac:dyDescent="0.25">
      <c r="N3833" s="362"/>
      <c r="R3833" s="210"/>
      <c r="S3833" s="232"/>
      <c r="T3833" s="270"/>
    </row>
    <row r="3834" spans="14:20" x14ac:dyDescent="0.25">
      <c r="N3834" s="362"/>
      <c r="R3834" s="210"/>
      <c r="S3834" s="232"/>
      <c r="T3834" s="270"/>
    </row>
    <row r="3835" spans="14:20" x14ac:dyDescent="0.25">
      <c r="N3835" s="362"/>
      <c r="R3835" s="210"/>
      <c r="S3835" s="232"/>
      <c r="T3835" s="270"/>
    </row>
    <row r="3836" spans="14:20" x14ac:dyDescent="0.25">
      <c r="N3836" s="362"/>
      <c r="R3836" s="210"/>
      <c r="S3836" s="232"/>
      <c r="T3836" s="270"/>
    </row>
    <row r="3837" spans="14:20" x14ac:dyDescent="0.25">
      <c r="N3837" s="362"/>
      <c r="R3837" s="210"/>
      <c r="S3837" s="232"/>
      <c r="T3837" s="270"/>
    </row>
    <row r="3838" spans="14:20" x14ac:dyDescent="0.25">
      <c r="N3838" s="362"/>
      <c r="R3838" s="210"/>
      <c r="S3838" s="232"/>
      <c r="T3838" s="270"/>
    </row>
    <row r="3839" spans="14:20" x14ac:dyDescent="0.25">
      <c r="N3839" s="362"/>
      <c r="R3839" s="210"/>
      <c r="S3839" s="232"/>
      <c r="T3839" s="270"/>
    </row>
    <row r="3840" spans="14:20" x14ac:dyDescent="0.25">
      <c r="N3840" s="362"/>
      <c r="R3840" s="210"/>
      <c r="S3840" s="232"/>
      <c r="T3840" s="270"/>
    </row>
    <row r="3841" spans="14:20" x14ac:dyDescent="0.25">
      <c r="N3841" s="362"/>
      <c r="R3841" s="210"/>
      <c r="S3841" s="232"/>
      <c r="T3841" s="270"/>
    </row>
    <row r="3842" spans="14:20" x14ac:dyDescent="0.25">
      <c r="N3842" s="362"/>
      <c r="R3842" s="210"/>
      <c r="S3842" s="232"/>
      <c r="T3842" s="270"/>
    </row>
    <row r="3843" spans="14:20" x14ac:dyDescent="0.25">
      <c r="N3843" s="362"/>
      <c r="R3843" s="210"/>
      <c r="S3843" s="232"/>
      <c r="T3843" s="270"/>
    </row>
    <row r="3844" spans="14:20" x14ac:dyDescent="0.25">
      <c r="N3844" s="362"/>
      <c r="R3844" s="210"/>
      <c r="S3844" s="232"/>
      <c r="T3844" s="270"/>
    </row>
    <row r="3845" spans="14:20" x14ac:dyDescent="0.25">
      <c r="N3845" s="362"/>
      <c r="R3845" s="210"/>
      <c r="S3845" s="232"/>
      <c r="T3845" s="270"/>
    </row>
    <row r="3846" spans="14:20" x14ac:dyDescent="0.25">
      <c r="N3846" s="362"/>
      <c r="R3846" s="210"/>
      <c r="S3846" s="232"/>
      <c r="T3846" s="270"/>
    </row>
    <row r="3847" spans="14:20" x14ac:dyDescent="0.25">
      <c r="N3847" s="362"/>
      <c r="R3847" s="210"/>
      <c r="S3847" s="232"/>
      <c r="T3847" s="270"/>
    </row>
    <row r="3848" spans="14:20" x14ac:dyDescent="0.25">
      <c r="N3848" s="362"/>
      <c r="R3848" s="210"/>
      <c r="S3848" s="232"/>
      <c r="T3848" s="270"/>
    </row>
    <row r="3849" spans="14:20" x14ac:dyDescent="0.25">
      <c r="N3849" s="362"/>
      <c r="R3849" s="210"/>
      <c r="S3849" s="232"/>
      <c r="T3849" s="270"/>
    </row>
    <row r="3850" spans="14:20" x14ac:dyDescent="0.25">
      <c r="N3850" s="362"/>
      <c r="R3850" s="210"/>
      <c r="S3850" s="232"/>
      <c r="T3850" s="270"/>
    </row>
    <row r="3851" spans="14:20" x14ac:dyDescent="0.25">
      <c r="N3851" s="362"/>
      <c r="R3851" s="210"/>
      <c r="S3851" s="232"/>
      <c r="T3851" s="270"/>
    </row>
    <row r="3852" spans="14:20" x14ac:dyDescent="0.25">
      <c r="N3852" s="362"/>
      <c r="R3852" s="210"/>
      <c r="S3852" s="232"/>
      <c r="T3852" s="270"/>
    </row>
    <row r="3853" spans="14:20" x14ac:dyDescent="0.25">
      <c r="N3853" s="362"/>
      <c r="R3853" s="210"/>
      <c r="S3853" s="232"/>
      <c r="T3853" s="270"/>
    </row>
    <row r="3854" spans="14:20" x14ac:dyDescent="0.25">
      <c r="N3854" s="362"/>
      <c r="R3854" s="210"/>
      <c r="S3854" s="232"/>
      <c r="T3854" s="270"/>
    </row>
    <row r="3855" spans="14:20" x14ac:dyDescent="0.25">
      <c r="N3855" s="362"/>
      <c r="R3855" s="210"/>
      <c r="S3855" s="232"/>
      <c r="T3855" s="270"/>
    </row>
    <row r="3856" spans="14:20" x14ac:dyDescent="0.25">
      <c r="N3856" s="362"/>
      <c r="R3856" s="210"/>
      <c r="S3856" s="232"/>
      <c r="T3856" s="270"/>
    </row>
    <row r="3857" spans="14:20" x14ac:dyDescent="0.25">
      <c r="N3857" s="362"/>
      <c r="R3857" s="210"/>
      <c r="S3857" s="232"/>
      <c r="T3857" s="270"/>
    </row>
    <row r="3858" spans="14:20" x14ac:dyDescent="0.25">
      <c r="N3858" s="362"/>
      <c r="R3858" s="210"/>
      <c r="S3858" s="232"/>
      <c r="T3858" s="270"/>
    </row>
    <row r="3859" spans="14:20" x14ac:dyDescent="0.25">
      <c r="N3859" s="362"/>
      <c r="R3859" s="210"/>
      <c r="S3859" s="232"/>
      <c r="T3859" s="270"/>
    </row>
    <row r="3860" spans="14:20" x14ac:dyDescent="0.25">
      <c r="N3860" s="362"/>
      <c r="R3860" s="210"/>
      <c r="S3860" s="232"/>
      <c r="T3860" s="270"/>
    </row>
    <row r="3861" spans="14:20" x14ac:dyDescent="0.25">
      <c r="N3861" s="362"/>
      <c r="R3861" s="210"/>
      <c r="S3861" s="232"/>
      <c r="T3861" s="270"/>
    </row>
    <row r="3862" spans="14:20" x14ac:dyDescent="0.25">
      <c r="N3862" s="362"/>
      <c r="R3862" s="210"/>
      <c r="S3862" s="232"/>
      <c r="T3862" s="270"/>
    </row>
    <row r="3863" spans="14:20" x14ac:dyDescent="0.25">
      <c r="N3863" s="362"/>
      <c r="R3863" s="210"/>
      <c r="S3863" s="232"/>
      <c r="T3863" s="270"/>
    </row>
    <row r="3864" spans="14:20" x14ac:dyDescent="0.25">
      <c r="N3864" s="362"/>
      <c r="R3864" s="210"/>
      <c r="S3864" s="232"/>
      <c r="T3864" s="270"/>
    </row>
    <row r="3865" spans="14:20" x14ac:dyDescent="0.25">
      <c r="N3865" s="362"/>
      <c r="R3865" s="210"/>
      <c r="S3865" s="232"/>
      <c r="T3865" s="270"/>
    </row>
    <row r="3866" spans="14:20" x14ac:dyDescent="0.25">
      <c r="N3866" s="362"/>
      <c r="R3866" s="210"/>
      <c r="S3866" s="232"/>
      <c r="T3866" s="270"/>
    </row>
    <row r="3867" spans="14:20" x14ac:dyDescent="0.25">
      <c r="N3867" s="362"/>
      <c r="R3867" s="210"/>
      <c r="S3867" s="232"/>
      <c r="T3867" s="270"/>
    </row>
    <row r="3868" spans="14:20" x14ac:dyDescent="0.25">
      <c r="N3868" s="362"/>
      <c r="R3868" s="210"/>
      <c r="S3868" s="232"/>
      <c r="T3868" s="270"/>
    </row>
    <row r="3869" spans="14:20" x14ac:dyDescent="0.25">
      <c r="N3869" s="362"/>
      <c r="R3869" s="210"/>
      <c r="S3869" s="232"/>
      <c r="T3869" s="270"/>
    </row>
    <row r="3870" spans="14:20" x14ac:dyDescent="0.25">
      <c r="N3870" s="362"/>
      <c r="R3870" s="210"/>
      <c r="S3870" s="232"/>
      <c r="T3870" s="270"/>
    </row>
    <row r="3871" spans="14:20" x14ac:dyDescent="0.25">
      <c r="N3871" s="362"/>
      <c r="R3871" s="210"/>
      <c r="S3871" s="232"/>
      <c r="T3871" s="270"/>
    </row>
    <row r="3872" spans="14:20" x14ac:dyDescent="0.25">
      <c r="N3872" s="362"/>
      <c r="R3872" s="210"/>
      <c r="S3872" s="232"/>
      <c r="T3872" s="270"/>
    </row>
    <row r="3873" spans="14:20" x14ac:dyDescent="0.25">
      <c r="N3873" s="362"/>
      <c r="R3873" s="210"/>
      <c r="S3873" s="232"/>
      <c r="T3873" s="270"/>
    </row>
    <row r="3874" spans="14:20" x14ac:dyDescent="0.25">
      <c r="N3874" s="362"/>
      <c r="R3874" s="210"/>
      <c r="S3874" s="232"/>
      <c r="T3874" s="270"/>
    </row>
    <row r="3875" spans="14:20" x14ac:dyDescent="0.25">
      <c r="N3875" s="362"/>
      <c r="R3875" s="210"/>
      <c r="S3875" s="232"/>
      <c r="T3875" s="270"/>
    </row>
    <row r="3876" spans="14:20" x14ac:dyDescent="0.25">
      <c r="N3876" s="362"/>
      <c r="R3876" s="210"/>
      <c r="S3876" s="232"/>
      <c r="T3876" s="270"/>
    </row>
    <row r="3877" spans="14:20" x14ac:dyDescent="0.25">
      <c r="N3877" s="362"/>
      <c r="R3877" s="210"/>
      <c r="S3877" s="232"/>
      <c r="T3877" s="270"/>
    </row>
    <row r="3878" spans="14:20" x14ac:dyDescent="0.25">
      <c r="N3878" s="362"/>
      <c r="R3878" s="210"/>
      <c r="S3878" s="232"/>
      <c r="T3878" s="270"/>
    </row>
    <row r="3879" spans="14:20" x14ac:dyDescent="0.25">
      <c r="N3879" s="362"/>
      <c r="R3879" s="210"/>
      <c r="S3879" s="232"/>
      <c r="T3879" s="270"/>
    </row>
    <row r="3880" spans="14:20" x14ac:dyDescent="0.25">
      <c r="N3880" s="362"/>
      <c r="R3880" s="210"/>
      <c r="S3880" s="232"/>
      <c r="T3880" s="270"/>
    </row>
    <row r="3881" spans="14:20" x14ac:dyDescent="0.25">
      <c r="N3881" s="362"/>
      <c r="R3881" s="210"/>
      <c r="S3881" s="232"/>
      <c r="T3881" s="270"/>
    </row>
    <row r="3882" spans="14:20" x14ac:dyDescent="0.25">
      <c r="N3882" s="362"/>
      <c r="R3882" s="210"/>
      <c r="S3882" s="232"/>
      <c r="T3882" s="270"/>
    </row>
    <row r="3883" spans="14:20" x14ac:dyDescent="0.25">
      <c r="N3883" s="362"/>
      <c r="R3883" s="210"/>
      <c r="S3883" s="232"/>
      <c r="T3883" s="270"/>
    </row>
    <row r="3884" spans="14:20" x14ac:dyDescent="0.25">
      <c r="N3884" s="362"/>
      <c r="R3884" s="210"/>
      <c r="S3884" s="232"/>
      <c r="T3884" s="270"/>
    </row>
    <row r="3885" spans="14:20" x14ac:dyDescent="0.25">
      <c r="N3885" s="362"/>
      <c r="R3885" s="210"/>
      <c r="S3885" s="232"/>
      <c r="T3885" s="270"/>
    </row>
    <row r="3886" spans="14:20" x14ac:dyDescent="0.25">
      <c r="N3886" s="362"/>
      <c r="R3886" s="210"/>
      <c r="S3886" s="232"/>
      <c r="T3886" s="270"/>
    </row>
    <row r="3887" spans="14:20" x14ac:dyDescent="0.25">
      <c r="N3887" s="362"/>
      <c r="R3887" s="210"/>
      <c r="S3887" s="232"/>
      <c r="T3887" s="270"/>
    </row>
    <row r="3888" spans="14:20" x14ac:dyDescent="0.25">
      <c r="N3888" s="362"/>
      <c r="R3888" s="210"/>
      <c r="S3888" s="232"/>
      <c r="T3888" s="270"/>
    </row>
    <row r="3889" spans="14:20" x14ac:dyDescent="0.25">
      <c r="N3889" s="362"/>
      <c r="R3889" s="210"/>
      <c r="S3889" s="232"/>
      <c r="T3889" s="270"/>
    </row>
    <row r="3890" spans="14:20" x14ac:dyDescent="0.25">
      <c r="N3890" s="362"/>
      <c r="R3890" s="210"/>
      <c r="S3890" s="232"/>
      <c r="T3890" s="270"/>
    </row>
    <row r="3891" spans="14:20" x14ac:dyDescent="0.25">
      <c r="N3891" s="362"/>
      <c r="R3891" s="210"/>
      <c r="S3891" s="232"/>
      <c r="T3891" s="270"/>
    </row>
    <row r="3892" spans="14:20" x14ac:dyDescent="0.25">
      <c r="N3892" s="362"/>
      <c r="R3892" s="210"/>
      <c r="S3892" s="232"/>
      <c r="T3892" s="270"/>
    </row>
    <row r="3893" spans="14:20" x14ac:dyDescent="0.25">
      <c r="N3893" s="362"/>
      <c r="R3893" s="210"/>
      <c r="S3893" s="232"/>
      <c r="T3893" s="270"/>
    </row>
    <row r="3894" spans="14:20" x14ac:dyDescent="0.25">
      <c r="N3894" s="362"/>
      <c r="R3894" s="210"/>
      <c r="S3894" s="232"/>
      <c r="T3894" s="270"/>
    </row>
    <row r="3895" spans="14:20" x14ac:dyDescent="0.25">
      <c r="N3895" s="362"/>
      <c r="R3895" s="210"/>
      <c r="S3895" s="232"/>
      <c r="T3895" s="270"/>
    </row>
    <row r="3896" spans="14:20" x14ac:dyDescent="0.25">
      <c r="N3896" s="362"/>
      <c r="R3896" s="210"/>
      <c r="S3896" s="232"/>
      <c r="T3896" s="270"/>
    </row>
    <row r="3897" spans="14:20" x14ac:dyDescent="0.25">
      <c r="N3897" s="362"/>
      <c r="R3897" s="210"/>
      <c r="S3897" s="232"/>
      <c r="T3897" s="270"/>
    </row>
    <row r="3898" spans="14:20" x14ac:dyDescent="0.25">
      <c r="N3898" s="362"/>
      <c r="R3898" s="210"/>
      <c r="S3898" s="232"/>
      <c r="T3898" s="270"/>
    </row>
    <row r="3899" spans="14:20" x14ac:dyDescent="0.25">
      <c r="N3899" s="362"/>
      <c r="R3899" s="210"/>
      <c r="S3899" s="232"/>
      <c r="T3899" s="270"/>
    </row>
    <row r="3900" spans="14:20" x14ac:dyDescent="0.25">
      <c r="N3900" s="362"/>
      <c r="R3900" s="210"/>
      <c r="S3900" s="232"/>
      <c r="T3900" s="270"/>
    </row>
    <row r="3901" spans="14:20" x14ac:dyDescent="0.25">
      <c r="N3901" s="362"/>
      <c r="R3901" s="210"/>
      <c r="S3901" s="232"/>
      <c r="T3901" s="270"/>
    </row>
    <row r="3902" spans="14:20" x14ac:dyDescent="0.25">
      <c r="N3902" s="362"/>
      <c r="R3902" s="210"/>
      <c r="S3902" s="232"/>
      <c r="T3902" s="270"/>
    </row>
    <row r="3903" spans="14:20" x14ac:dyDescent="0.25">
      <c r="N3903" s="362"/>
      <c r="R3903" s="210"/>
      <c r="S3903" s="232"/>
      <c r="T3903" s="270"/>
    </row>
    <row r="3904" spans="14:20" x14ac:dyDescent="0.25">
      <c r="N3904" s="362"/>
      <c r="R3904" s="210"/>
      <c r="S3904" s="232"/>
      <c r="T3904" s="270"/>
    </row>
    <row r="3905" spans="14:20" x14ac:dyDescent="0.25">
      <c r="N3905" s="362"/>
      <c r="R3905" s="210"/>
      <c r="S3905" s="232"/>
      <c r="T3905" s="270"/>
    </row>
    <row r="3906" spans="14:20" x14ac:dyDescent="0.25">
      <c r="N3906" s="362"/>
      <c r="R3906" s="210"/>
      <c r="S3906" s="232"/>
      <c r="T3906" s="270"/>
    </row>
    <row r="3907" spans="14:20" x14ac:dyDescent="0.25">
      <c r="N3907" s="362"/>
      <c r="R3907" s="210"/>
      <c r="S3907" s="232"/>
      <c r="T3907" s="270"/>
    </row>
    <row r="3908" spans="14:20" x14ac:dyDescent="0.25">
      <c r="N3908" s="362"/>
      <c r="R3908" s="210"/>
      <c r="S3908" s="232"/>
      <c r="T3908" s="270"/>
    </row>
    <row r="3909" spans="14:20" x14ac:dyDescent="0.25">
      <c r="N3909" s="362"/>
      <c r="R3909" s="210"/>
      <c r="S3909" s="232"/>
      <c r="T3909" s="270"/>
    </row>
    <row r="3910" spans="14:20" x14ac:dyDescent="0.25">
      <c r="N3910" s="362"/>
      <c r="R3910" s="210"/>
      <c r="S3910" s="232"/>
      <c r="T3910" s="270"/>
    </row>
    <row r="3911" spans="14:20" x14ac:dyDescent="0.25">
      <c r="N3911" s="362"/>
      <c r="R3911" s="210"/>
      <c r="S3911" s="232"/>
      <c r="T3911" s="270"/>
    </row>
    <row r="3912" spans="14:20" x14ac:dyDescent="0.25">
      <c r="N3912" s="362"/>
      <c r="R3912" s="210"/>
      <c r="S3912" s="232"/>
      <c r="T3912" s="270"/>
    </row>
    <row r="3913" spans="14:20" x14ac:dyDescent="0.25">
      <c r="N3913" s="362"/>
      <c r="R3913" s="210"/>
      <c r="S3913" s="232"/>
      <c r="T3913" s="270"/>
    </row>
    <row r="3914" spans="14:20" x14ac:dyDescent="0.25">
      <c r="N3914" s="362"/>
      <c r="R3914" s="210"/>
      <c r="S3914" s="232"/>
      <c r="T3914" s="270"/>
    </row>
    <row r="3915" spans="14:20" x14ac:dyDescent="0.25">
      <c r="N3915" s="362"/>
      <c r="R3915" s="210"/>
      <c r="S3915" s="232"/>
      <c r="T3915" s="270"/>
    </row>
    <row r="3916" spans="14:20" x14ac:dyDescent="0.25">
      <c r="N3916" s="362"/>
      <c r="R3916" s="210"/>
      <c r="S3916" s="232"/>
      <c r="T3916" s="270"/>
    </row>
    <row r="3917" spans="14:20" x14ac:dyDescent="0.25">
      <c r="N3917" s="362"/>
      <c r="R3917" s="210"/>
      <c r="S3917" s="232"/>
      <c r="T3917" s="270"/>
    </row>
    <row r="3918" spans="14:20" x14ac:dyDescent="0.25">
      <c r="N3918" s="362"/>
      <c r="R3918" s="210"/>
      <c r="S3918" s="232"/>
      <c r="T3918" s="270"/>
    </row>
    <row r="3919" spans="14:20" x14ac:dyDescent="0.25">
      <c r="N3919" s="362"/>
      <c r="R3919" s="210"/>
      <c r="S3919" s="232"/>
      <c r="T3919" s="270"/>
    </row>
    <row r="3920" spans="14:20" x14ac:dyDescent="0.25">
      <c r="N3920" s="362"/>
      <c r="R3920" s="210"/>
      <c r="S3920" s="232"/>
      <c r="T3920" s="270"/>
    </row>
    <row r="3921" spans="14:20" x14ac:dyDescent="0.25">
      <c r="N3921" s="362"/>
      <c r="R3921" s="210"/>
      <c r="S3921" s="232"/>
      <c r="T3921" s="270"/>
    </row>
    <row r="3922" spans="14:20" x14ac:dyDescent="0.25">
      <c r="N3922" s="362"/>
      <c r="R3922" s="210"/>
      <c r="S3922" s="232"/>
      <c r="T3922" s="270"/>
    </row>
    <row r="3923" spans="14:20" x14ac:dyDescent="0.25">
      <c r="N3923" s="362"/>
      <c r="R3923" s="210"/>
      <c r="S3923" s="232"/>
      <c r="T3923" s="270"/>
    </row>
    <row r="3924" spans="14:20" x14ac:dyDescent="0.25">
      <c r="N3924" s="362"/>
      <c r="R3924" s="210"/>
      <c r="S3924" s="232"/>
      <c r="T3924" s="270"/>
    </row>
    <row r="3925" spans="14:20" x14ac:dyDescent="0.25">
      <c r="N3925" s="362"/>
      <c r="R3925" s="210"/>
      <c r="S3925" s="232"/>
      <c r="T3925" s="270"/>
    </row>
    <row r="3926" spans="14:20" x14ac:dyDescent="0.25">
      <c r="N3926" s="362"/>
      <c r="R3926" s="210"/>
      <c r="S3926" s="232"/>
      <c r="T3926" s="270"/>
    </row>
    <row r="3927" spans="14:20" x14ac:dyDescent="0.25">
      <c r="N3927" s="362"/>
      <c r="R3927" s="210"/>
      <c r="S3927" s="232"/>
      <c r="T3927" s="270"/>
    </row>
    <row r="3928" spans="14:20" x14ac:dyDescent="0.25">
      <c r="N3928" s="362"/>
      <c r="R3928" s="210"/>
      <c r="S3928" s="232"/>
      <c r="T3928" s="270"/>
    </row>
    <row r="3929" spans="14:20" x14ac:dyDescent="0.25">
      <c r="N3929" s="362"/>
      <c r="R3929" s="210"/>
      <c r="S3929" s="232"/>
      <c r="T3929" s="270"/>
    </row>
    <row r="3930" spans="14:20" x14ac:dyDescent="0.25">
      <c r="N3930" s="362"/>
      <c r="R3930" s="210"/>
      <c r="S3930" s="232"/>
      <c r="T3930" s="270"/>
    </row>
    <row r="3931" spans="14:20" x14ac:dyDescent="0.25">
      <c r="N3931" s="362"/>
      <c r="R3931" s="210"/>
      <c r="S3931" s="232"/>
      <c r="T3931" s="270"/>
    </row>
    <row r="3932" spans="14:20" x14ac:dyDescent="0.25">
      <c r="N3932" s="362"/>
      <c r="R3932" s="210"/>
      <c r="S3932" s="232"/>
      <c r="T3932" s="270"/>
    </row>
    <row r="3933" spans="14:20" x14ac:dyDescent="0.25">
      <c r="N3933" s="362"/>
      <c r="R3933" s="210"/>
      <c r="S3933" s="232"/>
      <c r="T3933" s="270"/>
    </row>
    <row r="3934" spans="14:20" x14ac:dyDescent="0.25">
      <c r="N3934" s="362"/>
      <c r="R3934" s="210"/>
      <c r="S3934" s="232"/>
      <c r="T3934" s="270"/>
    </row>
    <row r="3935" spans="14:20" x14ac:dyDescent="0.25">
      <c r="N3935" s="362"/>
      <c r="R3935" s="210"/>
      <c r="S3935" s="232"/>
      <c r="T3935" s="270"/>
    </row>
    <row r="3936" spans="14:20" x14ac:dyDescent="0.25">
      <c r="N3936" s="362"/>
      <c r="R3936" s="210"/>
      <c r="S3936" s="232"/>
      <c r="T3936" s="270"/>
    </row>
    <row r="3937" spans="14:20" x14ac:dyDescent="0.25">
      <c r="N3937" s="362"/>
      <c r="R3937" s="210"/>
      <c r="S3937" s="232"/>
      <c r="T3937" s="270"/>
    </row>
    <row r="3938" spans="14:20" x14ac:dyDescent="0.25">
      <c r="N3938" s="362"/>
      <c r="R3938" s="210"/>
      <c r="S3938" s="232"/>
      <c r="T3938" s="270"/>
    </row>
    <row r="3939" spans="14:20" x14ac:dyDescent="0.25">
      <c r="N3939" s="362"/>
      <c r="R3939" s="210"/>
      <c r="S3939" s="232"/>
      <c r="T3939" s="270"/>
    </row>
    <row r="3940" spans="14:20" x14ac:dyDescent="0.25">
      <c r="N3940" s="362"/>
      <c r="R3940" s="210"/>
      <c r="S3940" s="232"/>
      <c r="T3940" s="270"/>
    </row>
    <row r="3941" spans="14:20" x14ac:dyDescent="0.25">
      <c r="N3941" s="362"/>
      <c r="R3941" s="210"/>
      <c r="S3941" s="232"/>
      <c r="T3941" s="270"/>
    </row>
    <row r="3942" spans="14:20" x14ac:dyDescent="0.25">
      <c r="N3942" s="362"/>
      <c r="R3942" s="210"/>
      <c r="S3942" s="232"/>
      <c r="T3942" s="270"/>
    </row>
    <row r="3943" spans="14:20" x14ac:dyDescent="0.25">
      <c r="N3943" s="362"/>
      <c r="R3943" s="210"/>
      <c r="S3943" s="232"/>
      <c r="T3943" s="270"/>
    </row>
    <row r="3944" spans="14:20" x14ac:dyDescent="0.25">
      <c r="N3944" s="362"/>
      <c r="R3944" s="210"/>
      <c r="S3944" s="232"/>
      <c r="T3944" s="270"/>
    </row>
    <row r="3945" spans="14:20" x14ac:dyDescent="0.25">
      <c r="N3945" s="362"/>
      <c r="R3945" s="210"/>
      <c r="S3945" s="232"/>
      <c r="T3945" s="270"/>
    </row>
    <row r="3946" spans="14:20" x14ac:dyDescent="0.25">
      <c r="N3946" s="362"/>
      <c r="R3946" s="210"/>
      <c r="S3946" s="232"/>
      <c r="T3946" s="270"/>
    </row>
    <row r="3947" spans="14:20" x14ac:dyDescent="0.25">
      <c r="N3947" s="362"/>
      <c r="R3947" s="210"/>
      <c r="S3947" s="232"/>
      <c r="T3947" s="270"/>
    </row>
    <row r="3948" spans="14:20" x14ac:dyDescent="0.25">
      <c r="N3948" s="362"/>
      <c r="R3948" s="210"/>
      <c r="S3948" s="232"/>
      <c r="T3948" s="270"/>
    </row>
    <row r="3949" spans="14:20" x14ac:dyDescent="0.25">
      <c r="N3949" s="362"/>
      <c r="R3949" s="210"/>
      <c r="S3949" s="232"/>
      <c r="T3949" s="270"/>
    </row>
    <row r="3950" spans="14:20" x14ac:dyDescent="0.25">
      <c r="N3950" s="362"/>
      <c r="R3950" s="210"/>
      <c r="S3950" s="232"/>
      <c r="T3950" s="270"/>
    </row>
    <row r="3951" spans="14:20" x14ac:dyDescent="0.25">
      <c r="N3951" s="362"/>
      <c r="R3951" s="210"/>
      <c r="S3951" s="232"/>
      <c r="T3951" s="270"/>
    </row>
    <row r="3952" spans="14:20" x14ac:dyDescent="0.25">
      <c r="N3952" s="362"/>
      <c r="R3952" s="210"/>
      <c r="S3952" s="232"/>
      <c r="T3952" s="270"/>
    </row>
    <row r="3953" spans="14:20" x14ac:dyDescent="0.25">
      <c r="N3953" s="362"/>
      <c r="R3953" s="210"/>
      <c r="S3953" s="232"/>
      <c r="T3953" s="270"/>
    </row>
    <row r="3954" spans="14:20" x14ac:dyDescent="0.25">
      <c r="N3954" s="362"/>
      <c r="R3954" s="210"/>
      <c r="S3954" s="232"/>
      <c r="T3954" s="270"/>
    </row>
    <row r="3955" spans="14:20" x14ac:dyDescent="0.25">
      <c r="N3955" s="362"/>
      <c r="R3955" s="210"/>
      <c r="S3955" s="232"/>
      <c r="T3955" s="270"/>
    </row>
    <row r="3956" spans="14:20" x14ac:dyDescent="0.25">
      <c r="N3956" s="362"/>
      <c r="R3956" s="210"/>
      <c r="S3956" s="232"/>
      <c r="T3956" s="270"/>
    </row>
    <row r="3957" spans="14:20" x14ac:dyDescent="0.25">
      <c r="N3957" s="362"/>
      <c r="R3957" s="210"/>
      <c r="S3957" s="232"/>
      <c r="T3957" s="270"/>
    </row>
    <row r="3958" spans="14:20" x14ac:dyDescent="0.25">
      <c r="N3958" s="362"/>
      <c r="R3958" s="210"/>
      <c r="S3958" s="232"/>
      <c r="T3958" s="270"/>
    </row>
    <row r="3959" spans="14:20" x14ac:dyDescent="0.25">
      <c r="N3959" s="362"/>
      <c r="R3959" s="210"/>
      <c r="S3959" s="232"/>
      <c r="T3959" s="270"/>
    </row>
    <row r="3960" spans="14:20" x14ac:dyDescent="0.25">
      <c r="N3960" s="362"/>
      <c r="R3960" s="210"/>
      <c r="S3960" s="232"/>
      <c r="T3960" s="270"/>
    </row>
    <row r="3961" spans="14:20" x14ac:dyDescent="0.25">
      <c r="N3961" s="362"/>
      <c r="R3961" s="210"/>
      <c r="S3961" s="232"/>
      <c r="T3961" s="270"/>
    </row>
    <row r="3962" spans="14:20" x14ac:dyDescent="0.25">
      <c r="N3962" s="362"/>
      <c r="R3962" s="210"/>
      <c r="S3962" s="232"/>
      <c r="T3962" s="270"/>
    </row>
    <row r="3963" spans="14:20" x14ac:dyDescent="0.25">
      <c r="N3963" s="362"/>
      <c r="R3963" s="210"/>
      <c r="S3963" s="232"/>
      <c r="T3963" s="270"/>
    </row>
    <row r="3964" spans="14:20" x14ac:dyDescent="0.25">
      <c r="N3964" s="362"/>
      <c r="R3964" s="210"/>
      <c r="S3964" s="232"/>
      <c r="T3964" s="270"/>
    </row>
    <row r="3965" spans="14:20" x14ac:dyDescent="0.25">
      <c r="N3965" s="362"/>
      <c r="R3965" s="210"/>
      <c r="S3965" s="232"/>
      <c r="T3965" s="270"/>
    </row>
    <row r="3966" spans="14:20" x14ac:dyDescent="0.25">
      <c r="N3966" s="362"/>
      <c r="R3966" s="210"/>
      <c r="S3966" s="232"/>
      <c r="T3966" s="270"/>
    </row>
    <row r="3967" spans="14:20" x14ac:dyDescent="0.25">
      <c r="N3967" s="362"/>
      <c r="R3967" s="210"/>
      <c r="S3967" s="232"/>
      <c r="T3967" s="270"/>
    </row>
    <row r="3968" spans="14:20" x14ac:dyDescent="0.25">
      <c r="N3968" s="362"/>
      <c r="R3968" s="210"/>
      <c r="S3968" s="232"/>
      <c r="T3968" s="270"/>
    </row>
    <row r="3969" spans="14:20" x14ac:dyDescent="0.25">
      <c r="N3969" s="362"/>
      <c r="R3969" s="210"/>
      <c r="S3969" s="232"/>
      <c r="T3969" s="270"/>
    </row>
    <row r="3970" spans="14:20" x14ac:dyDescent="0.25">
      <c r="N3970" s="362"/>
      <c r="R3970" s="210"/>
      <c r="S3970" s="232"/>
      <c r="T3970" s="270"/>
    </row>
    <row r="3971" spans="14:20" x14ac:dyDescent="0.25">
      <c r="N3971" s="362"/>
      <c r="R3971" s="210"/>
      <c r="S3971" s="232"/>
      <c r="T3971" s="270"/>
    </row>
    <row r="3972" spans="14:20" x14ac:dyDescent="0.25">
      <c r="N3972" s="362"/>
      <c r="R3972" s="210"/>
      <c r="S3972" s="232"/>
      <c r="T3972" s="270"/>
    </row>
    <row r="3973" spans="14:20" x14ac:dyDescent="0.25">
      <c r="N3973" s="362"/>
      <c r="R3973" s="210"/>
      <c r="S3973" s="232"/>
      <c r="T3973" s="270"/>
    </row>
    <row r="3974" spans="14:20" x14ac:dyDescent="0.25">
      <c r="N3974" s="362"/>
      <c r="R3974" s="210"/>
      <c r="S3974" s="232"/>
      <c r="T3974" s="270"/>
    </row>
    <row r="3975" spans="14:20" x14ac:dyDescent="0.25">
      <c r="N3975" s="362"/>
      <c r="R3975" s="210"/>
      <c r="S3975" s="232"/>
      <c r="T3975" s="270"/>
    </row>
    <row r="3976" spans="14:20" x14ac:dyDescent="0.25">
      <c r="N3976" s="362"/>
      <c r="R3976" s="210"/>
      <c r="S3976" s="232"/>
      <c r="T3976" s="270"/>
    </row>
    <row r="3977" spans="14:20" x14ac:dyDescent="0.25">
      <c r="N3977" s="362"/>
      <c r="R3977" s="210"/>
      <c r="S3977" s="232"/>
      <c r="T3977" s="270"/>
    </row>
    <row r="3978" spans="14:20" x14ac:dyDescent="0.25">
      <c r="N3978" s="362"/>
      <c r="R3978" s="210"/>
      <c r="S3978" s="232"/>
      <c r="T3978" s="270"/>
    </row>
    <row r="3979" spans="14:20" x14ac:dyDescent="0.25">
      <c r="N3979" s="362"/>
      <c r="R3979" s="210"/>
      <c r="S3979" s="232"/>
      <c r="T3979" s="270"/>
    </row>
    <row r="3980" spans="14:20" x14ac:dyDescent="0.25">
      <c r="N3980" s="362"/>
      <c r="R3980" s="210"/>
      <c r="S3980" s="232"/>
      <c r="T3980" s="270"/>
    </row>
    <row r="3981" spans="14:20" x14ac:dyDescent="0.25">
      <c r="N3981" s="362"/>
      <c r="R3981" s="210"/>
      <c r="S3981" s="232"/>
      <c r="T3981" s="270"/>
    </row>
    <row r="3982" spans="14:20" x14ac:dyDescent="0.25">
      <c r="N3982" s="362"/>
      <c r="R3982" s="210"/>
      <c r="S3982" s="232"/>
      <c r="T3982" s="270"/>
    </row>
    <row r="3983" spans="14:20" x14ac:dyDescent="0.25">
      <c r="N3983" s="362"/>
      <c r="R3983" s="210"/>
      <c r="S3983" s="232"/>
      <c r="T3983" s="270"/>
    </row>
    <row r="3984" spans="14:20" x14ac:dyDescent="0.25">
      <c r="N3984" s="362"/>
      <c r="R3984" s="210"/>
      <c r="S3984" s="232"/>
      <c r="T3984" s="270"/>
    </row>
    <row r="3985" spans="14:20" x14ac:dyDescent="0.25">
      <c r="N3985" s="362"/>
      <c r="R3985" s="210"/>
      <c r="S3985" s="232"/>
      <c r="T3985" s="270"/>
    </row>
    <row r="3986" spans="14:20" x14ac:dyDescent="0.25">
      <c r="N3986" s="362"/>
      <c r="R3986" s="210"/>
      <c r="S3986" s="232"/>
      <c r="T3986" s="270"/>
    </row>
    <row r="3987" spans="14:20" x14ac:dyDescent="0.25">
      <c r="N3987" s="362"/>
      <c r="R3987" s="210"/>
      <c r="S3987" s="232"/>
      <c r="T3987" s="270"/>
    </row>
    <row r="3988" spans="14:20" x14ac:dyDescent="0.25">
      <c r="N3988" s="362"/>
      <c r="R3988" s="210"/>
      <c r="S3988" s="232"/>
      <c r="T3988" s="270"/>
    </row>
    <row r="3989" spans="14:20" x14ac:dyDescent="0.25">
      <c r="N3989" s="362"/>
      <c r="R3989" s="210"/>
      <c r="S3989" s="232"/>
      <c r="T3989" s="270"/>
    </row>
    <row r="3990" spans="14:20" x14ac:dyDescent="0.25">
      <c r="N3990" s="362"/>
      <c r="R3990" s="210"/>
      <c r="S3990" s="232"/>
      <c r="T3990" s="270"/>
    </row>
    <row r="3991" spans="14:20" x14ac:dyDescent="0.25">
      <c r="N3991" s="362"/>
      <c r="R3991" s="210"/>
      <c r="S3991" s="232"/>
      <c r="T3991" s="270"/>
    </row>
    <row r="3992" spans="14:20" x14ac:dyDescent="0.25">
      <c r="N3992" s="362"/>
      <c r="R3992" s="210"/>
      <c r="S3992" s="232"/>
      <c r="T3992" s="270"/>
    </row>
    <row r="3993" spans="14:20" x14ac:dyDescent="0.25">
      <c r="N3993" s="362"/>
      <c r="R3993" s="210"/>
      <c r="S3993" s="232"/>
      <c r="T3993" s="270"/>
    </row>
    <row r="3994" spans="14:20" x14ac:dyDescent="0.25">
      <c r="N3994" s="362"/>
      <c r="R3994" s="210"/>
      <c r="S3994" s="232"/>
      <c r="T3994" s="270"/>
    </row>
    <row r="3995" spans="14:20" x14ac:dyDescent="0.25">
      <c r="N3995" s="362"/>
      <c r="R3995" s="210"/>
      <c r="S3995" s="232"/>
      <c r="T3995" s="270"/>
    </row>
    <row r="3996" spans="14:20" x14ac:dyDescent="0.25">
      <c r="N3996" s="362"/>
      <c r="R3996" s="210"/>
      <c r="S3996" s="232"/>
      <c r="T3996" s="270"/>
    </row>
    <row r="3997" spans="14:20" x14ac:dyDescent="0.25">
      <c r="N3997" s="362"/>
      <c r="R3997" s="210"/>
      <c r="S3997" s="232"/>
      <c r="T3997" s="270"/>
    </row>
    <row r="3998" spans="14:20" x14ac:dyDescent="0.25">
      <c r="N3998" s="362"/>
      <c r="R3998" s="210"/>
      <c r="S3998" s="232"/>
      <c r="T3998" s="270"/>
    </row>
    <row r="3999" spans="14:20" x14ac:dyDescent="0.25">
      <c r="N3999" s="362"/>
      <c r="R3999" s="210"/>
      <c r="S3999" s="232"/>
      <c r="T3999" s="270"/>
    </row>
    <row r="4000" spans="14:20" x14ac:dyDescent="0.25">
      <c r="N4000" s="362"/>
      <c r="R4000" s="210"/>
      <c r="S4000" s="232"/>
      <c r="T4000" s="270"/>
    </row>
    <row r="4001" spans="14:20" x14ac:dyDescent="0.25">
      <c r="N4001" s="362"/>
      <c r="R4001" s="210"/>
      <c r="S4001" s="232"/>
      <c r="T4001" s="270"/>
    </row>
    <row r="4002" spans="14:20" x14ac:dyDescent="0.25">
      <c r="N4002" s="362"/>
      <c r="R4002" s="210"/>
      <c r="S4002" s="232"/>
      <c r="T4002" s="270"/>
    </row>
    <row r="4003" spans="14:20" x14ac:dyDescent="0.25">
      <c r="N4003" s="362"/>
      <c r="R4003" s="210"/>
      <c r="S4003" s="232"/>
      <c r="T4003" s="270"/>
    </row>
    <row r="4004" spans="14:20" x14ac:dyDescent="0.25">
      <c r="N4004" s="362"/>
      <c r="R4004" s="210"/>
      <c r="S4004" s="232"/>
      <c r="T4004" s="270"/>
    </row>
    <row r="4005" spans="14:20" x14ac:dyDescent="0.25">
      <c r="N4005" s="362"/>
      <c r="R4005" s="210"/>
      <c r="S4005" s="232"/>
      <c r="T4005" s="270"/>
    </row>
    <row r="4006" spans="14:20" x14ac:dyDescent="0.25">
      <c r="N4006" s="362"/>
      <c r="R4006" s="210"/>
      <c r="S4006" s="232"/>
      <c r="T4006" s="270"/>
    </row>
    <row r="4007" spans="14:20" x14ac:dyDescent="0.25">
      <c r="N4007" s="362"/>
      <c r="R4007" s="210"/>
      <c r="S4007" s="232"/>
      <c r="T4007" s="270"/>
    </row>
    <row r="4008" spans="14:20" x14ac:dyDescent="0.25">
      <c r="N4008" s="362"/>
      <c r="R4008" s="210"/>
      <c r="S4008" s="232"/>
      <c r="T4008" s="270"/>
    </row>
    <row r="4009" spans="14:20" x14ac:dyDescent="0.25">
      <c r="N4009" s="362"/>
      <c r="R4009" s="210"/>
      <c r="S4009" s="232"/>
      <c r="T4009" s="270"/>
    </row>
    <row r="4010" spans="14:20" x14ac:dyDescent="0.25">
      <c r="N4010" s="362"/>
      <c r="R4010" s="210"/>
      <c r="S4010" s="232"/>
      <c r="T4010" s="270"/>
    </row>
    <row r="4011" spans="14:20" x14ac:dyDescent="0.25">
      <c r="N4011" s="362"/>
      <c r="R4011" s="210"/>
      <c r="S4011" s="232"/>
      <c r="T4011" s="270"/>
    </row>
    <row r="4012" spans="14:20" x14ac:dyDescent="0.25">
      <c r="N4012" s="362"/>
      <c r="R4012" s="210"/>
      <c r="S4012" s="232"/>
      <c r="T4012" s="270"/>
    </row>
    <row r="4013" spans="14:20" x14ac:dyDescent="0.25">
      <c r="N4013" s="362"/>
      <c r="R4013" s="210"/>
      <c r="S4013" s="232"/>
      <c r="T4013" s="270"/>
    </row>
    <row r="4014" spans="14:20" x14ac:dyDescent="0.25">
      <c r="N4014" s="362"/>
      <c r="R4014" s="210"/>
      <c r="S4014" s="232"/>
      <c r="T4014" s="270"/>
    </row>
    <row r="4015" spans="14:20" x14ac:dyDescent="0.25">
      <c r="N4015" s="362"/>
      <c r="R4015" s="210"/>
      <c r="S4015" s="232"/>
      <c r="T4015" s="270"/>
    </row>
    <row r="4016" spans="14:20" x14ac:dyDescent="0.25">
      <c r="N4016" s="362"/>
      <c r="R4016" s="210"/>
      <c r="S4016" s="232"/>
      <c r="T4016" s="270"/>
    </row>
    <row r="4017" spans="14:20" x14ac:dyDescent="0.25">
      <c r="N4017" s="362"/>
      <c r="R4017" s="210"/>
      <c r="S4017" s="232"/>
      <c r="T4017" s="270"/>
    </row>
    <row r="4018" spans="14:20" x14ac:dyDescent="0.25">
      <c r="N4018" s="362"/>
      <c r="R4018" s="210"/>
      <c r="S4018" s="232"/>
      <c r="T4018" s="270"/>
    </row>
    <row r="4019" spans="14:20" x14ac:dyDescent="0.25">
      <c r="N4019" s="362"/>
      <c r="R4019" s="210"/>
      <c r="S4019" s="232"/>
      <c r="T4019" s="270"/>
    </row>
    <row r="4020" spans="14:20" x14ac:dyDescent="0.25">
      <c r="N4020" s="362"/>
      <c r="R4020" s="210"/>
      <c r="S4020" s="232"/>
      <c r="T4020" s="270"/>
    </row>
    <row r="4021" spans="14:20" x14ac:dyDescent="0.25">
      <c r="N4021" s="362"/>
      <c r="R4021" s="210"/>
      <c r="S4021" s="232"/>
      <c r="T4021" s="270"/>
    </row>
    <row r="4022" spans="14:20" x14ac:dyDescent="0.25">
      <c r="N4022" s="362"/>
      <c r="R4022" s="210"/>
      <c r="S4022" s="232"/>
      <c r="T4022" s="270"/>
    </row>
    <row r="4023" spans="14:20" x14ac:dyDescent="0.25">
      <c r="N4023" s="362"/>
      <c r="R4023" s="210"/>
      <c r="S4023" s="232"/>
      <c r="T4023" s="270"/>
    </row>
    <row r="4024" spans="14:20" x14ac:dyDescent="0.25">
      <c r="N4024" s="362"/>
      <c r="R4024" s="210"/>
      <c r="S4024" s="232"/>
      <c r="T4024" s="270"/>
    </row>
    <row r="4025" spans="14:20" x14ac:dyDescent="0.25">
      <c r="N4025" s="362"/>
      <c r="R4025" s="210"/>
      <c r="S4025" s="232"/>
      <c r="T4025" s="270"/>
    </row>
    <row r="4026" spans="14:20" x14ac:dyDescent="0.25">
      <c r="N4026" s="362"/>
      <c r="R4026" s="210"/>
      <c r="S4026" s="232"/>
      <c r="T4026" s="270"/>
    </row>
    <row r="4027" spans="14:20" x14ac:dyDescent="0.25">
      <c r="N4027" s="362"/>
      <c r="R4027" s="210"/>
      <c r="S4027" s="232"/>
      <c r="T4027" s="270"/>
    </row>
    <row r="4028" spans="14:20" x14ac:dyDescent="0.25">
      <c r="N4028" s="362"/>
      <c r="R4028" s="210"/>
      <c r="S4028" s="232"/>
      <c r="T4028" s="270"/>
    </row>
    <row r="4029" spans="14:20" x14ac:dyDescent="0.25">
      <c r="N4029" s="362"/>
      <c r="R4029" s="210"/>
      <c r="S4029" s="232"/>
      <c r="T4029" s="270"/>
    </row>
    <row r="4030" spans="14:20" x14ac:dyDescent="0.25">
      <c r="N4030" s="362"/>
      <c r="R4030" s="210"/>
      <c r="S4030" s="232"/>
      <c r="T4030" s="270"/>
    </row>
    <row r="4031" spans="14:20" x14ac:dyDescent="0.25">
      <c r="N4031" s="362"/>
      <c r="R4031" s="210"/>
      <c r="S4031" s="232"/>
      <c r="T4031" s="270"/>
    </row>
    <row r="4032" spans="14:20" x14ac:dyDescent="0.25">
      <c r="N4032" s="362"/>
      <c r="R4032" s="210"/>
      <c r="S4032" s="232"/>
      <c r="T4032" s="270"/>
    </row>
    <row r="4033" spans="14:20" x14ac:dyDescent="0.25">
      <c r="N4033" s="362"/>
      <c r="R4033" s="210"/>
      <c r="S4033" s="232"/>
      <c r="T4033" s="270"/>
    </row>
    <row r="4034" spans="14:20" x14ac:dyDescent="0.25">
      <c r="N4034" s="362"/>
      <c r="R4034" s="210"/>
      <c r="S4034" s="232"/>
      <c r="T4034" s="270"/>
    </row>
    <row r="4035" spans="14:20" x14ac:dyDescent="0.25">
      <c r="N4035" s="362"/>
      <c r="R4035" s="210"/>
      <c r="S4035" s="232"/>
      <c r="T4035" s="270"/>
    </row>
    <row r="4036" spans="14:20" x14ac:dyDescent="0.25">
      <c r="N4036" s="362"/>
      <c r="R4036" s="210"/>
      <c r="S4036" s="232"/>
      <c r="T4036" s="270"/>
    </row>
    <row r="4037" spans="14:20" x14ac:dyDescent="0.25">
      <c r="N4037" s="362"/>
      <c r="R4037" s="210"/>
      <c r="S4037" s="232"/>
      <c r="T4037" s="270"/>
    </row>
    <row r="4038" spans="14:20" x14ac:dyDescent="0.25">
      <c r="N4038" s="362"/>
      <c r="R4038" s="210"/>
      <c r="S4038" s="232"/>
      <c r="T4038" s="270"/>
    </row>
    <row r="4039" spans="14:20" x14ac:dyDescent="0.25">
      <c r="N4039" s="362"/>
      <c r="R4039" s="210"/>
      <c r="S4039" s="232"/>
      <c r="T4039" s="270"/>
    </row>
    <row r="4040" spans="14:20" x14ac:dyDescent="0.25">
      <c r="N4040" s="362"/>
      <c r="R4040" s="210"/>
      <c r="S4040" s="232"/>
      <c r="T4040" s="270"/>
    </row>
    <row r="4041" spans="14:20" x14ac:dyDescent="0.25">
      <c r="N4041" s="362"/>
      <c r="R4041" s="210"/>
      <c r="S4041" s="232"/>
      <c r="T4041" s="270"/>
    </row>
    <row r="4042" spans="14:20" x14ac:dyDescent="0.25">
      <c r="N4042" s="362"/>
      <c r="R4042" s="210"/>
      <c r="S4042" s="232"/>
      <c r="T4042" s="270"/>
    </row>
    <row r="4043" spans="14:20" x14ac:dyDescent="0.25">
      <c r="N4043" s="362"/>
      <c r="R4043" s="210"/>
      <c r="S4043" s="232"/>
      <c r="T4043" s="270"/>
    </row>
    <row r="4044" spans="14:20" x14ac:dyDescent="0.25">
      <c r="N4044" s="362"/>
      <c r="R4044" s="210"/>
      <c r="S4044" s="232"/>
      <c r="T4044" s="270"/>
    </row>
    <row r="4045" spans="14:20" x14ac:dyDescent="0.25">
      <c r="N4045" s="362"/>
      <c r="R4045" s="210"/>
      <c r="S4045" s="232"/>
      <c r="T4045" s="270"/>
    </row>
    <row r="4046" spans="14:20" x14ac:dyDescent="0.25">
      <c r="N4046" s="362"/>
      <c r="R4046" s="210"/>
      <c r="S4046" s="232"/>
      <c r="T4046" s="270"/>
    </row>
    <row r="4047" spans="14:20" x14ac:dyDescent="0.25">
      <c r="N4047" s="362"/>
      <c r="R4047" s="210"/>
      <c r="S4047" s="232"/>
      <c r="T4047" s="270"/>
    </row>
    <row r="4048" spans="14:20" x14ac:dyDescent="0.25">
      <c r="N4048" s="362"/>
      <c r="R4048" s="210"/>
      <c r="S4048" s="232"/>
      <c r="T4048" s="270"/>
    </row>
    <row r="4049" spans="14:20" x14ac:dyDescent="0.25">
      <c r="N4049" s="362"/>
      <c r="R4049" s="210"/>
      <c r="S4049" s="232"/>
      <c r="T4049" s="270"/>
    </row>
    <row r="4050" spans="14:20" x14ac:dyDescent="0.25">
      <c r="N4050" s="362"/>
      <c r="R4050" s="210"/>
      <c r="S4050" s="232"/>
      <c r="T4050" s="270"/>
    </row>
    <row r="4051" spans="14:20" x14ac:dyDescent="0.25">
      <c r="N4051" s="362"/>
      <c r="R4051" s="210"/>
      <c r="S4051" s="232"/>
      <c r="T4051" s="270"/>
    </row>
    <row r="4052" spans="14:20" x14ac:dyDescent="0.25">
      <c r="N4052" s="362"/>
      <c r="R4052" s="210"/>
      <c r="S4052" s="232"/>
      <c r="T4052" s="270"/>
    </row>
    <row r="4053" spans="14:20" x14ac:dyDescent="0.25">
      <c r="N4053" s="362"/>
      <c r="R4053" s="210"/>
      <c r="S4053" s="232"/>
      <c r="T4053" s="270"/>
    </row>
    <row r="4054" spans="14:20" x14ac:dyDescent="0.25">
      <c r="N4054" s="362"/>
      <c r="R4054" s="210"/>
      <c r="S4054" s="232"/>
      <c r="T4054" s="270"/>
    </row>
    <row r="4055" spans="14:20" x14ac:dyDescent="0.25">
      <c r="N4055" s="362"/>
      <c r="R4055" s="210"/>
      <c r="S4055" s="232"/>
      <c r="T4055" s="270"/>
    </row>
    <row r="4056" spans="14:20" x14ac:dyDescent="0.25">
      <c r="N4056" s="362"/>
      <c r="R4056" s="210"/>
      <c r="S4056" s="232"/>
      <c r="T4056" s="270"/>
    </row>
    <row r="4057" spans="14:20" x14ac:dyDescent="0.25">
      <c r="N4057" s="362"/>
      <c r="R4057" s="210"/>
      <c r="S4057" s="232"/>
      <c r="T4057" s="270"/>
    </row>
    <row r="4058" spans="14:20" x14ac:dyDescent="0.25">
      <c r="N4058" s="362"/>
      <c r="R4058" s="210"/>
      <c r="S4058" s="232"/>
      <c r="T4058" s="270"/>
    </row>
    <row r="4059" spans="14:20" x14ac:dyDescent="0.25">
      <c r="N4059" s="362"/>
      <c r="R4059" s="210"/>
      <c r="S4059" s="232"/>
      <c r="T4059" s="270"/>
    </row>
    <row r="4060" spans="14:20" x14ac:dyDescent="0.25">
      <c r="N4060" s="362"/>
      <c r="R4060" s="210"/>
      <c r="S4060" s="232"/>
      <c r="T4060" s="270"/>
    </row>
    <row r="4061" spans="14:20" x14ac:dyDescent="0.25">
      <c r="N4061" s="362"/>
      <c r="R4061" s="210"/>
      <c r="S4061" s="232"/>
      <c r="T4061" s="270"/>
    </row>
    <row r="4062" spans="14:20" x14ac:dyDescent="0.25">
      <c r="N4062" s="362"/>
      <c r="R4062" s="210"/>
      <c r="S4062" s="232"/>
      <c r="T4062" s="270"/>
    </row>
    <row r="4063" spans="14:20" x14ac:dyDescent="0.25">
      <c r="N4063" s="362"/>
      <c r="R4063" s="210"/>
      <c r="S4063" s="232"/>
      <c r="T4063" s="270"/>
    </row>
    <row r="4064" spans="14:20" x14ac:dyDescent="0.25">
      <c r="N4064" s="362"/>
      <c r="R4064" s="210"/>
      <c r="S4064" s="232"/>
      <c r="T4064" s="270"/>
    </row>
    <row r="4065" spans="14:20" x14ac:dyDescent="0.25">
      <c r="N4065" s="362"/>
      <c r="R4065" s="210"/>
      <c r="S4065" s="232"/>
      <c r="T4065" s="270"/>
    </row>
    <row r="4066" spans="14:20" x14ac:dyDescent="0.25">
      <c r="N4066" s="362"/>
      <c r="R4066" s="210"/>
      <c r="S4066" s="232"/>
      <c r="T4066" s="270"/>
    </row>
    <row r="4067" spans="14:20" x14ac:dyDescent="0.25">
      <c r="N4067" s="362"/>
      <c r="R4067" s="210"/>
      <c r="S4067" s="232"/>
      <c r="T4067" s="270"/>
    </row>
    <row r="4068" spans="14:20" x14ac:dyDescent="0.25">
      <c r="N4068" s="362"/>
      <c r="R4068" s="210"/>
      <c r="S4068" s="232"/>
      <c r="T4068" s="270"/>
    </row>
    <row r="4069" spans="14:20" x14ac:dyDescent="0.25">
      <c r="N4069" s="362"/>
      <c r="R4069" s="210"/>
      <c r="S4069" s="232"/>
      <c r="T4069" s="270"/>
    </row>
    <row r="4070" spans="14:20" x14ac:dyDescent="0.25">
      <c r="N4070" s="362"/>
      <c r="R4070" s="210"/>
      <c r="S4070" s="232"/>
      <c r="T4070" s="270"/>
    </row>
    <row r="4071" spans="14:20" x14ac:dyDescent="0.25">
      <c r="N4071" s="362"/>
      <c r="R4071" s="210"/>
      <c r="S4071" s="232"/>
      <c r="T4071" s="270"/>
    </row>
    <row r="4072" spans="14:20" x14ac:dyDescent="0.25">
      <c r="N4072" s="362"/>
      <c r="R4072" s="210"/>
      <c r="S4072" s="232"/>
      <c r="T4072" s="270"/>
    </row>
    <row r="4073" spans="14:20" x14ac:dyDescent="0.25">
      <c r="N4073" s="362"/>
      <c r="R4073" s="210"/>
      <c r="S4073" s="232"/>
      <c r="T4073" s="270"/>
    </row>
    <row r="4074" spans="14:20" x14ac:dyDescent="0.25">
      <c r="N4074" s="362"/>
      <c r="R4074" s="210"/>
      <c r="S4074" s="232"/>
      <c r="T4074" s="270"/>
    </row>
    <row r="4075" spans="14:20" x14ac:dyDescent="0.25">
      <c r="N4075" s="362"/>
      <c r="R4075" s="210"/>
      <c r="S4075" s="232"/>
      <c r="T4075" s="270"/>
    </row>
    <row r="4076" spans="14:20" x14ac:dyDescent="0.25">
      <c r="N4076" s="362"/>
      <c r="R4076" s="210"/>
      <c r="S4076" s="232"/>
      <c r="T4076" s="270"/>
    </row>
    <row r="4077" spans="14:20" x14ac:dyDescent="0.25">
      <c r="N4077" s="362"/>
      <c r="R4077" s="210"/>
      <c r="S4077" s="232"/>
      <c r="T4077" s="270"/>
    </row>
    <row r="4078" spans="14:20" x14ac:dyDescent="0.25">
      <c r="N4078" s="362"/>
      <c r="R4078" s="210"/>
      <c r="S4078" s="232"/>
      <c r="T4078" s="270"/>
    </row>
    <row r="4079" spans="14:20" x14ac:dyDescent="0.25">
      <c r="N4079" s="362"/>
      <c r="R4079" s="210"/>
      <c r="S4079" s="232"/>
      <c r="T4079" s="270"/>
    </row>
    <row r="4080" spans="14:20" x14ac:dyDescent="0.25">
      <c r="N4080" s="362"/>
      <c r="R4080" s="210"/>
      <c r="S4080" s="232"/>
      <c r="T4080" s="270"/>
    </row>
    <row r="4081" spans="14:20" x14ac:dyDescent="0.25">
      <c r="N4081" s="362"/>
      <c r="R4081" s="210"/>
      <c r="S4081" s="232"/>
      <c r="T4081" s="270"/>
    </row>
    <row r="4082" spans="14:20" x14ac:dyDescent="0.25">
      <c r="N4082" s="362"/>
      <c r="R4082" s="210"/>
      <c r="S4082" s="232"/>
      <c r="T4082" s="270"/>
    </row>
    <row r="4083" spans="14:20" x14ac:dyDescent="0.25">
      <c r="N4083" s="362"/>
      <c r="R4083" s="210"/>
      <c r="S4083" s="232"/>
      <c r="T4083" s="270"/>
    </row>
    <row r="4084" spans="14:20" x14ac:dyDescent="0.25">
      <c r="N4084" s="362"/>
      <c r="R4084" s="210"/>
      <c r="S4084" s="232"/>
      <c r="T4084" s="270"/>
    </row>
    <row r="4085" spans="14:20" x14ac:dyDescent="0.25">
      <c r="N4085" s="362"/>
      <c r="R4085" s="210"/>
      <c r="S4085" s="232"/>
      <c r="T4085" s="270"/>
    </row>
    <row r="4086" spans="14:20" x14ac:dyDescent="0.25">
      <c r="N4086" s="362"/>
      <c r="R4086" s="210"/>
      <c r="S4086" s="232"/>
      <c r="T4086" s="270"/>
    </row>
    <row r="4087" spans="14:20" x14ac:dyDescent="0.25">
      <c r="N4087" s="362"/>
      <c r="R4087" s="210"/>
      <c r="S4087" s="232"/>
      <c r="T4087" s="270"/>
    </row>
    <row r="4088" spans="14:20" x14ac:dyDescent="0.25">
      <c r="N4088" s="362"/>
      <c r="R4088" s="210"/>
      <c r="S4088" s="232"/>
      <c r="T4088" s="270"/>
    </row>
    <row r="4089" spans="14:20" x14ac:dyDescent="0.25">
      <c r="N4089" s="362"/>
      <c r="R4089" s="210"/>
      <c r="S4089" s="232"/>
      <c r="T4089" s="270"/>
    </row>
    <row r="4090" spans="14:20" x14ac:dyDescent="0.25">
      <c r="N4090" s="362"/>
      <c r="R4090" s="210"/>
      <c r="S4090" s="232"/>
      <c r="T4090" s="270"/>
    </row>
    <row r="4091" spans="14:20" x14ac:dyDescent="0.25">
      <c r="N4091" s="362"/>
      <c r="R4091" s="210"/>
      <c r="S4091" s="232"/>
      <c r="T4091" s="270"/>
    </row>
    <row r="4092" spans="14:20" x14ac:dyDescent="0.25">
      <c r="N4092" s="362"/>
      <c r="R4092" s="210"/>
      <c r="S4092" s="232"/>
      <c r="T4092" s="270"/>
    </row>
    <row r="4093" spans="14:20" x14ac:dyDescent="0.25">
      <c r="N4093" s="362"/>
      <c r="R4093" s="210"/>
      <c r="S4093" s="232"/>
      <c r="T4093" s="270"/>
    </row>
    <row r="4094" spans="14:20" x14ac:dyDescent="0.25">
      <c r="N4094" s="362"/>
      <c r="R4094" s="210"/>
      <c r="S4094" s="232"/>
      <c r="T4094" s="270"/>
    </row>
    <row r="4095" spans="14:20" x14ac:dyDescent="0.25">
      <c r="N4095" s="362"/>
      <c r="R4095" s="210"/>
      <c r="S4095" s="232"/>
      <c r="T4095" s="270"/>
    </row>
    <row r="4096" spans="14:20" x14ac:dyDescent="0.25">
      <c r="N4096" s="362"/>
      <c r="R4096" s="210"/>
      <c r="S4096" s="232"/>
      <c r="T4096" s="270"/>
    </row>
    <row r="4097" spans="14:20" x14ac:dyDescent="0.25">
      <c r="N4097" s="362"/>
      <c r="R4097" s="210"/>
      <c r="S4097" s="232"/>
      <c r="T4097" s="270"/>
    </row>
    <row r="4098" spans="14:20" x14ac:dyDescent="0.25">
      <c r="N4098" s="362"/>
      <c r="R4098" s="210"/>
      <c r="S4098" s="232"/>
      <c r="T4098" s="270"/>
    </row>
    <row r="4099" spans="14:20" x14ac:dyDescent="0.25">
      <c r="N4099" s="362"/>
      <c r="R4099" s="210"/>
      <c r="S4099" s="232"/>
      <c r="T4099" s="270"/>
    </row>
    <row r="4100" spans="14:20" x14ac:dyDescent="0.25">
      <c r="N4100" s="362"/>
      <c r="R4100" s="210"/>
      <c r="S4100" s="232"/>
      <c r="T4100" s="270"/>
    </row>
    <row r="4101" spans="14:20" x14ac:dyDescent="0.25">
      <c r="N4101" s="362"/>
      <c r="R4101" s="210"/>
      <c r="S4101" s="232"/>
      <c r="T4101" s="270"/>
    </row>
    <row r="4102" spans="14:20" x14ac:dyDescent="0.25">
      <c r="N4102" s="362"/>
      <c r="R4102" s="210"/>
      <c r="S4102" s="232"/>
      <c r="T4102" s="270"/>
    </row>
    <row r="4103" spans="14:20" x14ac:dyDescent="0.25">
      <c r="N4103" s="362"/>
      <c r="R4103" s="210"/>
      <c r="S4103" s="232"/>
      <c r="T4103" s="270"/>
    </row>
    <row r="4104" spans="14:20" x14ac:dyDescent="0.25">
      <c r="N4104" s="362"/>
      <c r="R4104" s="210"/>
      <c r="S4104" s="232"/>
      <c r="T4104" s="270"/>
    </row>
    <row r="4105" spans="14:20" x14ac:dyDescent="0.25">
      <c r="N4105" s="362"/>
      <c r="R4105" s="210"/>
      <c r="S4105" s="232"/>
      <c r="T4105" s="270"/>
    </row>
    <row r="4106" spans="14:20" x14ac:dyDescent="0.25">
      <c r="N4106" s="362"/>
      <c r="R4106" s="210"/>
      <c r="S4106" s="232"/>
      <c r="T4106" s="270"/>
    </row>
    <row r="4107" spans="14:20" x14ac:dyDescent="0.25">
      <c r="N4107" s="362"/>
      <c r="R4107" s="210"/>
      <c r="S4107" s="232"/>
      <c r="T4107" s="270"/>
    </row>
    <row r="4108" spans="14:20" x14ac:dyDescent="0.25">
      <c r="N4108" s="362"/>
      <c r="R4108" s="210"/>
      <c r="S4108" s="232"/>
      <c r="T4108" s="270"/>
    </row>
    <row r="4109" spans="14:20" x14ac:dyDescent="0.25">
      <c r="N4109" s="362"/>
      <c r="R4109" s="210"/>
      <c r="S4109" s="232"/>
      <c r="T4109" s="270"/>
    </row>
    <row r="4110" spans="14:20" x14ac:dyDescent="0.25">
      <c r="N4110" s="362"/>
      <c r="R4110" s="210"/>
      <c r="S4110" s="232"/>
      <c r="T4110" s="270"/>
    </row>
    <row r="4111" spans="14:20" x14ac:dyDescent="0.25">
      <c r="N4111" s="362"/>
      <c r="R4111" s="210"/>
      <c r="S4111" s="232"/>
      <c r="T4111" s="270"/>
    </row>
    <row r="4112" spans="14:20" x14ac:dyDescent="0.25">
      <c r="N4112" s="362"/>
      <c r="R4112" s="210"/>
      <c r="S4112" s="232"/>
      <c r="T4112" s="270"/>
    </row>
    <row r="4113" spans="14:20" x14ac:dyDescent="0.25">
      <c r="N4113" s="362"/>
      <c r="R4113" s="210"/>
      <c r="S4113" s="232"/>
      <c r="T4113" s="270"/>
    </row>
    <row r="4114" spans="14:20" x14ac:dyDescent="0.25">
      <c r="N4114" s="362"/>
      <c r="R4114" s="210"/>
      <c r="S4114" s="232"/>
      <c r="T4114" s="270"/>
    </row>
    <row r="4115" spans="14:20" x14ac:dyDescent="0.25">
      <c r="N4115" s="362"/>
      <c r="R4115" s="210"/>
      <c r="S4115" s="232"/>
      <c r="T4115" s="270"/>
    </row>
    <row r="4116" spans="14:20" x14ac:dyDescent="0.25">
      <c r="N4116" s="362"/>
      <c r="R4116" s="210"/>
      <c r="S4116" s="232"/>
      <c r="T4116" s="270"/>
    </row>
    <row r="4117" spans="14:20" x14ac:dyDescent="0.25">
      <c r="N4117" s="362"/>
      <c r="R4117" s="210"/>
      <c r="S4117" s="232"/>
      <c r="T4117" s="270"/>
    </row>
    <row r="4118" spans="14:20" x14ac:dyDescent="0.25">
      <c r="N4118" s="362"/>
      <c r="R4118" s="210"/>
      <c r="S4118" s="232"/>
      <c r="T4118" s="270"/>
    </row>
    <row r="4119" spans="14:20" x14ac:dyDescent="0.25">
      <c r="N4119" s="362"/>
      <c r="R4119" s="210"/>
      <c r="S4119" s="232"/>
      <c r="T4119" s="270"/>
    </row>
    <row r="4120" spans="14:20" x14ac:dyDescent="0.25">
      <c r="N4120" s="362"/>
      <c r="R4120" s="210"/>
      <c r="S4120" s="232"/>
      <c r="T4120" s="270"/>
    </row>
    <row r="4121" spans="14:20" x14ac:dyDescent="0.25">
      <c r="N4121" s="362"/>
      <c r="R4121" s="210"/>
      <c r="S4121" s="232"/>
      <c r="T4121" s="270"/>
    </row>
    <row r="4122" spans="14:20" x14ac:dyDescent="0.25">
      <c r="N4122" s="362"/>
      <c r="R4122" s="210"/>
      <c r="S4122" s="232"/>
      <c r="T4122" s="270"/>
    </row>
    <row r="4123" spans="14:20" x14ac:dyDescent="0.25">
      <c r="N4123" s="362"/>
      <c r="R4123" s="210"/>
      <c r="S4123" s="232"/>
      <c r="T4123" s="270"/>
    </row>
    <row r="4124" spans="14:20" x14ac:dyDescent="0.25">
      <c r="N4124" s="362"/>
      <c r="R4124" s="210"/>
      <c r="S4124" s="232"/>
      <c r="T4124" s="270"/>
    </row>
    <row r="4125" spans="14:20" x14ac:dyDescent="0.25">
      <c r="N4125" s="362"/>
      <c r="R4125" s="210"/>
      <c r="S4125" s="232"/>
      <c r="T4125" s="270"/>
    </row>
    <row r="4126" spans="14:20" x14ac:dyDescent="0.25">
      <c r="N4126" s="362"/>
      <c r="R4126" s="210"/>
      <c r="S4126" s="232"/>
      <c r="T4126" s="270"/>
    </row>
    <row r="4127" spans="14:20" x14ac:dyDescent="0.25">
      <c r="N4127" s="362"/>
      <c r="R4127" s="210"/>
      <c r="S4127" s="232"/>
      <c r="T4127" s="270"/>
    </row>
    <row r="4128" spans="14:20" x14ac:dyDescent="0.25">
      <c r="N4128" s="362"/>
      <c r="R4128" s="210"/>
      <c r="S4128" s="232"/>
      <c r="T4128" s="270"/>
    </row>
    <row r="4129" spans="14:20" x14ac:dyDescent="0.25">
      <c r="N4129" s="362"/>
      <c r="R4129" s="210"/>
      <c r="S4129" s="232"/>
      <c r="T4129" s="270"/>
    </row>
    <row r="4130" spans="14:20" x14ac:dyDescent="0.25">
      <c r="N4130" s="362"/>
      <c r="R4130" s="210"/>
      <c r="S4130" s="232"/>
      <c r="T4130" s="270"/>
    </row>
    <row r="4131" spans="14:20" x14ac:dyDescent="0.25">
      <c r="N4131" s="362"/>
      <c r="R4131" s="210"/>
      <c r="S4131" s="232"/>
      <c r="T4131" s="270"/>
    </row>
    <row r="4132" spans="14:20" x14ac:dyDescent="0.25">
      <c r="N4132" s="362"/>
      <c r="R4132" s="210"/>
      <c r="S4132" s="232"/>
      <c r="T4132" s="270"/>
    </row>
    <row r="4133" spans="14:20" x14ac:dyDescent="0.25">
      <c r="N4133" s="362"/>
      <c r="R4133" s="210"/>
      <c r="S4133" s="232"/>
      <c r="T4133" s="270"/>
    </row>
    <row r="4134" spans="14:20" x14ac:dyDescent="0.25">
      <c r="N4134" s="362"/>
      <c r="R4134" s="210"/>
      <c r="S4134" s="232"/>
      <c r="T4134" s="270"/>
    </row>
    <row r="4135" spans="14:20" x14ac:dyDescent="0.25">
      <c r="N4135" s="362"/>
      <c r="R4135" s="210"/>
      <c r="S4135" s="232"/>
      <c r="T4135" s="270"/>
    </row>
    <row r="4136" spans="14:20" x14ac:dyDescent="0.25">
      <c r="N4136" s="362"/>
      <c r="R4136" s="210"/>
      <c r="S4136" s="232"/>
      <c r="T4136" s="270"/>
    </row>
    <row r="4137" spans="14:20" x14ac:dyDescent="0.25">
      <c r="N4137" s="362"/>
      <c r="R4137" s="210"/>
      <c r="S4137" s="232"/>
      <c r="T4137" s="270"/>
    </row>
    <row r="4138" spans="14:20" x14ac:dyDescent="0.25">
      <c r="N4138" s="362"/>
      <c r="R4138" s="210"/>
      <c r="S4138" s="232"/>
      <c r="T4138" s="270"/>
    </row>
    <row r="4139" spans="14:20" x14ac:dyDescent="0.25">
      <c r="N4139" s="362"/>
      <c r="R4139" s="210"/>
      <c r="S4139" s="232"/>
      <c r="T4139" s="270"/>
    </row>
    <row r="4140" spans="14:20" x14ac:dyDescent="0.25">
      <c r="N4140" s="362"/>
      <c r="R4140" s="210"/>
      <c r="S4140" s="232"/>
      <c r="T4140" s="270"/>
    </row>
    <row r="4141" spans="14:20" x14ac:dyDescent="0.25">
      <c r="N4141" s="362"/>
      <c r="R4141" s="210"/>
      <c r="S4141" s="232"/>
      <c r="T4141" s="270"/>
    </row>
    <row r="4142" spans="14:20" x14ac:dyDescent="0.25">
      <c r="N4142" s="362"/>
      <c r="R4142" s="210"/>
      <c r="S4142" s="232"/>
      <c r="T4142" s="270"/>
    </row>
    <row r="4143" spans="14:20" x14ac:dyDescent="0.25">
      <c r="N4143" s="362"/>
      <c r="R4143" s="210"/>
      <c r="S4143" s="232"/>
      <c r="T4143" s="270"/>
    </row>
    <row r="4144" spans="14:20" x14ac:dyDescent="0.25">
      <c r="N4144" s="362"/>
      <c r="R4144" s="210"/>
      <c r="S4144" s="232"/>
      <c r="T4144" s="270"/>
    </row>
    <row r="4145" spans="14:20" x14ac:dyDescent="0.25">
      <c r="N4145" s="362"/>
      <c r="R4145" s="210"/>
      <c r="S4145" s="232"/>
      <c r="T4145" s="270"/>
    </row>
    <row r="4146" spans="14:20" x14ac:dyDescent="0.25">
      <c r="N4146" s="362"/>
      <c r="R4146" s="210"/>
      <c r="S4146" s="232"/>
      <c r="T4146" s="270"/>
    </row>
    <row r="4147" spans="14:20" x14ac:dyDescent="0.25">
      <c r="N4147" s="362"/>
      <c r="R4147" s="210"/>
      <c r="S4147" s="232"/>
      <c r="T4147" s="270"/>
    </row>
    <row r="4148" spans="14:20" x14ac:dyDescent="0.25">
      <c r="N4148" s="362"/>
      <c r="R4148" s="210"/>
      <c r="S4148" s="232"/>
      <c r="T4148" s="270"/>
    </row>
    <row r="4149" spans="14:20" x14ac:dyDescent="0.25">
      <c r="N4149" s="362"/>
      <c r="R4149" s="210"/>
      <c r="S4149" s="232"/>
      <c r="T4149" s="270"/>
    </row>
    <row r="4150" spans="14:20" x14ac:dyDescent="0.25">
      <c r="N4150" s="362"/>
      <c r="R4150" s="210"/>
      <c r="S4150" s="232"/>
      <c r="T4150" s="270"/>
    </row>
    <row r="4151" spans="14:20" x14ac:dyDescent="0.25">
      <c r="N4151" s="362"/>
      <c r="R4151" s="210"/>
      <c r="S4151" s="232"/>
      <c r="T4151" s="270"/>
    </row>
    <row r="4152" spans="14:20" x14ac:dyDescent="0.25">
      <c r="N4152" s="362"/>
      <c r="R4152" s="210"/>
      <c r="S4152" s="232"/>
      <c r="T4152" s="270"/>
    </row>
    <row r="4153" spans="14:20" x14ac:dyDescent="0.25">
      <c r="N4153" s="362"/>
      <c r="R4153" s="210"/>
      <c r="S4153" s="232"/>
      <c r="T4153" s="270"/>
    </row>
    <row r="4154" spans="14:20" x14ac:dyDescent="0.25">
      <c r="N4154" s="362"/>
      <c r="R4154" s="210"/>
      <c r="S4154" s="232"/>
      <c r="T4154" s="270"/>
    </row>
    <row r="4155" spans="14:20" x14ac:dyDescent="0.25">
      <c r="N4155" s="362"/>
      <c r="R4155" s="210"/>
      <c r="S4155" s="232"/>
      <c r="T4155" s="270"/>
    </row>
    <row r="4156" spans="14:20" x14ac:dyDescent="0.25">
      <c r="N4156" s="362"/>
      <c r="R4156" s="210"/>
      <c r="S4156" s="232"/>
      <c r="T4156" s="270"/>
    </row>
    <row r="4157" spans="14:20" x14ac:dyDescent="0.25">
      <c r="N4157" s="362"/>
      <c r="R4157" s="210"/>
      <c r="S4157" s="232"/>
      <c r="T4157" s="270"/>
    </row>
    <row r="4158" spans="14:20" x14ac:dyDescent="0.25">
      <c r="N4158" s="362"/>
      <c r="R4158" s="210"/>
      <c r="S4158" s="232"/>
      <c r="T4158" s="270"/>
    </row>
    <row r="4159" spans="14:20" x14ac:dyDescent="0.25">
      <c r="N4159" s="362"/>
      <c r="R4159" s="210"/>
      <c r="S4159" s="232"/>
      <c r="T4159" s="270"/>
    </row>
    <row r="4160" spans="14:20" x14ac:dyDescent="0.25">
      <c r="N4160" s="362"/>
      <c r="R4160" s="210"/>
      <c r="S4160" s="232"/>
      <c r="T4160" s="270"/>
    </row>
    <row r="4161" spans="14:20" x14ac:dyDescent="0.25">
      <c r="N4161" s="362"/>
      <c r="R4161" s="210"/>
      <c r="S4161" s="232"/>
      <c r="T4161" s="270"/>
    </row>
    <row r="4162" spans="14:20" x14ac:dyDescent="0.25">
      <c r="N4162" s="362"/>
      <c r="R4162" s="210"/>
      <c r="S4162" s="232"/>
      <c r="T4162" s="270"/>
    </row>
    <row r="4163" spans="14:20" x14ac:dyDescent="0.25">
      <c r="N4163" s="362"/>
      <c r="R4163" s="210"/>
      <c r="S4163" s="232"/>
      <c r="T4163" s="270"/>
    </row>
    <row r="4164" spans="14:20" x14ac:dyDescent="0.25">
      <c r="N4164" s="362"/>
      <c r="R4164" s="210"/>
      <c r="S4164" s="232"/>
      <c r="T4164" s="270"/>
    </row>
    <row r="4165" spans="14:20" x14ac:dyDescent="0.25">
      <c r="N4165" s="362"/>
      <c r="R4165" s="210"/>
      <c r="S4165" s="232"/>
      <c r="T4165" s="270"/>
    </row>
    <row r="4166" spans="14:20" x14ac:dyDescent="0.25">
      <c r="N4166" s="362"/>
      <c r="R4166" s="210"/>
      <c r="S4166" s="232"/>
      <c r="T4166" s="270"/>
    </row>
    <row r="4167" spans="14:20" x14ac:dyDescent="0.25">
      <c r="N4167" s="362"/>
      <c r="R4167" s="210"/>
      <c r="S4167" s="232"/>
      <c r="T4167" s="270"/>
    </row>
    <row r="4168" spans="14:20" x14ac:dyDescent="0.25">
      <c r="N4168" s="362"/>
      <c r="R4168" s="210"/>
      <c r="S4168" s="232"/>
      <c r="T4168" s="270"/>
    </row>
    <row r="4169" spans="14:20" x14ac:dyDescent="0.25">
      <c r="N4169" s="362"/>
      <c r="R4169" s="210"/>
      <c r="S4169" s="232"/>
      <c r="T4169" s="270"/>
    </row>
    <row r="4170" spans="14:20" x14ac:dyDescent="0.25">
      <c r="N4170" s="362"/>
      <c r="R4170" s="210"/>
      <c r="S4170" s="232"/>
      <c r="T4170" s="270"/>
    </row>
    <row r="4171" spans="14:20" x14ac:dyDescent="0.25">
      <c r="N4171" s="362"/>
      <c r="R4171" s="210"/>
      <c r="S4171" s="232"/>
      <c r="T4171" s="270"/>
    </row>
    <row r="4172" spans="14:20" x14ac:dyDescent="0.25">
      <c r="N4172" s="362"/>
      <c r="R4172" s="210"/>
      <c r="S4172" s="232"/>
      <c r="T4172" s="270"/>
    </row>
    <row r="4173" spans="14:20" x14ac:dyDescent="0.25">
      <c r="N4173" s="362"/>
      <c r="R4173" s="210"/>
      <c r="S4173" s="232"/>
      <c r="T4173" s="270"/>
    </row>
    <row r="4174" spans="14:20" x14ac:dyDescent="0.25">
      <c r="N4174" s="362"/>
      <c r="R4174" s="210"/>
      <c r="S4174" s="232"/>
      <c r="T4174" s="270"/>
    </row>
    <row r="4175" spans="14:20" x14ac:dyDescent="0.25">
      <c r="N4175" s="362"/>
      <c r="R4175" s="210"/>
      <c r="S4175" s="232"/>
      <c r="T4175" s="270"/>
    </row>
    <row r="4176" spans="14:20" x14ac:dyDescent="0.25">
      <c r="N4176" s="362"/>
      <c r="R4176" s="210"/>
      <c r="S4176" s="232"/>
      <c r="T4176" s="270"/>
    </row>
    <row r="4177" spans="14:20" x14ac:dyDescent="0.25">
      <c r="N4177" s="362"/>
      <c r="R4177" s="210"/>
      <c r="S4177" s="232"/>
      <c r="T4177" s="270"/>
    </row>
    <row r="4178" spans="14:20" x14ac:dyDescent="0.25">
      <c r="N4178" s="362"/>
      <c r="R4178" s="210"/>
      <c r="S4178" s="232"/>
      <c r="T4178" s="270"/>
    </row>
    <row r="4179" spans="14:20" x14ac:dyDescent="0.25">
      <c r="N4179" s="362"/>
      <c r="R4179" s="210"/>
      <c r="S4179" s="232"/>
      <c r="T4179" s="270"/>
    </row>
    <row r="4180" spans="14:20" x14ac:dyDescent="0.25">
      <c r="N4180" s="362"/>
      <c r="R4180" s="210"/>
      <c r="S4180" s="232"/>
      <c r="T4180" s="270"/>
    </row>
    <row r="4181" spans="14:20" x14ac:dyDescent="0.25">
      <c r="N4181" s="362"/>
      <c r="R4181" s="210"/>
      <c r="S4181" s="232"/>
      <c r="T4181" s="270"/>
    </row>
    <row r="4182" spans="14:20" x14ac:dyDescent="0.25">
      <c r="N4182" s="362"/>
      <c r="R4182" s="210"/>
      <c r="S4182" s="232"/>
      <c r="T4182" s="270"/>
    </row>
    <row r="4183" spans="14:20" x14ac:dyDescent="0.25">
      <c r="N4183" s="362"/>
      <c r="R4183" s="210"/>
      <c r="S4183" s="232"/>
      <c r="T4183" s="270"/>
    </row>
    <row r="4184" spans="14:20" x14ac:dyDescent="0.25">
      <c r="N4184" s="362"/>
      <c r="R4184" s="210"/>
      <c r="S4184" s="232"/>
      <c r="T4184" s="270"/>
    </row>
    <row r="4185" spans="14:20" x14ac:dyDescent="0.25">
      <c r="N4185" s="362"/>
      <c r="R4185" s="210"/>
      <c r="S4185" s="232"/>
      <c r="T4185" s="270"/>
    </row>
    <row r="4186" spans="14:20" x14ac:dyDescent="0.25">
      <c r="N4186" s="362"/>
      <c r="R4186" s="210"/>
      <c r="S4186" s="232"/>
      <c r="T4186" s="270"/>
    </row>
    <row r="4187" spans="14:20" x14ac:dyDescent="0.25">
      <c r="N4187" s="362"/>
      <c r="R4187" s="210"/>
      <c r="S4187" s="232"/>
      <c r="T4187" s="270"/>
    </row>
    <row r="4188" spans="14:20" x14ac:dyDescent="0.25">
      <c r="N4188" s="362"/>
      <c r="R4188" s="210"/>
      <c r="S4188" s="232"/>
      <c r="T4188" s="270"/>
    </row>
    <row r="4189" spans="14:20" x14ac:dyDescent="0.25">
      <c r="N4189" s="362"/>
      <c r="R4189" s="210"/>
      <c r="S4189" s="232"/>
      <c r="T4189" s="270"/>
    </row>
    <row r="4190" spans="14:20" x14ac:dyDescent="0.25">
      <c r="N4190" s="362"/>
      <c r="R4190" s="210"/>
      <c r="S4190" s="232"/>
      <c r="T4190" s="270"/>
    </row>
    <row r="4191" spans="14:20" x14ac:dyDescent="0.25">
      <c r="N4191" s="362"/>
      <c r="R4191" s="210"/>
      <c r="S4191" s="232"/>
      <c r="T4191" s="270"/>
    </row>
    <row r="4192" spans="14:20" x14ac:dyDescent="0.25">
      <c r="N4192" s="362"/>
      <c r="R4192" s="210"/>
      <c r="S4192" s="232"/>
      <c r="T4192" s="270"/>
    </row>
    <row r="4193" spans="14:20" x14ac:dyDescent="0.25">
      <c r="N4193" s="362"/>
      <c r="R4193" s="210"/>
      <c r="S4193" s="232"/>
      <c r="T4193" s="270"/>
    </row>
    <row r="4194" spans="14:20" x14ac:dyDescent="0.25">
      <c r="N4194" s="362"/>
      <c r="R4194" s="210"/>
      <c r="S4194" s="232"/>
      <c r="T4194" s="270"/>
    </row>
    <row r="4195" spans="14:20" x14ac:dyDescent="0.25">
      <c r="N4195" s="362"/>
      <c r="R4195" s="210"/>
      <c r="S4195" s="232"/>
      <c r="T4195" s="270"/>
    </row>
    <row r="4196" spans="14:20" x14ac:dyDescent="0.25">
      <c r="N4196" s="362"/>
      <c r="R4196" s="210"/>
      <c r="S4196" s="232"/>
      <c r="T4196" s="270"/>
    </row>
    <row r="4197" spans="14:20" x14ac:dyDescent="0.25">
      <c r="N4197" s="362"/>
      <c r="R4197" s="210"/>
      <c r="S4197" s="232"/>
      <c r="T4197" s="270"/>
    </row>
    <row r="4198" spans="14:20" x14ac:dyDescent="0.25">
      <c r="N4198" s="362"/>
      <c r="R4198" s="210"/>
      <c r="S4198" s="232"/>
      <c r="T4198" s="270"/>
    </row>
    <row r="4199" spans="14:20" x14ac:dyDescent="0.25">
      <c r="N4199" s="362"/>
      <c r="R4199" s="210"/>
      <c r="S4199" s="232"/>
      <c r="T4199" s="270"/>
    </row>
    <row r="4200" spans="14:20" x14ac:dyDescent="0.25">
      <c r="N4200" s="362"/>
      <c r="R4200" s="210"/>
      <c r="S4200" s="232"/>
      <c r="T4200" s="270"/>
    </row>
    <row r="4201" spans="14:20" x14ac:dyDescent="0.25">
      <c r="N4201" s="362"/>
      <c r="R4201" s="210"/>
      <c r="S4201" s="232"/>
      <c r="T4201" s="270"/>
    </row>
    <row r="4202" spans="14:20" x14ac:dyDescent="0.25">
      <c r="N4202" s="362"/>
      <c r="R4202" s="210"/>
      <c r="S4202" s="232"/>
      <c r="T4202" s="270"/>
    </row>
    <row r="4203" spans="14:20" x14ac:dyDescent="0.25">
      <c r="N4203" s="362"/>
      <c r="R4203" s="210"/>
      <c r="S4203" s="232"/>
      <c r="T4203" s="270"/>
    </row>
    <row r="4204" spans="14:20" x14ac:dyDescent="0.25">
      <c r="N4204" s="362"/>
      <c r="R4204" s="210"/>
      <c r="S4204" s="232"/>
      <c r="T4204" s="270"/>
    </row>
    <row r="4205" spans="14:20" x14ac:dyDescent="0.25">
      <c r="N4205" s="362"/>
      <c r="R4205" s="210"/>
      <c r="S4205" s="232"/>
      <c r="T4205" s="270"/>
    </row>
    <row r="4206" spans="14:20" x14ac:dyDescent="0.25">
      <c r="N4206" s="362"/>
      <c r="R4206" s="210"/>
      <c r="S4206" s="232"/>
      <c r="T4206" s="270"/>
    </row>
    <row r="4207" spans="14:20" x14ac:dyDescent="0.25">
      <c r="N4207" s="362"/>
      <c r="R4207" s="210"/>
      <c r="S4207" s="232"/>
      <c r="T4207" s="270"/>
    </row>
    <row r="4208" spans="14:20" x14ac:dyDescent="0.25">
      <c r="N4208" s="362"/>
      <c r="R4208" s="210"/>
      <c r="S4208" s="232"/>
      <c r="T4208" s="270"/>
    </row>
    <row r="4209" spans="14:20" x14ac:dyDescent="0.25">
      <c r="N4209" s="362"/>
      <c r="R4209" s="210"/>
      <c r="S4209" s="232"/>
      <c r="T4209" s="270"/>
    </row>
    <row r="4210" spans="14:20" x14ac:dyDescent="0.25">
      <c r="N4210" s="362"/>
      <c r="R4210" s="210"/>
      <c r="S4210" s="232"/>
      <c r="T4210" s="270"/>
    </row>
    <row r="4211" spans="14:20" x14ac:dyDescent="0.25">
      <c r="N4211" s="362"/>
      <c r="R4211" s="210"/>
      <c r="S4211" s="232"/>
      <c r="T4211" s="270"/>
    </row>
    <row r="4212" spans="14:20" x14ac:dyDescent="0.25">
      <c r="N4212" s="362"/>
      <c r="R4212" s="210"/>
      <c r="S4212" s="232"/>
      <c r="T4212" s="270"/>
    </row>
    <row r="4213" spans="14:20" x14ac:dyDescent="0.25">
      <c r="N4213" s="362"/>
      <c r="R4213" s="210"/>
      <c r="S4213" s="232"/>
      <c r="T4213" s="270"/>
    </row>
    <row r="4214" spans="14:20" x14ac:dyDescent="0.25">
      <c r="N4214" s="362"/>
      <c r="R4214" s="210"/>
      <c r="S4214" s="232"/>
      <c r="T4214" s="270"/>
    </row>
    <row r="4215" spans="14:20" x14ac:dyDescent="0.25">
      <c r="N4215" s="362"/>
      <c r="R4215" s="210"/>
      <c r="S4215" s="232"/>
      <c r="T4215" s="270"/>
    </row>
    <row r="4216" spans="14:20" x14ac:dyDescent="0.25">
      <c r="N4216" s="362"/>
      <c r="R4216" s="210"/>
      <c r="S4216" s="232"/>
      <c r="T4216" s="270"/>
    </row>
    <row r="4217" spans="14:20" x14ac:dyDescent="0.25">
      <c r="N4217" s="362"/>
      <c r="R4217" s="210"/>
      <c r="S4217" s="232"/>
      <c r="T4217" s="270"/>
    </row>
    <row r="4218" spans="14:20" x14ac:dyDescent="0.25">
      <c r="N4218" s="362"/>
      <c r="R4218" s="210"/>
      <c r="S4218" s="232"/>
      <c r="T4218" s="270"/>
    </row>
    <row r="4219" spans="14:20" x14ac:dyDescent="0.25">
      <c r="N4219" s="362"/>
      <c r="R4219" s="210"/>
      <c r="S4219" s="232"/>
      <c r="T4219" s="270"/>
    </row>
    <row r="4220" spans="14:20" x14ac:dyDescent="0.25">
      <c r="N4220" s="362"/>
      <c r="R4220" s="210"/>
      <c r="S4220" s="232"/>
      <c r="T4220" s="270"/>
    </row>
    <row r="4221" spans="14:20" x14ac:dyDescent="0.25">
      <c r="N4221" s="362"/>
      <c r="R4221" s="210"/>
      <c r="S4221" s="232"/>
      <c r="T4221" s="270"/>
    </row>
    <row r="4222" spans="14:20" x14ac:dyDescent="0.25">
      <c r="N4222" s="362"/>
      <c r="R4222" s="210"/>
      <c r="S4222" s="232"/>
      <c r="T4222" s="270"/>
    </row>
    <row r="4223" spans="14:20" x14ac:dyDescent="0.25">
      <c r="N4223" s="362"/>
      <c r="R4223" s="210"/>
      <c r="S4223" s="232"/>
      <c r="T4223" s="270"/>
    </row>
    <row r="4224" spans="14:20" x14ac:dyDescent="0.25">
      <c r="N4224" s="362"/>
      <c r="R4224" s="210"/>
      <c r="S4224" s="232"/>
      <c r="T4224" s="270"/>
    </row>
    <row r="4225" spans="14:20" x14ac:dyDescent="0.25">
      <c r="N4225" s="362"/>
      <c r="R4225" s="210"/>
      <c r="S4225" s="232"/>
      <c r="T4225" s="270"/>
    </row>
    <row r="4226" spans="14:20" x14ac:dyDescent="0.25">
      <c r="N4226" s="362"/>
      <c r="R4226" s="210"/>
      <c r="S4226" s="232"/>
      <c r="T4226" s="270"/>
    </row>
    <row r="4227" spans="14:20" x14ac:dyDescent="0.25">
      <c r="N4227" s="362"/>
      <c r="R4227" s="210"/>
      <c r="S4227" s="232"/>
      <c r="T4227" s="270"/>
    </row>
    <row r="4228" spans="14:20" x14ac:dyDescent="0.25">
      <c r="N4228" s="362"/>
      <c r="R4228" s="210"/>
      <c r="S4228" s="232"/>
      <c r="T4228" s="270"/>
    </row>
    <row r="4229" spans="14:20" x14ac:dyDescent="0.25">
      <c r="N4229" s="362"/>
      <c r="R4229" s="210"/>
      <c r="S4229" s="232"/>
      <c r="T4229" s="270"/>
    </row>
    <row r="4230" spans="14:20" x14ac:dyDescent="0.25">
      <c r="N4230" s="362"/>
      <c r="R4230" s="210"/>
      <c r="S4230" s="232"/>
      <c r="T4230" s="270"/>
    </row>
    <row r="4231" spans="14:20" x14ac:dyDescent="0.25">
      <c r="N4231" s="362"/>
      <c r="R4231" s="210"/>
      <c r="S4231" s="232"/>
      <c r="T4231" s="270"/>
    </row>
    <row r="4232" spans="14:20" x14ac:dyDescent="0.25">
      <c r="N4232" s="362"/>
      <c r="R4232" s="210"/>
      <c r="S4232" s="232"/>
      <c r="T4232" s="270"/>
    </row>
    <row r="4233" spans="14:20" x14ac:dyDescent="0.25">
      <c r="N4233" s="362"/>
      <c r="R4233" s="210"/>
      <c r="S4233" s="232"/>
      <c r="T4233" s="270"/>
    </row>
    <row r="4234" spans="14:20" x14ac:dyDescent="0.25">
      <c r="N4234" s="362"/>
      <c r="R4234" s="210"/>
      <c r="S4234" s="232"/>
      <c r="T4234" s="270"/>
    </row>
    <row r="4235" spans="14:20" x14ac:dyDescent="0.25">
      <c r="N4235" s="362"/>
      <c r="R4235" s="210"/>
      <c r="S4235" s="232"/>
      <c r="T4235" s="270"/>
    </row>
    <row r="4236" spans="14:20" x14ac:dyDescent="0.25">
      <c r="N4236" s="362"/>
      <c r="R4236" s="210"/>
      <c r="S4236" s="232"/>
      <c r="T4236" s="270"/>
    </row>
    <row r="4237" spans="14:20" x14ac:dyDescent="0.25">
      <c r="N4237" s="362"/>
      <c r="R4237" s="210"/>
      <c r="S4237" s="232"/>
      <c r="T4237" s="270"/>
    </row>
    <row r="4238" spans="14:20" x14ac:dyDescent="0.25">
      <c r="N4238" s="362"/>
      <c r="R4238" s="210"/>
      <c r="S4238" s="232"/>
      <c r="T4238" s="270"/>
    </row>
    <row r="4239" spans="14:20" x14ac:dyDescent="0.25">
      <c r="N4239" s="362"/>
      <c r="R4239" s="210"/>
      <c r="S4239" s="232"/>
      <c r="T4239" s="270"/>
    </row>
    <row r="4240" spans="14:20" x14ac:dyDescent="0.25">
      <c r="N4240" s="362"/>
      <c r="R4240" s="210"/>
      <c r="S4240" s="232"/>
      <c r="T4240" s="270"/>
    </row>
    <row r="4241" spans="14:20" x14ac:dyDescent="0.25">
      <c r="N4241" s="362"/>
      <c r="R4241" s="210"/>
      <c r="S4241" s="232"/>
      <c r="T4241" s="270"/>
    </row>
    <row r="4242" spans="14:20" x14ac:dyDescent="0.25">
      <c r="N4242" s="362"/>
      <c r="R4242" s="210"/>
      <c r="S4242" s="232"/>
      <c r="T4242" s="270"/>
    </row>
    <row r="4243" spans="14:20" x14ac:dyDescent="0.25">
      <c r="N4243" s="362"/>
      <c r="R4243" s="210"/>
      <c r="S4243" s="232"/>
      <c r="T4243" s="270"/>
    </row>
    <row r="4244" spans="14:20" x14ac:dyDescent="0.25">
      <c r="N4244" s="362"/>
      <c r="R4244" s="210"/>
      <c r="S4244" s="232"/>
      <c r="T4244" s="270"/>
    </row>
    <row r="4245" spans="14:20" x14ac:dyDescent="0.25">
      <c r="N4245" s="362"/>
      <c r="R4245" s="210"/>
      <c r="S4245" s="232"/>
      <c r="T4245" s="270"/>
    </row>
    <row r="4246" spans="14:20" x14ac:dyDescent="0.25">
      <c r="N4246" s="362"/>
      <c r="R4246" s="210"/>
      <c r="S4246" s="232"/>
      <c r="T4246" s="270"/>
    </row>
    <row r="4247" spans="14:20" x14ac:dyDescent="0.25">
      <c r="N4247" s="362"/>
      <c r="R4247" s="210"/>
      <c r="S4247" s="232"/>
      <c r="T4247" s="270"/>
    </row>
    <row r="4248" spans="14:20" x14ac:dyDescent="0.25">
      <c r="N4248" s="362"/>
      <c r="R4248" s="210"/>
      <c r="S4248" s="232"/>
      <c r="T4248" s="270"/>
    </row>
    <row r="4249" spans="14:20" x14ac:dyDescent="0.25">
      <c r="N4249" s="362"/>
      <c r="R4249" s="210"/>
      <c r="S4249" s="232"/>
      <c r="T4249" s="270"/>
    </row>
    <row r="4250" spans="14:20" x14ac:dyDescent="0.25">
      <c r="N4250" s="362"/>
      <c r="R4250" s="210"/>
      <c r="S4250" s="232"/>
      <c r="T4250" s="270"/>
    </row>
    <row r="4251" spans="14:20" x14ac:dyDescent="0.25">
      <c r="N4251" s="362"/>
      <c r="R4251" s="210"/>
      <c r="S4251" s="232"/>
      <c r="T4251" s="270"/>
    </row>
    <row r="4252" spans="14:20" x14ac:dyDescent="0.25">
      <c r="N4252" s="362"/>
      <c r="R4252" s="210"/>
      <c r="S4252" s="232"/>
      <c r="T4252" s="270"/>
    </row>
    <row r="4253" spans="14:20" x14ac:dyDescent="0.25">
      <c r="N4253" s="362"/>
      <c r="R4253" s="210"/>
      <c r="S4253" s="232"/>
      <c r="T4253" s="270"/>
    </row>
    <row r="4254" spans="14:20" x14ac:dyDescent="0.25">
      <c r="N4254" s="362"/>
      <c r="R4254" s="210"/>
      <c r="S4254" s="232"/>
      <c r="T4254" s="270"/>
    </row>
    <row r="4255" spans="14:20" x14ac:dyDescent="0.25">
      <c r="N4255" s="362"/>
      <c r="R4255" s="210"/>
      <c r="S4255" s="232"/>
      <c r="T4255" s="270"/>
    </row>
    <row r="4256" spans="14:20" x14ac:dyDescent="0.25">
      <c r="N4256" s="362"/>
      <c r="R4256" s="210"/>
      <c r="S4256" s="232"/>
      <c r="T4256" s="270"/>
    </row>
    <row r="4257" spans="14:20" x14ac:dyDescent="0.25">
      <c r="N4257" s="362"/>
      <c r="R4257" s="210"/>
      <c r="S4257" s="232"/>
      <c r="T4257" s="270"/>
    </row>
    <row r="4258" spans="14:20" x14ac:dyDescent="0.25">
      <c r="N4258" s="362"/>
      <c r="R4258" s="210"/>
      <c r="S4258" s="232"/>
      <c r="T4258" s="270"/>
    </row>
    <row r="4259" spans="14:20" x14ac:dyDescent="0.25">
      <c r="N4259" s="362"/>
      <c r="R4259" s="210"/>
      <c r="S4259" s="232"/>
      <c r="T4259" s="270"/>
    </row>
    <row r="4260" spans="14:20" x14ac:dyDescent="0.25">
      <c r="N4260" s="362"/>
      <c r="R4260" s="210"/>
      <c r="S4260" s="232"/>
      <c r="T4260" s="270"/>
    </row>
    <row r="4261" spans="14:20" x14ac:dyDescent="0.25">
      <c r="N4261" s="362"/>
      <c r="R4261" s="210"/>
      <c r="S4261" s="232"/>
      <c r="T4261" s="270"/>
    </row>
    <row r="4262" spans="14:20" x14ac:dyDescent="0.25">
      <c r="N4262" s="362"/>
      <c r="R4262" s="210"/>
      <c r="S4262" s="232"/>
      <c r="T4262" s="270"/>
    </row>
    <row r="4263" spans="14:20" x14ac:dyDescent="0.25">
      <c r="N4263" s="362"/>
      <c r="R4263" s="210"/>
      <c r="S4263" s="232"/>
      <c r="T4263" s="270"/>
    </row>
    <row r="4264" spans="14:20" x14ac:dyDescent="0.25">
      <c r="N4264" s="362"/>
      <c r="R4264" s="210"/>
      <c r="S4264" s="232"/>
      <c r="T4264" s="270"/>
    </row>
    <row r="4265" spans="14:20" x14ac:dyDescent="0.25">
      <c r="N4265" s="362"/>
      <c r="R4265" s="210"/>
      <c r="S4265" s="232"/>
      <c r="T4265" s="270"/>
    </row>
    <row r="4266" spans="14:20" x14ac:dyDescent="0.25">
      <c r="N4266" s="362"/>
      <c r="R4266" s="210"/>
      <c r="S4266" s="232"/>
      <c r="T4266" s="270"/>
    </row>
    <row r="4267" spans="14:20" x14ac:dyDescent="0.25">
      <c r="N4267" s="362"/>
      <c r="R4267" s="210"/>
      <c r="S4267" s="232"/>
      <c r="T4267" s="270"/>
    </row>
    <row r="4268" spans="14:20" x14ac:dyDescent="0.25">
      <c r="N4268" s="362"/>
      <c r="R4268" s="210"/>
      <c r="S4268" s="232"/>
      <c r="T4268" s="270"/>
    </row>
    <row r="4269" spans="14:20" x14ac:dyDescent="0.25">
      <c r="N4269" s="362"/>
      <c r="R4269" s="210"/>
      <c r="S4269" s="232"/>
      <c r="T4269" s="270"/>
    </row>
    <row r="4270" spans="14:20" x14ac:dyDescent="0.25">
      <c r="N4270" s="362"/>
      <c r="R4270" s="210"/>
      <c r="S4270" s="232"/>
      <c r="T4270" s="270"/>
    </row>
    <row r="4271" spans="14:20" x14ac:dyDescent="0.25">
      <c r="N4271" s="362"/>
      <c r="R4271" s="210"/>
      <c r="S4271" s="232"/>
      <c r="T4271" s="270"/>
    </row>
    <row r="4272" spans="14:20" x14ac:dyDescent="0.25">
      <c r="N4272" s="362"/>
      <c r="R4272" s="210"/>
      <c r="S4272" s="232"/>
      <c r="T4272" s="270"/>
    </row>
    <row r="4273" spans="14:20" x14ac:dyDescent="0.25">
      <c r="N4273" s="362"/>
      <c r="R4273" s="210"/>
      <c r="S4273" s="232"/>
      <c r="T4273" s="270"/>
    </row>
    <row r="4274" spans="14:20" x14ac:dyDescent="0.25">
      <c r="N4274" s="362"/>
      <c r="R4274" s="210"/>
      <c r="S4274" s="232"/>
      <c r="T4274" s="270"/>
    </row>
    <row r="4275" spans="14:20" x14ac:dyDescent="0.25">
      <c r="N4275" s="362"/>
      <c r="R4275" s="210"/>
      <c r="S4275" s="232"/>
      <c r="T4275" s="270"/>
    </row>
    <row r="4276" spans="14:20" x14ac:dyDescent="0.25">
      <c r="N4276" s="362"/>
      <c r="R4276" s="210"/>
      <c r="S4276" s="232"/>
      <c r="T4276" s="270"/>
    </row>
    <row r="4277" spans="14:20" x14ac:dyDescent="0.25">
      <c r="N4277" s="362"/>
      <c r="R4277" s="210"/>
      <c r="S4277" s="232"/>
      <c r="T4277" s="270"/>
    </row>
    <row r="4278" spans="14:20" x14ac:dyDescent="0.25">
      <c r="N4278" s="362"/>
      <c r="R4278" s="210"/>
      <c r="S4278" s="232"/>
      <c r="T4278" s="270"/>
    </row>
    <row r="4279" spans="14:20" x14ac:dyDescent="0.25">
      <c r="N4279" s="362"/>
      <c r="R4279" s="210"/>
      <c r="S4279" s="232"/>
      <c r="T4279" s="270"/>
    </row>
    <row r="4280" spans="14:20" x14ac:dyDescent="0.25">
      <c r="N4280" s="362"/>
      <c r="R4280" s="210"/>
      <c r="S4280" s="232"/>
      <c r="T4280" s="270"/>
    </row>
    <row r="4281" spans="14:20" x14ac:dyDescent="0.25">
      <c r="N4281" s="362"/>
      <c r="R4281" s="210"/>
      <c r="S4281" s="232"/>
      <c r="T4281" s="270"/>
    </row>
    <row r="4282" spans="14:20" x14ac:dyDescent="0.25">
      <c r="N4282" s="362"/>
      <c r="R4282" s="210"/>
      <c r="S4282" s="232"/>
      <c r="T4282" s="270"/>
    </row>
    <row r="4283" spans="14:20" x14ac:dyDescent="0.25">
      <c r="N4283" s="362"/>
      <c r="R4283" s="210"/>
      <c r="S4283" s="232"/>
      <c r="T4283" s="270"/>
    </row>
    <row r="4284" spans="14:20" x14ac:dyDescent="0.25">
      <c r="N4284" s="362"/>
      <c r="R4284" s="210"/>
      <c r="S4284" s="232"/>
      <c r="T4284" s="270"/>
    </row>
    <row r="4285" spans="14:20" x14ac:dyDescent="0.25">
      <c r="N4285" s="362"/>
      <c r="R4285" s="210"/>
      <c r="S4285" s="232"/>
      <c r="T4285" s="270"/>
    </row>
    <row r="4286" spans="14:20" x14ac:dyDescent="0.25">
      <c r="N4286" s="362"/>
      <c r="R4286" s="210"/>
      <c r="S4286" s="232"/>
      <c r="T4286" s="270"/>
    </row>
    <row r="4287" spans="14:20" x14ac:dyDescent="0.25">
      <c r="N4287" s="362"/>
      <c r="R4287" s="210"/>
      <c r="S4287" s="232"/>
      <c r="T4287" s="270"/>
    </row>
    <row r="4288" spans="14:20" x14ac:dyDescent="0.25">
      <c r="N4288" s="362"/>
      <c r="R4288" s="210"/>
      <c r="S4288" s="232"/>
      <c r="T4288" s="270"/>
    </row>
    <row r="4289" spans="14:20" x14ac:dyDescent="0.25">
      <c r="N4289" s="362"/>
      <c r="R4289" s="210"/>
      <c r="S4289" s="232"/>
      <c r="T4289" s="270"/>
    </row>
    <row r="4290" spans="14:20" x14ac:dyDescent="0.25">
      <c r="N4290" s="362"/>
      <c r="R4290" s="210"/>
      <c r="S4290" s="232"/>
      <c r="T4290" s="270"/>
    </row>
    <row r="4291" spans="14:20" x14ac:dyDescent="0.25">
      <c r="N4291" s="362"/>
      <c r="R4291" s="210"/>
      <c r="S4291" s="232"/>
      <c r="T4291" s="270"/>
    </row>
    <row r="4292" spans="14:20" x14ac:dyDescent="0.25">
      <c r="N4292" s="362"/>
      <c r="R4292" s="210"/>
      <c r="S4292" s="232"/>
      <c r="T4292" s="270"/>
    </row>
    <row r="4293" spans="14:20" x14ac:dyDescent="0.25">
      <c r="N4293" s="362"/>
      <c r="R4293" s="210"/>
      <c r="S4293" s="232"/>
      <c r="T4293" s="270"/>
    </row>
    <row r="4294" spans="14:20" x14ac:dyDescent="0.25">
      <c r="N4294" s="362"/>
      <c r="R4294" s="210"/>
      <c r="S4294" s="232"/>
      <c r="T4294" s="270"/>
    </row>
    <row r="4295" spans="14:20" x14ac:dyDescent="0.25">
      <c r="N4295" s="362"/>
      <c r="R4295" s="210"/>
      <c r="S4295" s="232"/>
      <c r="T4295" s="270"/>
    </row>
    <row r="4296" spans="14:20" x14ac:dyDescent="0.25">
      <c r="N4296" s="362"/>
      <c r="R4296" s="210"/>
      <c r="S4296" s="232"/>
      <c r="T4296" s="270"/>
    </row>
    <row r="4297" spans="14:20" x14ac:dyDescent="0.25">
      <c r="N4297" s="362"/>
      <c r="R4297" s="210"/>
      <c r="S4297" s="232"/>
      <c r="T4297" s="270"/>
    </row>
    <row r="4298" spans="14:20" x14ac:dyDescent="0.25">
      <c r="N4298" s="362"/>
      <c r="R4298" s="210"/>
      <c r="S4298" s="232"/>
      <c r="T4298" s="270"/>
    </row>
    <row r="4299" spans="14:20" x14ac:dyDescent="0.25">
      <c r="N4299" s="362"/>
      <c r="R4299" s="210"/>
      <c r="S4299" s="232"/>
      <c r="T4299" s="270"/>
    </row>
    <row r="4300" spans="14:20" x14ac:dyDescent="0.25">
      <c r="N4300" s="362"/>
      <c r="R4300" s="210"/>
      <c r="S4300" s="232"/>
      <c r="T4300" s="270"/>
    </row>
    <row r="4301" spans="14:20" x14ac:dyDescent="0.25">
      <c r="N4301" s="362"/>
      <c r="R4301" s="210"/>
      <c r="S4301" s="232"/>
      <c r="T4301" s="270"/>
    </row>
    <row r="4302" spans="14:20" x14ac:dyDescent="0.25">
      <c r="N4302" s="362"/>
      <c r="R4302" s="210"/>
      <c r="S4302" s="232"/>
      <c r="T4302" s="270"/>
    </row>
    <row r="4303" spans="14:20" x14ac:dyDescent="0.25">
      <c r="N4303" s="362"/>
      <c r="R4303" s="210"/>
      <c r="S4303" s="232"/>
      <c r="T4303" s="270"/>
    </row>
    <row r="4304" spans="14:20" x14ac:dyDescent="0.25">
      <c r="N4304" s="362"/>
      <c r="R4304" s="210"/>
      <c r="S4304" s="232"/>
      <c r="T4304" s="270"/>
    </row>
    <row r="4305" spans="14:20" x14ac:dyDescent="0.25">
      <c r="N4305" s="362"/>
      <c r="R4305" s="210"/>
      <c r="S4305" s="232"/>
      <c r="T4305" s="270"/>
    </row>
    <row r="4306" spans="14:20" x14ac:dyDescent="0.25">
      <c r="N4306" s="362"/>
      <c r="R4306" s="210"/>
      <c r="S4306" s="232"/>
      <c r="T4306" s="270"/>
    </row>
    <row r="4307" spans="14:20" x14ac:dyDescent="0.25">
      <c r="N4307" s="362"/>
      <c r="R4307" s="210"/>
      <c r="S4307" s="232"/>
      <c r="T4307" s="270"/>
    </row>
    <row r="4308" spans="14:20" x14ac:dyDescent="0.25">
      <c r="N4308" s="362"/>
      <c r="R4308" s="210"/>
      <c r="S4308" s="232"/>
      <c r="T4308" s="270"/>
    </row>
    <row r="4309" spans="14:20" x14ac:dyDescent="0.25">
      <c r="N4309" s="362"/>
      <c r="R4309" s="210"/>
      <c r="S4309" s="232"/>
      <c r="T4309" s="270"/>
    </row>
    <row r="4310" spans="14:20" x14ac:dyDescent="0.25">
      <c r="N4310" s="362"/>
      <c r="R4310" s="210"/>
      <c r="S4310" s="232"/>
      <c r="T4310" s="270"/>
    </row>
    <row r="4311" spans="14:20" x14ac:dyDescent="0.25">
      <c r="N4311" s="362"/>
      <c r="R4311" s="210"/>
      <c r="S4311" s="232"/>
      <c r="T4311" s="270"/>
    </row>
    <row r="4312" spans="14:20" x14ac:dyDescent="0.25">
      <c r="N4312" s="362"/>
      <c r="R4312" s="210"/>
      <c r="S4312" s="232"/>
      <c r="T4312" s="270"/>
    </row>
    <row r="4313" spans="14:20" x14ac:dyDescent="0.25">
      <c r="N4313" s="362"/>
      <c r="R4313" s="210"/>
      <c r="S4313" s="232"/>
      <c r="T4313" s="270"/>
    </row>
    <row r="4314" spans="14:20" x14ac:dyDescent="0.25">
      <c r="N4314" s="362"/>
      <c r="R4314" s="210"/>
      <c r="S4314" s="232"/>
      <c r="T4314" s="270"/>
    </row>
    <row r="4315" spans="14:20" x14ac:dyDescent="0.25">
      <c r="N4315" s="362"/>
      <c r="R4315" s="210"/>
      <c r="S4315" s="232"/>
      <c r="T4315" s="270"/>
    </row>
    <row r="4316" spans="14:20" x14ac:dyDescent="0.25">
      <c r="N4316" s="362"/>
      <c r="R4316" s="210"/>
      <c r="S4316" s="232"/>
      <c r="T4316" s="270"/>
    </row>
    <row r="4317" spans="14:20" x14ac:dyDescent="0.25">
      <c r="N4317" s="362"/>
      <c r="R4317" s="210"/>
      <c r="S4317" s="232"/>
      <c r="T4317" s="270"/>
    </row>
    <row r="4318" spans="14:20" x14ac:dyDescent="0.25">
      <c r="N4318" s="362"/>
      <c r="R4318" s="210"/>
      <c r="S4318" s="232"/>
      <c r="T4318" s="270"/>
    </row>
    <row r="4319" spans="14:20" x14ac:dyDescent="0.25">
      <c r="N4319" s="362"/>
      <c r="R4319" s="210"/>
      <c r="S4319" s="232"/>
      <c r="T4319" s="270"/>
    </row>
    <row r="4320" spans="14:20" x14ac:dyDescent="0.25">
      <c r="N4320" s="362"/>
      <c r="R4320" s="210"/>
      <c r="S4320" s="232"/>
      <c r="T4320" s="270"/>
    </row>
    <row r="4321" spans="14:20" x14ac:dyDescent="0.25">
      <c r="N4321" s="362"/>
      <c r="R4321" s="210"/>
      <c r="S4321" s="232"/>
      <c r="T4321" s="270"/>
    </row>
    <row r="4322" spans="14:20" x14ac:dyDescent="0.25">
      <c r="N4322" s="362"/>
      <c r="R4322" s="210"/>
      <c r="S4322" s="232"/>
      <c r="T4322" s="270"/>
    </row>
    <row r="4323" spans="14:20" x14ac:dyDescent="0.25">
      <c r="N4323" s="362"/>
      <c r="R4323" s="210"/>
      <c r="S4323" s="232"/>
      <c r="T4323" s="270"/>
    </row>
    <row r="4324" spans="14:20" x14ac:dyDescent="0.25">
      <c r="N4324" s="362"/>
      <c r="R4324" s="210"/>
      <c r="S4324" s="232"/>
      <c r="T4324" s="270"/>
    </row>
    <row r="4325" spans="14:20" x14ac:dyDescent="0.25">
      <c r="N4325" s="362"/>
      <c r="R4325" s="210"/>
      <c r="S4325" s="232"/>
      <c r="T4325" s="270"/>
    </row>
    <row r="4326" spans="14:20" x14ac:dyDescent="0.25">
      <c r="N4326" s="362"/>
      <c r="R4326" s="210"/>
      <c r="S4326" s="232"/>
      <c r="T4326" s="270"/>
    </row>
    <row r="4327" spans="14:20" x14ac:dyDescent="0.25">
      <c r="N4327" s="362"/>
      <c r="R4327" s="210"/>
      <c r="S4327" s="232"/>
      <c r="T4327" s="270"/>
    </row>
    <row r="4328" spans="14:20" x14ac:dyDescent="0.25">
      <c r="N4328" s="362"/>
      <c r="R4328" s="210"/>
      <c r="S4328" s="232"/>
      <c r="T4328" s="270"/>
    </row>
    <row r="4329" spans="14:20" x14ac:dyDescent="0.25">
      <c r="N4329" s="362"/>
      <c r="R4329" s="210"/>
      <c r="S4329" s="232"/>
      <c r="T4329" s="270"/>
    </row>
    <row r="4330" spans="14:20" x14ac:dyDescent="0.25">
      <c r="N4330" s="362"/>
      <c r="R4330" s="210"/>
      <c r="S4330" s="232"/>
      <c r="T4330" s="270"/>
    </row>
    <row r="4331" spans="14:20" x14ac:dyDescent="0.25">
      <c r="N4331" s="362"/>
      <c r="R4331" s="210"/>
      <c r="S4331" s="232"/>
      <c r="T4331" s="270"/>
    </row>
    <row r="4332" spans="14:20" x14ac:dyDescent="0.25">
      <c r="N4332" s="362"/>
      <c r="R4332" s="210"/>
      <c r="S4332" s="232"/>
      <c r="T4332" s="270"/>
    </row>
    <row r="4333" spans="14:20" x14ac:dyDescent="0.25">
      <c r="N4333" s="362"/>
      <c r="R4333" s="210"/>
      <c r="S4333" s="232"/>
      <c r="T4333" s="270"/>
    </row>
    <row r="4334" spans="14:20" x14ac:dyDescent="0.25">
      <c r="N4334" s="362"/>
      <c r="R4334" s="210"/>
      <c r="S4334" s="232"/>
      <c r="T4334" s="270"/>
    </row>
    <row r="4335" spans="14:20" x14ac:dyDescent="0.25">
      <c r="N4335" s="362"/>
      <c r="R4335" s="210"/>
      <c r="S4335" s="232"/>
      <c r="T4335" s="270"/>
    </row>
    <row r="4336" spans="14:20" x14ac:dyDescent="0.25">
      <c r="N4336" s="362"/>
      <c r="R4336" s="210"/>
      <c r="S4336" s="232"/>
      <c r="T4336" s="270"/>
    </row>
    <row r="4337" spans="14:20" x14ac:dyDescent="0.25">
      <c r="N4337" s="362"/>
      <c r="R4337" s="210"/>
      <c r="S4337" s="232"/>
      <c r="T4337" s="270"/>
    </row>
    <row r="4338" spans="14:20" x14ac:dyDescent="0.25">
      <c r="N4338" s="362"/>
      <c r="R4338" s="210"/>
      <c r="S4338" s="232"/>
      <c r="T4338" s="270"/>
    </row>
    <row r="4339" spans="14:20" x14ac:dyDescent="0.25">
      <c r="N4339" s="362"/>
      <c r="R4339" s="210"/>
      <c r="S4339" s="232"/>
      <c r="T4339" s="270"/>
    </row>
    <row r="4340" spans="14:20" x14ac:dyDescent="0.25">
      <c r="N4340" s="362"/>
      <c r="R4340" s="210"/>
      <c r="S4340" s="232"/>
      <c r="T4340" s="270"/>
    </row>
    <row r="4341" spans="14:20" x14ac:dyDescent="0.25">
      <c r="N4341" s="362"/>
      <c r="R4341" s="210"/>
      <c r="S4341" s="232"/>
      <c r="T4341" s="270"/>
    </row>
    <row r="4342" spans="14:20" x14ac:dyDescent="0.25">
      <c r="N4342" s="362"/>
      <c r="R4342" s="210"/>
      <c r="S4342" s="232"/>
      <c r="T4342" s="270"/>
    </row>
    <row r="4343" spans="14:20" x14ac:dyDescent="0.25">
      <c r="N4343" s="362"/>
      <c r="R4343" s="210"/>
      <c r="S4343" s="232"/>
      <c r="T4343" s="270"/>
    </row>
    <row r="4344" spans="14:20" x14ac:dyDescent="0.25">
      <c r="N4344" s="362"/>
      <c r="R4344" s="210"/>
      <c r="S4344" s="232"/>
      <c r="T4344" s="270"/>
    </row>
    <row r="4345" spans="14:20" x14ac:dyDescent="0.25">
      <c r="N4345" s="362"/>
      <c r="R4345" s="210"/>
      <c r="S4345" s="232"/>
      <c r="T4345" s="270"/>
    </row>
    <row r="4346" spans="14:20" x14ac:dyDescent="0.25">
      <c r="N4346" s="362"/>
      <c r="R4346" s="210"/>
      <c r="S4346" s="232"/>
      <c r="T4346" s="270"/>
    </row>
    <row r="4347" spans="14:20" x14ac:dyDescent="0.25">
      <c r="N4347" s="362"/>
      <c r="R4347" s="210"/>
      <c r="S4347" s="232"/>
      <c r="T4347" s="270"/>
    </row>
    <row r="4348" spans="14:20" x14ac:dyDescent="0.25">
      <c r="N4348" s="362"/>
      <c r="R4348" s="210"/>
      <c r="S4348" s="232"/>
      <c r="T4348" s="270"/>
    </row>
    <row r="4349" spans="14:20" x14ac:dyDescent="0.25">
      <c r="N4349" s="362"/>
      <c r="R4349" s="210"/>
      <c r="S4349" s="232"/>
      <c r="T4349" s="270"/>
    </row>
    <row r="4350" spans="14:20" x14ac:dyDescent="0.25">
      <c r="N4350" s="362"/>
      <c r="R4350" s="210"/>
      <c r="S4350" s="232"/>
      <c r="T4350" s="270"/>
    </row>
    <row r="4351" spans="14:20" x14ac:dyDescent="0.25">
      <c r="N4351" s="362"/>
      <c r="R4351" s="210"/>
      <c r="S4351" s="232"/>
      <c r="T4351" s="270"/>
    </row>
    <row r="4352" spans="14:20" x14ac:dyDescent="0.25">
      <c r="N4352" s="362"/>
      <c r="R4352" s="210"/>
      <c r="S4352" s="232"/>
      <c r="T4352" s="270"/>
    </row>
    <row r="4353" spans="14:20" x14ac:dyDescent="0.25">
      <c r="N4353" s="362"/>
      <c r="R4353" s="210"/>
      <c r="S4353" s="232"/>
      <c r="T4353" s="270"/>
    </row>
    <row r="4354" spans="14:20" x14ac:dyDescent="0.25">
      <c r="N4354" s="362"/>
      <c r="R4354" s="210"/>
      <c r="S4354" s="232"/>
      <c r="T4354" s="270"/>
    </row>
    <row r="4355" spans="14:20" x14ac:dyDescent="0.25">
      <c r="N4355" s="362"/>
      <c r="R4355" s="210"/>
      <c r="S4355" s="232"/>
      <c r="T4355" s="270"/>
    </row>
    <row r="4356" spans="14:20" x14ac:dyDescent="0.25">
      <c r="N4356" s="362"/>
      <c r="R4356" s="210"/>
      <c r="S4356" s="232"/>
      <c r="T4356" s="270"/>
    </row>
    <row r="4357" spans="14:20" x14ac:dyDescent="0.25">
      <c r="N4357" s="362"/>
      <c r="R4357" s="210"/>
      <c r="S4357" s="232"/>
      <c r="T4357" s="270"/>
    </row>
    <row r="4358" spans="14:20" x14ac:dyDescent="0.25">
      <c r="N4358" s="362"/>
      <c r="R4358" s="210"/>
      <c r="S4358" s="232"/>
      <c r="T4358" s="270"/>
    </row>
    <row r="4359" spans="14:20" x14ac:dyDescent="0.25">
      <c r="N4359" s="362"/>
      <c r="R4359" s="210"/>
      <c r="S4359" s="232"/>
      <c r="T4359" s="270"/>
    </row>
    <row r="4360" spans="14:20" x14ac:dyDescent="0.25">
      <c r="N4360" s="362"/>
      <c r="R4360" s="210"/>
      <c r="S4360" s="232"/>
      <c r="T4360" s="270"/>
    </row>
    <row r="4361" spans="14:20" x14ac:dyDescent="0.25">
      <c r="N4361" s="362"/>
      <c r="R4361" s="210"/>
      <c r="S4361" s="232"/>
      <c r="T4361" s="270"/>
    </row>
    <row r="4362" spans="14:20" x14ac:dyDescent="0.25">
      <c r="N4362" s="362"/>
      <c r="R4362" s="210"/>
      <c r="S4362" s="232"/>
      <c r="T4362" s="270"/>
    </row>
    <row r="4363" spans="14:20" x14ac:dyDescent="0.25">
      <c r="N4363" s="362"/>
      <c r="R4363" s="210"/>
      <c r="S4363" s="232"/>
      <c r="T4363" s="270"/>
    </row>
    <row r="4364" spans="14:20" x14ac:dyDescent="0.25">
      <c r="N4364" s="362"/>
      <c r="R4364" s="210"/>
      <c r="S4364" s="232"/>
      <c r="T4364" s="270"/>
    </row>
    <row r="4365" spans="14:20" x14ac:dyDescent="0.25">
      <c r="N4365" s="362"/>
      <c r="R4365" s="210"/>
      <c r="S4365" s="232"/>
      <c r="T4365" s="270"/>
    </row>
    <row r="4366" spans="14:20" x14ac:dyDescent="0.25">
      <c r="N4366" s="362"/>
      <c r="R4366" s="210"/>
      <c r="S4366" s="232"/>
      <c r="T4366" s="270"/>
    </row>
    <row r="4367" spans="14:20" x14ac:dyDescent="0.25">
      <c r="N4367" s="362"/>
      <c r="R4367" s="210"/>
      <c r="S4367" s="232"/>
      <c r="T4367" s="270"/>
    </row>
    <row r="4368" spans="14:20" x14ac:dyDescent="0.25">
      <c r="N4368" s="362"/>
      <c r="R4368" s="210"/>
      <c r="S4368" s="232"/>
      <c r="T4368" s="270"/>
    </row>
    <row r="4369" spans="14:20" x14ac:dyDescent="0.25">
      <c r="N4369" s="362"/>
      <c r="R4369" s="210"/>
      <c r="S4369" s="232"/>
      <c r="T4369" s="270"/>
    </row>
    <row r="4370" spans="14:20" x14ac:dyDescent="0.25">
      <c r="N4370" s="362"/>
      <c r="R4370" s="210"/>
      <c r="S4370" s="232"/>
      <c r="T4370" s="270"/>
    </row>
    <row r="4371" spans="14:20" x14ac:dyDescent="0.25">
      <c r="N4371" s="362"/>
      <c r="R4371" s="210"/>
      <c r="S4371" s="232"/>
      <c r="T4371" s="270"/>
    </row>
    <row r="4372" spans="14:20" x14ac:dyDescent="0.25">
      <c r="N4372" s="362"/>
      <c r="R4372" s="210"/>
      <c r="S4372" s="232"/>
      <c r="T4372" s="270"/>
    </row>
    <row r="4373" spans="14:20" x14ac:dyDescent="0.25">
      <c r="N4373" s="362"/>
      <c r="R4373" s="210"/>
      <c r="S4373" s="232"/>
      <c r="T4373" s="270"/>
    </row>
    <row r="4374" spans="14:20" x14ac:dyDescent="0.25">
      <c r="N4374" s="362"/>
      <c r="R4374" s="210"/>
      <c r="S4374" s="232"/>
      <c r="T4374" s="270"/>
    </row>
    <row r="4375" spans="14:20" x14ac:dyDescent="0.25">
      <c r="N4375" s="362"/>
      <c r="R4375" s="210"/>
      <c r="S4375" s="232"/>
      <c r="T4375" s="270"/>
    </row>
    <row r="4376" spans="14:20" x14ac:dyDescent="0.25">
      <c r="N4376" s="362"/>
      <c r="R4376" s="210"/>
      <c r="S4376" s="232"/>
      <c r="T4376" s="270"/>
    </row>
    <row r="4377" spans="14:20" x14ac:dyDescent="0.25">
      <c r="N4377" s="362"/>
      <c r="R4377" s="210"/>
      <c r="S4377" s="232"/>
      <c r="T4377" s="270"/>
    </row>
    <row r="4378" spans="14:20" x14ac:dyDescent="0.25">
      <c r="N4378" s="362"/>
      <c r="R4378" s="210"/>
      <c r="S4378" s="232"/>
      <c r="T4378" s="270"/>
    </row>
    <row r="4379" spans="14:20" x14ac:dyDescent="0.25">
      <c r="N4379" s="362"/>
      <c r="R4379" s="210"/>
      <c r="S4379" s="232"/>
      <c r="T4379" s="270"/>
    </row>
    <row r="4380" spans="14:20" x14ac:dyDescent="0.25">
      <c r="N4380" s="362"/>
      <c r="R4380" s="210"/>
      <c r="S4380" s="232"/>
      <c r="T4380" s="270"/>
    </row>
    <row r="4381" spans="14:20" x14ac:dyDescent="0.25">
      <c r="N4381" s="362"/>
      <c r="R4381" s="210"/>
      <c r="S4381" s="232"/>
      <c r="T4381" s="270"/>
    </row>
    <row r="4382" spans="14:20" x14ac:dyDescent="0.25">
      <c r="N4382" s="362"/>
      <c r="R4382" s="210"/>
      <c r="S4382" s="232"/>
      <c r="T4382" s="270"/>
    </row>
    <row r="4383" spans="14:20" x14ac:dyDescent="0.25">
      <c r="N4383" s="362"/>
      <c r="R4383" s="210"/>
      <c r="S4383" s="232"/>
      <c r="T4383" s="270"/>
    </row>
    <row r="4384" spans="14:20" x14ac:dyDescent="0.25">
      <c r="N4384" s="362"/>
      <c r="R4384" s="210"/>
      <c r="S4384" s="232"/>
      <c r="T4384" s="270"/>
    </row>
    <row r="4385" spans="14:20" x14ac:dyDescent="0.25">
      <c r="N4385" s="362"/>
      <c r="R4385" s="210"/>
      <c r="S4385" s="232"/>
      <c r="T4385" s="270"/>
    </row>
    <row r="4386" spans="14:20" x14ac:dyDescent="0.25">
      <c r="N4386" s="362"/>
      <c r="R4386" s="210"/>
      <c r="S4386" s="232"/>
      <c r="T4386" s="270"/>
    </row>
    <row r="4387" spans="14:20" x14ac:dyDescent="0.25">
      <c r="N4387" s="362"/>
      <c r="R4387" s="210"/>
      <c r="S4387" s="232"/>
      <c r="T4387" s="270"/>
    </row>
    <row r="4388" spans="14:20" x14ac:dyDescent="0.25">
      <c r="N4388" s="362"/>
      <c r="R4388" s="210"/>
      <c r="S4388" s="232"/>
      <c r="T4388" s="270"/>
    </row>
    <row r="4389" spans="14:20" x14ac:dyDescent="0.25">
      <c r="N4389" s="362"/>
      <c r="R4389" s="210"/>
      <c r="S4389" s="232"/>
      <c r="T4389" s="270"/>
    </row>
    <row r="4390" spans="14:20" x14ac:dyDescent="0.25">
      <c r="N4390" s="362"/>
      <c r="R4390" s="210"/>
      <c r="S4390" s="232"/>
      <c r="T4390" s="270"/>
    </row>
    <row r="4391" spans="14:20" x14ac:dyDescent="0.25">
      <c r="N4391" s="362"/>
      <c r="R4391" s="210"/>
      <c r="S4391" s="232"/>
      <c r="T4391" s="270"/>
    </row>
    <row r="4392" spans="14:20" x14ac:dyDescent="0.25">
      <c r="N4392" s="362"/>
      <c r="R4392" s="210"/>
      <c r="S4392" s="232"/>
      <c r="T4392" s="270"/>
    </row>
    <row r="4393" spans="14:20" x14ac:dyDescent="0.25">
      <c r="N4393" s="362"/>
      <c r="R4393" s="210"/>
      <c r="S4393" s="232"/>
      <c r="T4393" s="270"/>
    </row>
    <row r="4394" spans="14:20" x14ac:dyDescent="0.25">
      <c r="N4394" s="362"/>
      <c r="R4394" s="210"/>
      <c r="S4394" s="232"/>
      <c r="T4394" s="270"/>
    </row>
    <row r="4395" spans="14:20" x14ac:dyDescent="0.25">
      <c r="N4395" s="362"/>
      <c r="R4395" s="210"/>
      <c r="S4395" s="232"/>
      <c r="T4395" s="270"/>
    </row>
    <row r="4396" spans="14:20" x14ac:dyDescent="0.25">
      <c r="N4396" s="362"/>
      <c r="R4396" s="210"/>
      <c r="S4396" s="232"/>
      <c r="T4396" s="270"/>
    </row>
    <row r="4397" spans="14:20" x14ac:dyDescent="0.25">
      <c r="N4397" s="362"/>
      <c r="R4397" s="210"/>
      <c r="S4397" s="232"/>
      <c r="T4397" s="270"/>
    </row>
    <row r="4398" spans="14:20" x14ac:dyDescent="0.25">
      <c r="N4398" s="362"/>
      <c r="R4398" s="210"/>
      <c r="S4398" s="232"/>
      <c r="T4398" s="270"/>
    </row>
    <row r="4399" spans="14:20" x14ac:dyDescent="0.25">
      <c r="N4399" s="362"/>
      <c r="R4399" s="210"/>
      <c r="S4399" s="232"/>
      <c r="T4399" s="270"/>
    </row>
    <row r="4400" spans="14:20" x14ac:dyDescent="0.25">
      <c r="N4400" s="362"/>
      <c r="R4400" s="210"/>
      <c r="S4400" s="232"/>
      <c r="T4400" s="270"/>
    </row>
    <row r="4401" spans="14:20" x14ac:dyDescent="0.25">
      <c r="N4401" s="362"/>
      <c r="R4401" s="210"/>
      <c r="S4401" s="232"/>
      <c r="T4401" s="270"/>
    </row>
    <row r="4402" spans="14:20" x14ac:dyDescent="0.25">
      <c r="N4402" s="362"/>
      <c r="R4402" s="210"/>
      <c r="S4402" s="232"/>
      <c r="T4402" s="270"/>
    </row>
    <row r="4403" spans="14:20" x14ac:dyDescent="0.25">
      <c r="N4403" s="362"/>
      <c r="R4403" s="210"/>
      <c r="S4403" s="232"/>
      <c r="T4403" s="270"/>
    </row>
    <row r="4404" spans="14:20" x14ac:dyDescent="0.25">
      <c r="N4404" s="362"/>
      <c r="R4404" s="210"/>
      <c r="S4404" s="232"/>
      <c r="T4404" s="270"/>
    </row>
    <row r="4405" spans="14:20" x14ac:dyDescent="0.25">
      <c r="N4405" s="362"/>
      <c r="R4405" s="210"/>
      <c r="S4405" s="232"/>
      <c r="T4405" s="270"/>
    </row>
    <row r="4406" spans="14:20" x14ac:dyDescent="0.25">
      <c r="N4406" s="362"/>
      <c r="R4406" s="210"/>
      <c r="S4406" s="232"/>
      <c r="T4406" s="270"/>
    </row>
    <row r="4407" spans="14:20" x14ac:dyDescent="0.25">
      <c r="N4407" s="362"/>
      <c r="R4407" s="210"/>
      <c r="S4407" s="232"/>
      <c r="T4407" s="270"/>
    </row>
    <row r="4408" spans="14:20" x14ac:dyDescent="0.25">
      <c r="N4408" s="362"/>
      <c r="R4408" s="210"/>
      <c r="S4408" s="232"/>
      <c r="T4408" s="270"/>
    </row>
    <row r="4409" spans="14:20" x14ac:dyDescent="0.25">
      <c r="N4409" s="362"/>
      <c r="R4409" s="210"/>
      <c r="S4409" s="232"/>
      <c r="T4409" s="270"/>
    </row>
    <row r="4410" spans="14:20" x14ac:dyDescent="0.25">
      <c r="N4410" s="362"/>
      <c r="R4410" s="210"/>
      <c r="S4410" s="232"/>
      <c r="T4410" s="270"/>
    </row>
    <row r="4411" spans="14:20" x14ac:dyDescent="0.25">
      <c r="N4411" s="362"/>
      <c r="R4411" s="210"/>
      <c r="S4411" s="232"/>
      <c r="T4411" s="270"/>
    </row>
    <row r="4412" spans="14:20" x14ac:dyDescent="0.25">
      <c r="N4412" s="362"/>
      <c r="R4412" s="210"/>
      <c r="S4412" s="232"/>
      <c r="T4412" s="270"/>
    </row>
    <row r="4413" spans="14:20" x14ac:dyDescent="0.25">
      <c r="N4413" s="362"/>
      <c r="R4413" s="210"/>
      <c r="S4413" s="232"/>
      <c r="T4413" s="270"/>
    </row>
    <row r="4414" spans="14:20" x14ac:dyDescent="0.25">
      <c r="N4414" s="362"/>
      <c r="R4414" s="210"/>
      <c r="S4414" s="232"/>
      <c r="T4414" s="270"/>
    </row>
    <row r="4415" spans="14:20" x14ac:dyDescent="0.25">
      <c r="N4415" s="362"/>
      <c r="R4415" s="210"/>
      <c r="S4415" s="232"/>
      <c r="T4415" s="270"/>
    </row>
    <row r="4416" spans="14:20" x14ac:dyDescent="0.25">
      <c r="N4416" s="362"/>
      <c r="R4416" s="210"/>
      <c r="S4416" s="232"/>
      <c r="T4416" s="270"/>
    </row>
    <row r="4417" spans="14:20" x14ac:dyDescent="0.25">
      <c r="N4417" s="362"/>
      <c r="R4417" s="210"/>
      <c r="S4417" s="232"/>
      <c r="T4417" s="270"/>
    </row>
    <row r="4418" spans="14:20" x14ac:dyDescent="0.25">
      <c r="N4418" s="362"/>
      <c r="R4418" s="210"/>
      <c r="S4418" s="232"/>
      <c r="T4418" s="270"/>
    </row>
    <row r="4419" spans="14:20" x14ac:dyDescent="0.25">
      <c r="N4419" s="362"/>
      <c r="R4419" s="210"/>
      <c r="S4419" s="232"/>
      <c r="T4419" s="270"/>
    </row>
    <row r="4420" spans="14:20" x14ac:dyDescent="0.25">
      <c r="N4420" s="362"/>
      <c r="R4420" s="210"/>
      <c r="S4420" s="232"/>
      <c r="T4420" s="270"/>
    </row>
    <row r="4421" spans="14:20" x14ac:dyDescent="0.25">
      <c r="N4421" s="362"/>
      <c r="R4421" s="210"/>
      <c r="S4421" s="232"/>
      <c r="T4421" s="270"/>
    </row>
    <row r="4422" spans="14:20" x14ac:dyDescent="0.25">
      <c r="N4422" s="362"/>
      <c r="R4422" s="210"/>
      <c r="S4422" s="232"/>
      <c r="T4422" s="270"/>
    </row>
    <row r="4423" spans="14:20" x14ac:dyDescent="0.25">
      <c r="N4423" s="362"/>
      <c r="R4423" s="210"/>
      <c r="S4423" s="232"/>
      <c r="T4423" s="270"/>
    </row>
    <row r="4424" spans="14:20" x14ac:dyDescent="0.25">
      <c r="N4424" s="362"/>
      <c r="R4424" s="210"/>
      <c r="S4424" s="232"/>
      <c r="T4424" s="270"/>
    </row>
    <row r="4425" spans="14:20" x14ac:dyDescent="0.25">
      <c r="N4425" s="362"/>
      <c r="R4425" s="210"/>
      <c r="S4425" s="232"/>
      <c r="T4425" s="270"/>
    </row>
    <row r="4426" spans="14:20" x14ac:dyDescent="0.25">
      <c r="N4426" s="362"/>
      <c r="R4426" s="210"/>
      <c r="S4426" s="232"/>
      <c r="T4426" s="270"/>
    </row>
    <row r="4427" spans="14:20" x14ac:dyDescent="0.25">
      <c r="N4427" s="362"/>
      <c r="R4427" s="210"/>
      <c r="S4427" s="232"/>
      <c r="T4427" s="270"/>
    </row>
    <row r="4428" spans="14:20" x14ac:dyDescent="0.25">
      <c r="N4428" s="362"/>
      <c r="R4428" s="210"/>
      <c r="S4428" s="232"/>
      <c r="T4428" s="270"/>
    </row>
    <row r="4429" spans="14:20" x14ac:dyDescent="0.25">
      <c r="N4429" s="362"/>
      <c r="R4429" s="210"/>
      <c r="S4429" s="232"/>
      <c r="T4429" s="270"/>
    </row>
    <row r="4430" spans="14:20" x14ac:dyDescent="0.25">
      <c r="N4430" s="362"/>
      <c r="R4430" s="210"/>
      <c r="S4430" s="232"/>
      <c r="T4430" s="270"/>
    </row>
    <row r="4431" spans="14:20" x14ac:dyDescent="0.25">
      <c r="N4431" s="362"/>
      <c r="R4431" s="210"/>
      <c r="S4431" s="232"/>
      <c r="T4431" s="270"/>
    </row>
    <row r="4432" spans="14:20" x14ac:dyDescent="0.25">
      <c r="N4432" s="362"/>
      <c r="R4432" s="210"/>
      <c r="S4432" s="232"/>
      <c r="T4432" s="270"/>
    </row>
    <row r="4433" spans="14:20" x14ac:dyDescent="0.25">
      <c r="N4433" s="362"/>
      <c r="R4433" s="210"/>
      <c r="S4433" s="232"/>
      <c r="T4433" s="270"/>
    </row>
    <row r="4434" spans="14:20" x14ac:dyDescent="0.25">
      <c r="N4434" s="362"/>
      <c r="R4434" s="210"/>
      <c r="S4434" s="232"/>
      <c r="T4434" s="270"/>
    </row>
    <row r="4435" spans="14:20" x14ac:dyDescent="0.25">
      <c r="N4435" s="362"/>
      <c r="R4435" s="210"/>
      <c r="S4435" s="232"/>
      <c r="T4435" s="270"/>
    </row>
    <row r="4436" spans="14:20" x14ac:dyDescent="0.25">
      <c r="N4436" s="362"/>
      <c r="R4436" s="210"/>
      <c r="S4436" s="232"/>
      <c r="T4436" s="270"/>
    </row>
    <row r="4437" spans="14:20" x14ac:dyDescent="0.25">
      <c r="N4437" s="362"/>
      <c r="R4437" s="210"/>
      <c r="S4437" s="232"/>
      <c r="T4437" s="270"/>
    </row>
    <row r="4438" spans="14:20" x14ac:dyDescent="0.25">
      <c r="N4438" s="362"/>
      <c r="R4438" s="210"/>
      <c r="S4438" s="232"/>
      <c r="T4438" s="270"/>
    </row>
    <row r="4439" spans="14:20" x14ac:dyDescent="0.25">
      <c r="N4439" s="362"/>
      <c r="R4439" s="210"/>
      <c r="S4439" s="232"/>
      <c r="T4439" s="270"/>
    </row>
    <row r="4440" spans="14:20" x14ac:dyDescent="0.25">
      <c r="N4440" s="362"/>
      <c r="R4440" s="210"/>
      <c r="S4440" s="232"/>
      <c r="T4440" s="270"/>
    </row>
    <row r="4441" spans="14:20" x14ac:dyDescent="0.25">
      <c r="N4441" s="362"/>
      <c r="R4441" s="210"/>
      <c r="S4441" s="232"/>
      <c r="T4441" s="270"/>
    </row>
    <row r="4442" spans="14:20" x14ac:dyDescent="0.25">
      <c r="N4442" s="362"/>
      <c r="R4442" s="210"/>
      <c r="S4442" s="232"/>
      <c r="T4442" s="270"/>
    </row>
    <row r="4443" spans="14:20" x14ac:dyDescent="0.25">
      <c r="N4443" s="362"/>
      <c r="R4443" s="210"/>
      <c r="S4443" s="232"/>
      <c r="T4443" s="270"/>
    </row>
    <row r="4444" spans="14:20" x14ac:dyDescent="0.25">
      <c r="N4444" s="362"/>
      <c r="R4444" s="210"/>
      <c r="S4444" s="232"/>
      <c r="T4444" s="270"/>
    </row>
    <row r="4445" spans="14:20" x14ac:dyDescent="0.25">
      <c r="N4445" s="362"/>
      <c r="R4445" s="210"/>
      <c r="S4445" s="232"/>
      <c r="T4445" s="270"/>
    </row>
    <row r="4446" spans="14:20" x14ac:dyDescent="0.25">
      <c r="N4446" s="362"/>
      <c r="R4446" s="210"/>
      <c r="S4446" s="232"/>
      <c r="T4446" s="270"/>
    </row>
    <row r="4447" spans="14:20" x14ac:dyDescent="0.25">
      <c r="N4447" s="362"/>
      <c r="R4447" s="210"/>
      <c r="S4447" s="232"/>
      <c r="T4447" s="270"/>
    </row>
    <row r="4448" spans="14:20" x14ac:dyDescent="0.25">
      <c r="N4448" s="362"/>
      <c r="R4448" s="210"/>
      <c r="S4448" s="232"/>
      <c r="T4448" s="270"/>
    </row>
    <row r="4449" spans="14:20" x14ac:dyDescent="0.25">
      <c r="N4449" s="362"/>
      <c r="R4449" s="210"/>
      <c r="S4449" s="232"/>
      <c r="T4449" s="270"/>
    </row>
    <row r="4450" spans="14:20" x14ac:dyDescent="0.25">
      <c r="N4450" s="362"/>
      <c r="R4450" s="210"/>
      <c r="S4450" s="232"/>
      <c r="T4450" s="270"/>
    </row>
    <row r="4451" spans="14:20" x14ac:dyDescent="0.25">
      <c r="N4451" s="362"/>
      <c r="R4451" s="210"/>
      <c r="S4451" s="232"/>
      <c r="T4451" s="270"/>
    </row>
    <row r="4452" spans="14:20" x14ac:dyDescent="0.25">
      <c r="N4452" s="362"/>
      <c r="R4452" s="210"/>
      <c r="S4452" s="232"/>
      <c r="T4452" s="270"/>
    </row>
    <row r="4453" spans="14:20" x14ac:dyDescent="0.25">
      <c r="N4453" s="362"/>
      <c r="R4453" s="210"/>
      <c r="S4453" s="232"/>
      <c r="T4453" s="270"/>
    </row>
    <row r="4454" spans="14:20" x14ac:dyDescent="0.25">
      <c r="N4454" s="362"/>
      <c r="R4454" s="210"/>
      <c r="S4454" s="232"/>
      <c r="T4454" s="270"/>
    </row>
    <row r="4455" spans="14:20" x14ac:dyDescent="0.25">
      <c r="N4455" s="362"/>
      <c r="R4455" s="210"/>
      <c r="S4455" s="232"/>
      <c r="T4455" s="270"/>
    </row>
    <row r="4456" spans="14:20" x14ac:dyDescent="0.25">
      <c r="N4456" s="362"/>
      <c r="R4456" s="210"/>
      <c r="S4456" s="232"/>
      <c r="T4456" s="270"/>
    </row>
    <row r="4457" spans="14:20" x14ac:dyDescent="0.25">
      <c r="N4457" s="362"/>
      <c r="R4457" s="210"/>
      <c r="S4457" s="232"/>
      <c r="T4457" s="270"/>
    </row>
    <row r="4458" spans="14:20" x14ac:dyDescent="0.25">
      <c r="N4458" s="362"/>
      <c r="R4458" s="210"/>
      <c r="S4458" s="232"/>
      <c r="T4458" s="270"/>
    </row>
    <row r="4459" spans="14:20" x14ac:dyDescent="0.25">
      <c r="N4459" s="362"/>
      <c r="R4459" s="210"/>
      <c r="S4459" s="232"/>
      <c r="T4459" s="270"/>
    </row>
    <row r="4460" spans="14:20" x14ac:dyDescent="0.25">
      <c r="N4460" s="362"/>
      <c r="R4460" s="210"/>
      <c r="S4460" s="232"/>
      <c r="T4460" s="270"/>
    </row>
    <row r="4461" spans="14:20" x14ac:dyDescent="0.25">
      <c r="N4461" s="362"/>
      <c r="R4461" s="210"/>
      <c r="S4461" s="232"/>
      <c r="T4461" s="270"/>
    </row>
    <row r="4462" spans="14:20" x14ac:dyDescent="0.25">
      <c r="N4462" s="362"/>
      <c r="R4462" s="210"/>
      <c r="S4462" s="232"/>
      <c r="T4462" s="270"/>
    </row>
    <row r="4463" spans="14:20" x14ac:dyDescent="0.25">
      <c r="N4463" s="362"/>
      <c r="R4463" s="210"/>
      <c r="S4463" s="232"/>
      <c r="T4463" s="270"/>
    </row>
    <row r="4464" spans="14:20" x14ac:dyDescent="0.25">
      <c r="N4464" s="362"/>
      <c r="R4464" s="210"/>
      <c r="S4464" s="232"/>
      <c r="T4464" s="270"/>
    </row>
    <row r="4465" spans="14:20" x14ac:dyDescent="0.25">
      <c r="N4465" s="362"/>
      <c r="R4465" s="210"/>
      <c r="S4465" s="232"/>
      <c r="T4465" s="270"/>
    </row>
    <row r="4466" spans="14:20" x14ac:dyDescent="0.25">
      <c r="N4466" s="362"/>
      <c r="R4466" s="210"/>
      <c r="S4466" s="232"/>
      <c r="T4466" s="270"/>
    </row>
    <row r="4467" spans="14:20" x14ac:dyDescent="0.25">
      <c r="N4467" s="362"/>
      <c r="R4467" s="210"/>
      <c r="S4467" s="232"/>
      <c r="T4467" s="270"/>
    </row>
    <row r="4468" spans="14:20" x14ac:dyDescent="0.25">
      <c r="N4468" s="362"/>
      <c r="R4468" s="210"/>
      <c r="S4468" s="232"/>
      <c r="T4468" s="270"/>
    </row>
    <row r="4469" spans="14:20" x14ac:dyDescent="0.25">
      <c r="N4469" s="362"/>
      <c r="R4469" s="210"/>
      <c r="S4469" s="232"/>
      <c r="T4469" s="270"/>
    </row>
    <row r="4470" spans="14:20" x14ac:dyDescent="0.25">
      <c r="N4470" s="362"/>
      <c r="R4470" s="210"/>
      <c r="S4470" s="232"/>
      <c r="T4470" s="270"/>
    </row>
    <row r="4471" spans="14:20" x14ac:dyDescent="0.25">
      <c r="N4471" s="362"/>
      <c r="R4471" s="210"/>
      <c r="S4471" s="232"/>
      <c r="T4471" s="270"/>
    </row>
    <row r="4472" spans="14:20" x14ac:dyDescent="0.25">
      <c r="N4472" s="362"/>
      <c r="R4472" s="210"/>
      <c r="S4472" s="232"/>
      <c r="T4472" s="270"/>
    </row>
    <row r="4473" spans="14:20" x14ac:dyDescent="0.25">
      <c r="N4473" s="362"/>
      <c r="R4473" s="210"/>
      <c r="S4473" s="232"/>
      <c r="T4473" s="270"/>
    </row>
    <row r="4474" spans="14:20" x14ac:dyDescent="0.25">
      <c r="N4474" s="362"/>
      <c r="R4474" s="210"/>
      <c r="S4474" s="232"/>
      <c r="T4474" s="270"/>
    </row>
    <row r="4475" spans="14:20" x14ac:dyDescent="0.25">
      <c r="N4475" s="362"/>
      <c r="R4475" s="210"/>
      <c r="S4475" s="232"/>
      <c r="T4475" s="270"/>
    </row>
    <row r="4476" spans="14:20" x14ac:dyDescent="0.25">
      <c r="N4476" s="362"/>
      <c r="R4476" s="210"/>
      <c r="S4476" s="232"/>
      <c r="T4476" s="270"/>
    </row>
    <row r="4477" spans="14:20" x14ac:dyDescent="0.25">
      <c r="N4477" s="362"/>
      <c r="R4477" s="210"/>
      <c r="S4477" s="232"/>
      <c r="T4477" s="270"/>
    </row>
    <row r="4478" spans="14:20" x14ac:dyDescent="0.25">
      <c r="N4478" s="362"/>
      <c r="R4478" s="210"/>
      <c r="S4478" s="232"/>
      <c r="T4478" s="270"/>
    </row>
    <row r="4479" spans="14:20" x14ac:dyDescent="0.25">
      <c r="N4479" s="362"/>
      <c r="R4479" s="210"/>
      <c r="S4479" s="232"/>
      <c r="T4479" s="270"/>
    </row>
    <row r="4480" spans="14:20" x14ac:dyDescent="0.25">
      <c r="N4480" s="362"/>
      <c r="R4480" s="210"/>
      <c r="S4480" s="232"/>
      <c r="T4480" s="270"/>
    </row>
    <row r="4481" spans="14:20" x14ac:dyDescent="0.25">
      <c r="N4481" s="362"/>
      <c r="R4481" s="210"/>
      <c r="S4481" s="232"/>
      <c r="T4481" s="270"/>
    </row>
    <row r="4482" spans="14:20" x14ac:dyDescent="0.25">
      <c r="N4482" s="362"/>
      <c r="R4482" s="210"/>
      <c r="S4482" s="232"/>
      <c r="T4482" s="270"/>
    </row>
    <row r="4483" spans="14:20" x14ac:dyDescent="0.25">
      <c r="N4483" s="362"/>
      <c r="R4483" s="210"/>
      <c r="S4483" s="232"/>
      <c r="T4483" s="270"/>
    </row>
    <row r="4484" spans="14:20" x14ac:dyDescent="0.25">
      <c r="N4484" s="362"/>
      <c r="R4484" s="210"/>
      <c r="S4484" s="232"/>
      <c r="T4484" s="270"/>
    </row>
    <row r="4485" spans="14:20" x14ac:dyDescent="0.25">
      <c r="N4485" s="362"/>
      <c r="R4485" s="210"/>
      <c r="S4485" s="232"/>
      <c r="T4485" s="270"/>
    </row>
    <row r="4486" spans="14:20" x14ac:dyDescent="0.25">
      <c r="N4486" s="362"/>
      <c r="R4486" s="210"/>
      <c r="S4486" s="232"/>
      <c r="T4486" s="270"/>
    </row>
    <row r="4487" spans="14:20" x14ac:dyDescent="0.25">
      <c r="N4487" s="362"/>
      <c r="R4487" s="210"/>
      <c r="S4487" s="232"/>
      <c r="T4487" s="270"/>
    </row>
    <row r="4488" spans="14:20" x14ac:dyDescent="0.25">
      <c r="N4488" s="362"/>
      <c r="R4488" s="210"/>
      <c r="S4488" s="232"/>
      <c r="T4488" s="270"/>
    </row>
    <row r="4489" spans="14:20" x14ac:dyDescent="0.25">
      <c r="N4489" s="362"/>
      <c r="R4489" s="210"/>
      <c r="S4489" s="232"/>
      <c r="T4489" s="270"/>
    </row>
    <row r="4490" spans="14:20" x14ac:dyDescent="0.25">
      <c r="N4490" s="362"/>
      <c r="R4490" s="210"/>
      <c r="S4490" s="232"/>
      <c r="T4490" s="270"/>
    </row>
    <row r="4491" spans="14:20" x14ac:dyDescent="0.25">
      <c r="N4491" s="362"/>
      <c r="R4491" s="210"/>
      <c r="S4491" s="232"/>
      <c r="T4491" s="270"/>
    </row>
    <row r="4492" spans="14:20" x14ac:dyDescent="0.25">
      <c r="N4492" s="362"/>
      <c r="R4492" s="210"/>
      <c r="S4492" s="232"/>
      <c r="T4492" s="270"/>
    </row>
    <row r="4493" spans="14:20" x14ac:dyDescent="0.25">
      <c r="N4493" s="362"/>
      <c r="R4493" s="210"/>
      <c r="S4493" s="232"/>
      <c r="T4493" s="270"/>
    </row>
    <row r="4494" spans="14:20" x14ac:dyDescent="0.25">
      <c r="N4494" s="362"/>
      <c r="R4494" s="210"/>
      <c r="S4494" s="232"/>
      <c r="T4494" s="270"/>
    </row>
    <row r="4495" spans="14:20" x14ac:dyDescent="0.25">
      <c r="N4495" s="362"/>
      <c r="R4495" s="210"/>
      <c r="S4495" s="232"/>
      <c r="T4495" s="270"/>
    </row>
    <row r="4496" spans="14:20" x14ac:dyDescent="0.25">
      <c r="N4496" s="362"/>
      <c r="R4496" s="210"/>
      <c r="S4496" s="232"/>
      <c r="T4496" s="270"/>
    </row>
    <row r="4497" spans="14:20" x14ac:dyDescent="0.25">
      <c r="N4497" s="362"/>
      <c r="R4497" s="210"/>
      <c r="S4497" s="232"/>
      <c r="T4497" s="270"/>
    </row>
    <row r="4498" spans="14:20" x14ac:dyDescent="0.25">
      <c r="N4498" s="362"/>
      <c r="R4498" s="210"/>
      <c r="S4498" s="232"/>
      <c r="T4498" s="270"/>
    </row>
    <row r="4499" spans="14:20" x14ac:dyDescent="0.25">
      <c r="N4499" s="362"/>
      <c r="R4499" s="210"/>
      <c r="S4499" s="232"/>
      <c r="T4499" s="270"/>
    </row>
    <row r="4500" spans="14:20" x14ac:dyDescent="0.25">
      <c r="N4500" s="362"/>
      <c r="R4500" s="210"/>
      <c r="S4500" s="232"/>
      <c r="T4500" s="270"/>
    </row>
    <row r="4501" spans="14:20" x14ac:dyDescent="0.25">
      <c r="N4501" s="362"/>
      <c r="R4501" s="210"/>
      <c r="S4501" s="232"/>
      <c r="T4501" s="270"/>
    </row>
    <row r="4502" spans="14:20" x14ac:dyDescent="0.25">
      <c r="N4502" s="362"/>
      <c r="R4502" s="210"/>
      <c r="S4502" s="232"/>
      <c r="T4502" s="270"/>
    </row>
    <row r="4503" spans="14:20" x14ac:dyDescent="0.25">
      <c r="N4503" s="362"/>
      <c r="R4503" s="210"/>
      <c r="S4503" s="232"/>
      <c r="T4503" s="270"/>
    </row>
    <row r="4504" spans="14:20" x14ac:dyDescent="0.25">
      <c r="N4504" s="362"/>
      <c r="R4504" s="210"/>
      <c r="S4504" s="232"/>
      <c r="T4504" s="270"/>
    </row>
    <row r="4505" spans="14:20" x14ac:dyDescent="0.25">
      <c r="N4505" s="362"/>
      <c r="R4505" s="210"/>
      <c r="S4505" s="232"/>
      <c r="T4505" s="270"/>
    </row>
    <row r="4506" spans="14:20" x14ac:dyDescent="0.25">
      <c r="N4506" s="362"/>
      <c r="R4506" s="210"/>
      <c r="S4506" s="232"/>
      <c r="T4506" s="270"/>
    </row>
    <row r="4507" spans="14:20" x14ac:dyDescent="0.25">
      <c r="N4507" s="362"/>
      <c r="R4507" s="210"/>
      <c r="S4507" s="232"/>
      <c r="T4507" s="270"/>
    </row>
    <row r="4508" spans="14:20" x14ac:dyDescent="0.25">
      <c r="N4508" s="362"/>
      <c r="R4508" s="210"/>
      <c r="S4508" s="232"/>
      <c r="T4508" s="270"/>
    </row>
    <row r="4509" spans="14:20" x14ac:dyDescent="0.25">
      <c r="N4509" s="362"/>
      <c r="R4509" s="210"/>
      <c r="S4509" s="232"/>
      <c r="T4509" s="270"/>
    </row>
    <row r="4510" spans="14:20" x14ac:dyDescent="0.25">
      <c r="N4510" s="362"/>
      <c r="R4510" s="210"/>
      <c r="S4510" s="232"/>
      <c r="T4510" s="270"/>
    </row>
    <row r="4511" spans="14:20" x14ac:dyDescent="0.25">
      <c r="N4511" s="362"/>
      <c r="R4511" s="210"/>
      <c r="S4511" s="232"/>
      <c r="T4511" s="270"/>
    </row>
    <row r="4512" spans="14:20" x14ac:dyDescent="0.25">
      <c r="N4512" s="362"/>
      <c r="R4512" s="210"/>
      <c r="S4512" s="232"/>
      <c r="T4512" s="270"/>
    </row>
    <row r="4513" spans="14:20" x14ac:dyDescent="0.25">
      <c r="N4513" s="362"/>
      <c r="R4513" s="210"/>
      <c r="S4513" s="232"/>
      <c r="T4513" s="270"/>
    </row>
    <row r="4514" spans="14:20" x14ac:dyDescent="0.25">
      <c r="N4514" s="362"/>
      <c r="R4514" s="210"/>
      <c r="S4514" s="232"/>
      <c r="T4514" s="270"/>
    </row>
    <row r="4515" spans="14:20" x14ac:dyDescent="0.25">
      <c r="N4515" s="362"/>
      <c r="R4515" s="210"/>
      <c r="S4515" s="232"/>
      <c r="T4515" s="270"/>
    </row>
    <row r="4516" spans="14:20" x14ac:dyDescent="0.25">
      <c r="N4516" s="362"/>
      <c r="R4516" s="210"/>
      <c r="S4516" s="232"/>
      <c r="T4516" s="270"/>
    </row>
    <row r="4517" spans="14:20" x14ac:dyDescent="0.25">
      <c r="N4517" s="362"/>
      <c r="R4517" s="210"/>
      <c r="S4517" s="232"/>
      <c r="T4517" s="270"/>
    </row>
    <row r="4518" spans="14:20" x14ac:dyDescent="0.25">
      <c r="N4518" s="362"/>
      <c r="R4518" s="210"/>
      <c r="S4518" s="232"/>
      <c r="T4518" s="270"/>
    </row>
    <row r="4519" spans="14:20" x14ac:dyDescent="0.25">
      <c r="N4519" s="362"/>
      <c r="R4519" s="210"/>
      <c r="S4519" s="232"/>
      <c r="T4519" s="270"/>
    </row>
    <row r="4520" spans="14:20" x14ac:dyDescent="0.25">
      <c r="N4520" s="362"/>
      <c r="R4520" s="210"/>
      <c r="S4520" s="232"/>
      <c r="T4520" s="270"/>
    </row>
    <row r="4521" spans="14:20" x14ac:dyDescent="0.25">
      <c r="N4521" s="362"/>
      <c r="R4521" s="210"/>
      <c r="S4521" s="232"/>
      <c r="T4521" s="270"/>
    </row>
    <row r="4522" spans="14:20" x14ac:dyDescent="0.25">
      <c r="N4522" s="362"/>
      <c r="R4522" s="210"/>
      <c r="S4522" s="232"/>
      <c r="T4522" s="270"/>
    </row>
    <row r="4523" spans="14:20" x14ac:dyDescent="0.25">
      <c r="N4523" s="362"/>
      <c r="R4523" s="210"/>
      <c r="S4523" s="232"/>
      <c r="T4523" s="270"/>
    </row>
    <row r="4524" spans="14:20" x14ac:dyDescent="0.25">
      <c r="N4524" s="362"/>
      <c r="R4524" s="210"/>
      <c r="S4524" s="232"/>
      <c r="T4524" s="270"/>
    </row>
    <row r="4525" spans="14:20" x14ac:dyDescent="0.25">
      <c r="N4525" s="362"/>
      <c r="R4525" s="210"/>
      <c r="S4525" s="232"/>
      <c r="T4525" s="270"/>
    </row>
    <row r="4526" spans="14:20" x14ac:dyDescent="0.25">
      <c r="N4526" s="362"/>
      <c r="R4526" s="210"/>
      <c r="S4526" s="232"/>
      <c r="T4526" s="270"/>
    </row>
    <row r="4527" spans="14:20" x14ac:dyDescent="0.25">
      <c r="N4527" s="362"/>
      <c r="R4527" s="210"/>
      <c r="S4527" s="232"/>
      <c r="T4527" s="270"/>
    </row>
    <row r="4528" spans="14:20" x14ac:dyDescent="0.25">
      <c r="N4528" s="362"/>
      <c r="R4528" s="210"/>
      <c r="S4528" s="232"/>
      <c r="T4528" s="270"/>
    </row>
    <row r="4529" spans="14:20" x14ac:dyDescent="0.25">
      <c r="N4529" s="362"/>
      <c r="R4529" s="210"/>
      <c r="S4529" s="232"/>
      <c r="T4529" s="270"/>
    </row>
    <row r="4530" spans="14:20" x14ac:dyDescent="0.25">
      <c r="N4530" s="362"/>
      <c r="R4530" s="210"/>
      <c r="S4530" s="232"/>
      <c r="T4530" s="270"/>
    </row>
    <row r="4531" spans="14:20" x14ac:dyDescent="0.25">
      <c r="N4531" s="362"/>
      <c r="R4531" s="210"/>
      <c r="S4531" s="232"/>
      <c r="T4531" s="270"/>
    </row>
    <row r="4532" spans="14:20" x14ac:dyDescent="0.25">
      <c r="N4532" s="362"/>
      <c r="R4532" s="210"/>
      <c r="S4532" s="232"/>
      <c r="T4532" s="270"/>
    </row>
    <row r="4533" spans="14:20" x14ac:dyDescent="0.25">
      <c r="N4533" s="362"/>
      <c r="R4533" s="210"/>
      <c r="S4533" s="232"/>
      <c r="T4533" s="270"/>
    </row>
    <row r="4534" spans="14:20" x14ac:dyDescent="0.25">
      <c r="N4534" s="362"/>
      <c r="R4534" s="210"/>
      <c r="S4534" s="232"/>
      <c r="T4534" s="270"/>
    </row>
    <row r="4535" spans="14:20" x14ac:dyDescent="0.25">
      <c r="N4535" s="362"/>
      <c r="R4535" s="210"/>
      <c r="S4535" s="232"/>
      <c r="T4535" s="270"/>
    </row>
    <row r="4536" spans="14:20" x14ac:dyDescent="0.25">
      <c r="N4536" s="362"/>
      <c r="R4536" s="210"/>
      <c r="S4536" s="232"/>
      <c r="T4536" s="270"/>
    </row>
    <row r="4537" spans="14:20" x14ac:dyDescent="0.25">
      <c r="N4537" s="362"/>
      <c r="R4537" s="210"/>
      <c r="S4537" s="232"/>
      <c r="T4537" s="270"/>
    </row>
    <row r="4538" spans="14:20" x14ac:dyDescent="0.25">
      <c r="N4538" s="362"/>
      <c r="R4538" s="210"/>
      <c r="S4538" s="232"/>
      <c r="T4538" s="270"/>
    </row>
    <row r="4539" spans="14:20" x14ac:dyDescent="0.25">
      <c r="N4539" s="362"/>
      <c r="R4539" s="210"/>
      <c r="S4539" s="232"/>
      <c r="T4539" s="270"/>
    </row>
    <row r="4540" spans="14:20" x14ac:dyDescent="0.25">
      <c r="N4540" s="362"/>
      <c r="R4540" s="210"/>
      <c r="S4540" s="232"/>
      <c r="T4540" s="270"/>
    </row>
    <row r="4541" spans="14:20" x14ac:dyDescent="0.25">
      <c r="N4541" s="362"/>
      <c r="R4541" s="210"/>
      <c r="S4541" s="232"/>
      <c r="T4541" s="270"/>
    </row>
    <row r="4542" spans="14:20" x14ac:dyDescent="0.25">
      <c r="N4542" s="362"/>
      <c r="R4542" s="210"/>
      <c r="S4542" s="232"/>
      <c r="T4542" s="270"/>
    </row>
    <row r="4543" spans="14:20" x14ac:dyDescent="0.25">
      <c r="N4543" s="362"/>
      <c r="R4543" s="210"/>
      <c r="S4543" s="232"/>
      <c r="T4543" s="270"/>
    </row>
    <row r="4544" spans="14:20" x14ac:dyDescent="0.25">
      <c r="N4544" s="362"/>
      <c r="R4544" s="210"/>
      <c r="S4544" s="232"/>
      <c r="T4544" s="270"/>
    </row>
    <row r="4545" spans="14:20" x14ac:dyDescent="0.25">
      <c r="N4545" s="362"/>
      <c r="R4545" s="210"/>
      <c r="S4545" s="232"/>
      <c r="T4545" s="270"/>
    </row>
    <row r="4546" spans="14:20" x14ac:dyDescent="0.25">
      <c r="N4546" s="362"/>
      <c r="R4546" s="210"/>
      <c r="S4546" s="232"/>
      <c r="T4546" s="270"/>
    </row>
    <row r="4547" spans="14:20" x14ac:dyDescent="0.25">
      <c r="N4547" s="362"/>
      <c r="R4547" s="210"/>
      <c r="S4547" s="232"/>
      <c r="T4547" s="270"/>
    </row>
    <row r="4548" spans="14:20" x14ac:dyDescent="0.25">
      <c r="N4548" s="362"/>
      <c r="R4548" s="210"/>
      <c r="S4548" s="232"/>
      <c r="T4548" s="270"/>
    </row>
    <row r="4549" spans="14:20" x14ac:dyDescent="0.25">
      <c r="N4549" s="362"/>
      <c r="R4549" s="210"/>
      <c r="S4549" s="232"/>
      <c r="T4549" s="270"/>
    </row>
    <row r="4550" spans="14:20" x14ac:dyDescent="0.25">
      <c r="N4550" s="362"/>
      <c r="R4550" s="210"/>
      <c r="S4550" s="232"/>
      <c r="T4550" s="270"/>
    </row>
    <row r="4551" spans="14:20" x14ac:dyDescent="0.25">
      <c r="N4551" s="362"/>
      <c r="R4551" s="210"/>
      <c r="S4551" s="232"/>
      <c r="T4551" s="270"/>
    </row>
    <row r="4552" spans="14:20" x14ac:dyDescent="0.25">
      <c r="N4552" s="362"/>
      <c r="R4552" s="210"/>
      <c r="S4552" s="232"/>
      <c r="T4552" s="270"/>
    </row>
    <row r="4553" spans="14:20" x14ac:dyDescent="0.25">
      <c r="N4553" s="362"/>
      <c r="R4553" s="210"/>
      <c r="S4553" s="232"/>
      <c r="T4553" s="270"/>
    </row>
    <row r="4554" spans="14:20" x14ac:dyDescent="0.25">
      <c r="N4554" s="362"/>
      <c r="R4554" s="210"/>
      <c r="S4554" s="232"/>
      <c r="T4554" s="270"/>
    </row>
    <row r="4555" spans="14:20" x14ac:dyDescent="0.25">
      <c r="N4555" s="362"/>
      <c r="R4555" s="210"/>
      <c r="S4555" s="232"/>
      <c r="T4555" s="270"/>
    </row>
    <row r="4556" spans="14:20" x14ac:dyDescent="0.25">
      <c r="N4556" s="362"/>
      <c r="R4556" s="210"/>
      <c r="S4556" s="232"/>
      <c r="T4556" s="270"/>
    </row>
    <row r="4557" spans="14:20" x14ac:dyDescent="0.25">
      <c r="N4557" s="362"/>
      <c r="R4557" s="210"/>
      <c r="S4557" s="232"/>
      <c r="T4557" s="270"/>
    </row>
    <row r="4558" spans="14:20" x14ac:dyDescent="0.25">
      <c r="N4558" s="362"/>
      <c r="R4558" s="210"/>
      <c r="S4558" s="232"/>
      <c r="T4558" s="270"/>
    </row>
    <row r="4559" spans="14:20" x14ac:dyDescent="0.25">
      <c r="N4559" s="362"/>
      <c r="R4559" s="210"/>
      <c r="S4559" s="232"/>
      <c r="T4559" s="270"/>
    </row>
    <row r="4560" spans="14:20" x14ac:dyDescent="0.25">
      <c r="N4560" s="362"/>
      <c r="R4560" s="210"/>
      <c r="S4560" s="232"/>
      <c r="T4560" s="270"/>
    </row>
    <row r="4561" spans="14:20" x14ac:dyDescent="0.25">
      <c r="N4561" s="362"/>
      <c r="R4561" s="210"/>
      <c r="S4561" s="232"/>
      <c r="T4561" s="270"/>
    </row>
    <row r="4562" spans="14:20" x14ac:dyDescent="0.25">
      <c r="N4562" s="362"/>
      <c r="R4562" s="210"/>
      <c r="S4562" s="232"/>
      <c r="T4562" s="270"/>
    </row>
    <row r="4563" spans="14:20" x14ac:dyDescent="0.25">
      <c r="N4563" s="362"/>
      <c r="R4563" s="210"/>
      <c r="S4563" s="232"/>
      <c r="T4563" s="270"/>
    </row>
    <row r="4564" spans="14:20" x14ac:dyDescent="0.25">
      <c r="N4564" s="362"/>
      <c r="R4564" s="210"/>
      <c r="S4564" s="232"/>
      <c r="T4564" s="270"/>
    </row>
    <row r="4565" spans="14:20" x14ac:dyDescent="0.25">
      <c r="N4565" s="362"/>
      <c r="R4565" s="210"/>
      <c r="S4565" s="232"/>
      <c r="T4565" s="270"/>
    </row>
    <row r="4566" spans="14:20" x14ac:dyDescent="0.25">
      <c r="N4566" s="362"/>
      <c r="R4566" s="210"/>
      <c r="S4566" s="232"/>
      <c r="T4566" s="270"/>
    </row>
    <row r="4567" spans="14:20" x14ac:dyDescent="0.25">
      <c r="N4567" s="362"/>
      <c r="R4567" s="210"/>
      <c r="S4567" s="232"/>
      <c r="T4567" s="270"/>
    </row>
    <row r="4568" spans="14:20" x14ac:dyDescent="0.25">
      <c r="N4568" s="362"/>
      <c r="R4568" s="210"/>
      <c r="S4568" s="232"/>
      <c r="T4568" s="270"/>
    </row>
    <row r="4569" spans="14:20" x14ac:dyDescent="0.25">
      <c r="N4569" s="362"/>
      <c r="R4569" s="210"/>
      <c r="S4569" s="232"/>
      <c r="T4569" s="270"/>
    </row>
    <row r="4570" spans="14:20" x14ac:dyDescent="0.25">
      <c r="N4570" s="362"/>
      <c r="R4570" s="210"/>
      <c r="S4570" s="232"/>
      <c r="T4570" s="270"/>
    </row>
    <row r="4571" spans="14:20" x14ac:dyDescent="0.25">
      <c r="N4571" s="362"/>
      <c r="R4571" s="210"/>
      <c r="S4571" s="232"/>
      <c r="T4571" s="270"/>
    </row>
    <row r="4572" spans="14:20" x14ac:dyDescent="0.25">
      <c r="N4572" s="362"/>
      <c r="R4572" s="210"/>
      <c r="S4572" s="232"/>
      <c r="T4572" s="270"/>
    </row>
    <row r="4573" spans="14:20" x14ac:dyDescent="0.25">
      <c r="N4573" s="362"/>
      <c r="R4573" s="210"/>
      <c r="S4573" s="232"/>
      <c r="T4573" s="270"/>
    </row>
    <row r="4574" spans="14:20" x14ac:dyDescent="0.25">
      <c r="N4574" s="362"/>
      <c r="R4574" s="210"/>
      <c r="S4574" s="232"/>
      <c r="T4574" s="270"/>
    </row>
    <row r="4575" spans="14:20" x14ac:dyDescent="0.25">
      <c r="N4575" s="362"/>
      <c r="R4575" s="210"/>
      <c r="S4575" s="232"/>
      <c r="T4575" s="270"/>
    </row>
    <row r="4576" spans="14:20" x14ac:dyDescent="0.25">
      <c r="N4576" s="362"/>
      <c r="R4576" s="210"/>
      <c r="S4576" s="232"/>
      <c r="T4576" s="270"/>
    </row>
    <row r="4577" spans="14:20" x14ac:dyDescent="0.25">
      <c r="N4577" s="362"/>
      <c r="R4577" s="210"/>
      <c r="S4577" s="232"/>
      <c r="T4577" s="270"/>
    </row>
    <row r="4578" spans="14:20" x14ac:dyDescent="0.25">
      <c r="N4578" s="362"/>
      <c r="R4578" s="210"/>
      <c r="S4578" s="232"/>
      <c r="T4578" s="270"/>
    </row>
    <row r="4579" spans="14:20" x14ac:dyDescent="0.25">
      <c r="N4579" s="362"/>
      <c r="R4579" s="210"/>
      <c r="S4579" s="232"/>
      <c r="T4579" s="270"/>
    </row>
    <row r="4580" spans="14:20" x14ac:dyDescent="0.25">
      <c r="N4580" s="362"/>
      <c r="R4580" s="210"/>
      <c r="S4580" s="232"/>
      <c r="T4580" s="270"/>
    </row>
    <row r="4581" spans="14:20" x14ac:dyDescent="0.25">
      <c r="N4581" s="362"/>
      <c r="R4581" s="210"/>
      <c r="S4581" s="232"/>
      <c r="T4581" s="270"/>
    </row>
    <row r="4582" spans="14:20" x14ac:dyDescent="0.25">
      <c r="N4582" s="362"/>
      <c r="R4582" s="210"/>
      <c r="S4582" s="232"/>
      <c r="T4582" s="270"/>
    </row>
    <row r="4583" spans="14:20" x14ac:dyDescent="0.25">
      <c r="N4583" s="362"/>
      <c r="R4583" s="210"/>
      <c r="S4583" s="232"/>
      <c r="T4583" s="270"/>
    </row>
    <row r="4584" spans="14:20" x14ac:dyDescent="0.25">
      <c r="N4584" s="362"/>
      <c r="R4584" s="210"/>
      <c r="S4584" s="232"/>
      <c r="T4584" s="270"/>
    </row>
    <row r="4585" spans="14:20" x14ac:dyDescent="0.25">
      <c r="N4585" s="362"/>
      <c r="R4585" s="210"/>
      <c r="S4585" s="232"/>
      <c r="T4585" s="270"/>
    </row>
    <row r="4586" spans="14:20" x14ac:dyDescent="0.25">
      <c r="N4586" s="362"/>
      <c r="R4586" s="210"/>
      <c r="S4586" s="232"/>
      <c r="T4586" s="270"/>
    </row>
    <row r="4587" spans="14:20" x14ac:dyDescent="0.25">
      <c r="N4587" s="362"/>
      <c r="R4587" s="210"/>
      <c r="S4587" s="232"/>
      <c r="T4587" s="270"/>
    </row>
    <row r="4588" spans="14:20" x14ac:dyDescent="0.25">
      <c r="N4588" s="362"/>
      <c r="R4588" s="210"/>
      <c r="S4588" s="232"/>
      <c r="T4588" s="270"/>
    </row>
    <row r="4589" spans="14:20" x14ac:dyDescent="0.25">
      <c r="N4589" s="362"/>
      <c r="R4589" s="210"/>
      <c r="S4589" s="232"/>
      <c r="T4589" s="270"/>
    </row>
    <row r="4590" spans="14:20" x14ac:dyDescent="0.25">
      <c r="N4590" s="362"/>
      <c r="R4590" s="210"/>
      <c r="S4590" s="232"/>
      <c r="T4590" s="270"/>
    </row>
    <row r="4591" spans="14:20" x14ac:dyDescent="0.25">
      <c r="N4591" s="362"/>
      <c r="R4591" s="210"/>
      <c r="S4591" s="232"/>
      <c r="T4591" s="270"/>
    </row>
    <row r="4592" spans="14:20" x14ac:dyDescent="0.25">
      <c r="N4592" s="362"/>
      <c r="R4592" s="210"/>
      <c r="S4592" s="232"/>
      <c r="T4592" s="270"/>
    </row>
    <row r="4593" spans="14:20" x14ac:dyDescent="0.25">
      <c r="N4593" s="362"/>
      <c r="R4593" s="210"/>
      <c r="S4593" s="232"/>
      <c r="T4593" s="270"/>
    </row>
    <row r="4594" spans="14:20" x14ac:dyDescent="0.25">
      <c r="N4594" s="362"/>
      <c r="R4594" s="210"/>
      <c r="S4594" s="232"/>
      <c r="T4594" s="270"/>
    </row>
    <row r="4595" spans="14:20" x14ac:dyDescent="0.25">
      <c r="N4595" s="362"/>
      <c r="R4595" s="210"/>
      <c r="S4595" s="232"/>
      <c r="T4595" s="270"/>
    </row>
    <row r="4596" spans="14:20" x14ac:dyDescent="0.25">
      <c r="N4596" s="362"/>
      <c r="R4596" s="210"/>
      <c r="S4596" s="232"/>
      <c r="T4596" s="270"/>
    </row>
    <row r="4597" spans="14:20" x14ac:dyDescent="0.25">
      <c r="N4597" s="362"/>
      <c r="R4597" s="210"/>
      <c r="S4597" s="232"/>
      <c r="T4597" s="270"/>
    </row>
    <row r="4598" spans="14:20" x14ac:dyDescent="0.25">
      <c r="N4598" s="362"/>
      <c r="R4598" s="210"/>
      <c r="S4598" s="232"/>
      <c r="T4598" s="270"/>
    </row>
    <row r="4599" spans="14:20" x14ac:dyDescent="0.25">
      <c r="N4599" s="362"/>
      <c r="R4599" s="210"/>
      <c r="S4599" s="232"/>
      <c r="T4599" s="270"/>
    </row>
    <row r="4600" spans="14:20" x14ac:dyDescent="0.25">
      <c r="N4600" s="362"/>
      <c r="R4600" s="210"/>
      <c r="S4600" s="232"/>
      <c r="T4600" s="270"/>
    </row>
    <row r="4601" spans="14:20" x14ac:dyDescent="0.25">
      <c r="N4601" s="362"/>
      <c r="R4601" s="210"/>
      <c r="S4601" s="232"/>
      <c r="T4601" s="270"/>
    </row>
    <row r="4602" spans="14:20" x14ac:dyDescent="0.25">
      <c r="N4602" s="362"/>
      <c r="R4602" s="210"/>
      <c r="S4602" s="232"/>
      <c r="T4602" s="270"/>
    </row>
    <row r="4603" spans="14:20" x14ac:dyDescent="0.25">
      <c r="N4603" s="362"/>
      <c r="R4603" s="210"/>
      <c r="S4603" s="232"/>
      <c r="T4603" s="270"/>
    </row>
    <row r="4604" spans="14:20" x14ac:dyDescent="0.25">
      <c r="N4604" s="362"/>
      <c r="R4604" s="210"/>
      <c r="S4604" s="232"/>
      <c r="T4604" s="270"/>
    </row>
    <row r="4605" spans="14:20" x14ac:dyDescent="0.25">
      <c r="N4605" s="362"/>
      <c r="R4605" s="210"/>
      <c r="S4605" s="232"/>
      <c r="T4605" s="270"/>
    </row>
    <row r="4606" spans="14:20" x14ac:dyDescent="0.25">
      <c r="N4606" s="362"/>
      <c r="R4606" s="210"/>
      <c r="S4606" s="232"/>
      <c r="T4606" s="270"/>
    </row>
    <row r="4607" spans="14:20" x14ac:dyDescent="0.25">
      <c r="N4607" s="362"/>
      <c r="R4607" s="210"/>
      <c r="S4607" s="232"/>
      <c r="T4607" s="270"/>
    </row>
    <row r="4608" spans="14:20" x14ac:dyDescent="0.25">
      <c r="N4608" s="362"/>
      <c r="R4608" s="210"/>
      <c r="S4608" s="232"/>
      <c r="T4608" s="270"/>
    </row>
    <row r="4609" spans="14:20" x14ac:dyDescent="0.25">
      <c r="N4609" s="362"/>
      <c r="R4609" s="210"/>
      <c r="S4609" s="232"/>
      <c r="T4609" s="270"/>
    </row>
    <row r="4610" spans="14:20" x14ac:dyDescent="0.25">
      <c r="N4610" s="362"/>
      <c r="R4610" s="210"/>
      <c r="S4610" s="232"/>
      <c r="T4610" s="270"/>
    </row>
    <row r="4611" spans="14:20" x14ac:dyDescent="0.25">
      <c r="N4611" s="362"/>
      <c r="R4611" s="210"/>
      <c r="S4611" s="232"/>
      <c r="T4611" s="270"/>
    </row>
    <row r="4612" spans="14:20" x14ac:dyDescent="0.25">
      <c r="N4612" s="362"/>
      <c r="R4612" s="210"/>
      <c r="S4612" s="232"/>
      <c r="T4612" s="270"/>
    </row>
    <row r="4613" spans="14:20" x14ac:dyDescent="0.25">
      <c r="N4613" s="362"/>
      <c r="R4613" s="210"/>
      <c r="S4613" s="232"/>
      <c r="T4613" s="270"/>
    </row>
    <row r="4614" spans="14:20" x14ac:dyDescent="0.25">
      <c r="N4614" s="362"/>
      <c r="R4614" s="210"/>
      <c r="S4614" s="232"/>
      <c r="T4614" s="270"/>
    </row>
    <row r="4615" spans="14:20" x14ac:dyDescent="0.25">
      <c r="N4615" s="362"/>
      <c r="R4615" s="210"/>
      <c r="S4615" s="232"/>
      <c r="T4615" s="270"/>
    </row>
    <row r="4616" spans="14:20" x14ac:dyDescent="0.25">
      <c r="N4616" s="362"/>
      <c r="R4616" s="210"/>
      <c r="S4616" s="232"/>
      <c r="T4616" s="270"/>
    </row>
    <row r="4617" spans="14:20" x14ac:dyDescent="0.25">
      <c r="N4617" s="362"/>
      <c r="R4617" s="210"/>
      <c r="S4617" s="232"/>
      <c r="T4617" s="270"/>
    </row>
    <row r="4618" spans="14:20" x14ac:dyDescent="0.25">
      <c r="N4618" s="362"/>
      <c r="R4618" s="210"/>
      <c r="S4618" s="232"/>
      <c r="T4618" s="270"/>
    </row>
    <row r="4619" spans="14:20" x14ac:dyDescent="0.25">
      <c r="N4619" s="362"/>
      <c r="R4619" s="210"/>
      <c r="S4619" s="232"/>
      <c r="T4619" s="270"/>
    </row>
    <row r="4620" spans="14:20" x14ac:dyDescent="0.25">
      <c r="N4620" s="362"/>
      <c r="R4620" s="210"/>
      <c r="S4620" s="232"/>
      <c r="T4620" s="270"/>
    </row>
    <row r="4621" spans="14:20" x14ac:dyDescent="0.25">
      <c r="N4621" s="362"/>
      <c r="R4621" s="210"/>
      <c r="S4621" s="232"/>
      <c r="T4621" s="270"/>
    </row>
    <row r="4622" spans="14:20" x14ac:dyDescent="0.25">
      <c r="N4622" s="362"/>
      <c r="R4622" s="210"/>
      <c r="S4622" s="232"/>
      <c r="T4622" s="270"/>
    </row>
    <row r="4623" spans="14:20" x14ac:dyDescent="0.25">
      <c r="N4623" s="362"/>
      <c r="R4623" s="210"/>
      <c r="S4623" s="232"/>
      <c r="T4623" s="270"/>
    </row>
    <row r="4624" spans="14:20" x14ac:dyDescent="0.25">
      <c r="N4624" s="362"/>
      <c r="R4624" s="210"/>
      <c r="S4624" s="232"/>
      <c r="T4624" s="270"/>
    </row>
    <row r="4625" spans="14:20" x14ac:dyDescent="0.25">
      <c r="N4625" s="362"/>
      <c r="R4625" s="210"/>
      <c r="S4625" s="232"/>
      <c r="T4625" s="270"/>
    </row>
    <row r="4626" spans="14:20" x14ac:dyDescent="0.25">
      <c r="N4626" s="362"/>
      <c r="R4626" s="210"/>
      <c r="S4626" s="232"/>
      <c r="T4626" s="270"/>
    </row>
    <row r="4627" spans="14:20" x14ac:dyDescent="0.25">
      <c r="N4627" s="362"/>
      <c r="R4627" s="210"/>
      <c r="S4627" s="232"/>
      <c r="T4627" s="270"/>
    </row>
    <row r="4628" spans="14:20" x14ac:dyDescent="0.25">
      <c r="N4628" s="362"/>
      <c r="R4628" s="210"/>
      <c r="S4628" s="232"/>
      <c r="T4628" s="270"/>
    </row>
    <row r="4629" spans="14:20" x14ac:dyDescent="0.25">
      <c r="N4629" s="362"/>
      <c r="R4629" s="210"/>
      <c r="S4629" s="232"/>
      <c r="T4629" s="270"/>
    </row>
    <row r="4630" spans="14:20" x14ac:dyDescent="0.25">
      <c r="N4630" s="362"/>
      <c r="R4630" s="210"/>
      <c r="S4630" s="232"/>
      <c r="T4630" s="270"/>
    </row>
    <row r="4631" spans="14:20" x14ac:dyDescent="0.25">
      <c r="N4631" s="362"/>
      <c r="R4631" s="210"/>
      <c r="S4631" s="232"/>
      <c r="T4631" s="270"/>
    </row>
    <row r="4632" spans="14:20" x14ac:dyDescent="0.25">
      <c r="N4632" s="362"/>
      <c r="R4632" s="210"/>
      <c r="S4632" s="232"/>
      <c r="T4632" s="270"/>
    </row>
    <row r="4633" spans="14:20" x14ac:dyDescent="0.25">
      <c r="N4633" s="362"/>
      <c r="R4633" s="210"/>
      <c r="S4633" s="232"/>
      <c r="T4633" s="270"/>
    </row>
    <row r="4634" spans="14:20" x14ac:dyDescent="0.25">
      <c r="N4634" s="362"/>
      <c r="R4634" s="210"/>
      <c r="S4634" s="232"/>
      <c r="T4634" s="270"/>
    </row>
    <row r="4635" spans="14:20" x14ac:dyDescent="0.25">
      <c r="N4635" s="362"/>
      <c r="R4635" s="210"/>
      <c r="S4635" s="232"/>
      <c r="T4635" s="270"/>
    </row>
    <row r="4636" spans="14:20" x14ac:dyDescent="0.25">
      <c r="N4636" s="362"/>
      <c r="R4636" s="210"/>
      <c r="S4636" s="232"/>
      <c r="T4636" s="270"/>
    </row>
    <row r="4637" spans="14:20" x14ac:dyDescent="0.25">
      <c r="N4637" s="362"/>
      <c r="R4637" s="210"/>
      <c r="S4637" s="232"/>
      <c r="T4637" s="270"/>
    </row>
    <row r="4638" spans="14:20" x14ac:dyDescent="0.25">
      <c r="N4638" s="362"/>
      <c r="R4638" s="210"/>
      <c r="S4638" s="232"/>
      <c r="T4638" s="270"/>
    </row>
    <row r="4639" spans="14:20" x14ac:dyDescent="0.25">
      <c r="N4639" s="362"/>
      <c r="R4639" s="210"/>
      <c r="S4639" s="232"/>
      <c r="T4639" s="270"/>
    </row>
    <row r="4640" spans="14:20" x14ac:dyDescent="0.25">
      <c r="N4640" s="362"/>
      <c r="R4640" s="210"/>
      <c r="S4640" s="232"/>
      <c r="T4640" s="270"/>
    </row>
    <row r="4641" spans="14:20" x14ac:dyDescent="0.25">
      <c r="N4641" s="362"/>
      <c r="R4641" s="210"/>
      <c r="S4641" s="232"/>
      <c r="T4641" s="270"/>
    </row>
    <row r="4642" spans="14:20" x14ac:dyDescent="0.25">
      <c r="N4642" s="362"/>
      <c r="R4642" s="210"/>
      <c r="S4642" s="232"/>
      <c r="T4642" s="270"/>
    </row>
    <row r="4643" spans="14:20" x14ac:dyDescent="0.25">
      <c r="N4643" s="362"/>
      <c r="R4643" s="210"/>
      <c r="S4643" s="232"/>
      <c r="T4643" s="270"/>
    </row>
    <row r="4644" spans="14:20" x14ac:dyDescent="0.25">
      <c r="N4644" s="362"/>
      <c r="R4644" s="210"/>
      <c r="S4644" s="232"/>
      <c r="T4644" s="270"/>
    </row>
    <row r="4645" spans="14:20" x14ac:dyDescent="0.25">
      <c r="N4645" s="362"/>
      <c r="R4645" s="210"/>
      <c r="S4645" s="232"/>
      <c r="T4645" s="270"/>
    </row>
    <row r="4646" spans="14:20" x14ac:dyDescent="0.25">
      <c r="N4646" s="362"/>
      <c r="R4646" s="210"/>
      <c r="S4646" s="232"/>
      <c r="T4646" s="270"/>
    </row>
    <row r="4647" spans="14:20" x14ac:dyDescent="0.25">
      <c r="N4647" s="362"/>
      <c r="R4647" s="210"/>
      <c r="S4647" s="232"/>
      <c r="T4647" s="270"/>
    </row>
    <row r="4648" spans="14:20" x14ac:dyDescent="0.25">
      <c r="N4648" s="362"/>
      <c r="R4648" s="210"/>
      <c r="S4648" s="232"/>
      <c r="T4648" s="270"/>
    </row>
    <row r="4649" spans="14:20" x14ac:dyDescent="0.25">
      <c r="N4649" s="362"/>
      <c r="R4649" s="210"/>
      <c r="S4649" s="232"/>
      <c r="T4649" s="270"/>
    </row>
    <row r="4650" spans="14:20" x14ac:dyDescent="0.25">
      <c r="N4650" s="362"/>
      <c r="R4650" s="210"/>
      <c r="S4650" s="232"/>
      <c r="T4650" s="270"/>
    </row>
    <row r="4651" spans="14:20" x14ac:dyDescent="0.25">
      <c r="N4651" s="362"/>
      <c r="R4651" s="210"/>
      <c r="S4651" s="232"/>
      <c r="T4651" s="270"/>
    </row>
    <row r="4652" spans="14:20" x14ac:dyDescent="0.25">
      <c r="N4652" s="362"/>
      <c r="R4652" s="210"/>
      <c r="S4652" s="232"/>
      <c r="T4652" s="270"/>
    </row>
    <row r="4653" spans="14:20" x14ac:dyDescent="0.25">
      <c r="N4653" s="362"/>
      <c r="R4653" s="210"/>
      <c r="S4653" s="232"/>
      <c r="T4653" s="270"/>
    </row>
    <row r="4654" spans="14:20" x14ac:dyDescent="0.25">
      <c r="N4654" s="362"/>
      <c r="R4654" s="210"/>
      <c r="S4654" s="232"/>
      <c r="T4654" s="270"/>
    </row>
    <row r="4655" spans="14:20" x14ac:dyDescent="0.25">
      <c r="N4655" s="362"/>
      <c r="R4655" s="210"/>
      <c r="S4655" s="232"/>
      <c r="T4655" s="270"/>
    </row>
    <row r="4656" spans="14:20" x14ac:dyDescent="0.25">
      <c r="N4656" s="362"/>
      <c r="R4656" s="210"/>
      <c r="S4656" s="232"/>
      <c r="T4656" s="270"/>
    </row>
    <row r="4657" spans="14:20" x14ac:dyDescent="0.25">
      <c r="N4657" s="362"/>
      <c r="R4657" s="210"/>
      <c r="S4657" s="232"/>
      <c r="T4657" s="270"/>
    </row>
    <row r="4658" spans="14:20" x14ac:dyDescent="0.25">
      <c r="N4658" s="362"/>
      <c r="R4658" s="210"/>
      <c r="S4658" s="232"/>
      <c r="T4658" s="270"/>
    </row>
    <row r="4659" spans="14:20" x14ac:dyDescent="0.25">
      <c r="N4659" s="362"/>
      <c r="R4659" s="210"/>
      <c r="S4659" s="232"/>
      <c r="T4659" s="270"/>
    </row>
    <row r="4660" spans="14:20" x14ac:dyDescent="0.25">
      <c r="N4660" s="362"/>
      <c r="R4660" s="210"/>
      <c r="S4660" s="232"/>
      <c r="T4660" s="270"/>
    </row>
    <row r="4661" spans="14:20" x14ac:dyDescent="0.25">
      <c r="N4661" s="362"/>
      <c r="R4661" s="210"/>
      <c r="S4661" s="232"/>
      <c r="T4661" s="270"/>
    </row>
    <row r="4662" spans="14:20" x14ac:dyDescent="0.25">
      <c r="N4662" s="362"/>
      <c r="R4662" s="210"/>
      <c r="S4662" s="232"/>
      <c r="T4662" s="270"/>
    </row>
    <row r="4663" spans="14:20" x14ac:dyDescent="0.25">
      <c r="N4663" s="362"/>
      <c r="R4663" s="210"/>
      <c r="S4663" s="232"/>
      <c r="T4663" s="270"/>
    </row>
    <row r="4664" spans="14:20" x14ac:dyDescent="0.25">
      <c r="N4664" s="362"/>
      <c r="R4664" s="210"/>
      <c r="S4664" s="232"/>
      <c r="T4664" s="270"/>
    </row>
    <row r="4665" spans="14:20" x14ac:dyDescent="0.25">
      <c r="N4665" s="362"/>
      <c r="R4665" s="210"/>
      <c r="S4665" s="232"/>
      <c r="T4665" s="270"/>
    </row>
    <row r="4666" spans="14:20" x14ac:dyDescent="0.25">
      <c r="N4666" s="362"/>
      <c r="R4666" s="210"/>
      <c r="S4666" s="232"/>
      <c r="T4666" s="270"/>
    </row>
    <row r="4667" spans="14:20" x14ac:dyDescent="0.25">
      <c r="N4667" s="362"/>
      <c r="R4667" s="210"/>
      <c r="S4667" s="232"/>
      <c r="T4667" s="270"/>
    </row>
    <row r="4668" spans="14:20" x14ac:dyDescent="0.25">
      <c r="N4668" s="362"/>
      <c r="R4668" s="210"/>
      <c r="S4668" s="232"/>
      <c r="T4668" s="270"/>
    </row>
    <row r="4669" spans="14:20" x14ac:dyDescent="0.25">
      <c r="N4669" s="362"/>
      <c r="R4669" s="210"/>
      <c r="S4669" s="232"/>
      <c r="T4669" s="270"/>
    </row>
    <row r="4670" spans="14:20" x14ac:dyDescent="0.25">
      <c r="N4670" s="362"/>
      <c r="R4670" s="210"/>
      <c r="S4670" s="232"/>
      <c r="T4670" s="270"/>
    </row>
    <row r="4671" spans="14:20" x14ac:dyDescent="0.25">
      <c r="N4671" s="362"/>
      <c r="R4671" s="210"/>
      <c r="S4671" s="232"/>
      <c r="T4671" s="270"/>
    </row>
    <row r="4672" spans="14:20" x14ac:dyDescent="0.25">
      <c r="N4672" s="362"/>
      <c r="R4672" s="210"/>
      <c r="S4672" s="232"/>
      <c r="T4672" s="270"/>
    </row>
    <row r="4673" spans="14:20" x14ac:dyDescent="0.25">
      <c r="N4673" s="362"/>
      <c r="R4673" s="210"/>
      <c r="S4673" s="232"/>
      <c r="T4673" s="270"/>
    </row>
    <row r="4674" spans="14:20" x14ac:dyDescent="0.25">
      <c r="N4674" s="362"/>
      <c r="R4674" s="210"/>
      <c r="S4674" s="232"/>
      <c r="T4674" s="270"/>
    </row>
    <row r="4675" spans="14:20" x14ac:dyDescent="0.25">
      <c r="N4675" s="362"/>
      <c r="R4675" s="210"/>
      <c r="S4675" s="232"/>
      <c r="T4675" s="270"/>
    </row>
    <row r="4676" spans="14:20" x14ac:dyDescent="0.25">
      <c r="N4676" s="362"/>
      <c r="R4676" s="210"/>
      <c r="S4676" s="232"/>
      <c r="T4676" s="270"/>
    </row>
    <row r="4677" spans="14:20" x14ac:dyDescent="0.25">
      <c r="N4677" s="362"/>
      <c r="R4677" s="210"/>
      <c r="S4677" s="232"/>
      <c r="T4677" s="270"/>
    </row>
    <row r="4678" spans="14:20" x14ac:dyDescent="0.25">
      <c r="N4678" s="362"/>
      <c r="R4678" s="210"/>
      <c r="S4678" s="232"/>
      <c r="T4678" s="270"/>
    </row>
    <row r="4679" spans="14:20" x14ac:dyDescent="0.25">
      <c r="N4679" s="362"/>
      <c r="R4679" s="210"/>
      <c r="S4679" s="232"/>
      <c r="T4679" s="270"/>
    </row>
    <row r="4680" spans="14:20" x14ac:dyDescent="0.25">
      <c r="N4680" s="362"/>
      <c r="R4680" s="210"/>
      <c r="S4680" s="232"/>
      <c r="T4680" s="270"/>
    </row>
    <row r="4681" spans="14:20" x14ac:dyDescent="0.25">
      <c r="N4681" s="362"/>
      <c r="R4681" s="210"/>
      <c r="S4681" s="232"/>
      <c r="T4681" s="270"/>
    </row>
    <row r="4682" spans="14:20" x14ac:dyDescent="0.25">
      <c r="N4682" s="362"/>
      <c r="R4682" s="210"/>
      <c r="S4682" s="232"/>
      <c r="T4682" s="270"/>
    </row>
    <row r="4683" spans="14:20" x14ac:dyDescent="0.25">
      <c r="N4683" s="362"/>
      <c r="R4683" s="210"/>
      <c r="S4683" s="232"/>
      <c r="T4683" s="270"/>
    </row>
    <row r="4684" spans="14:20" x14ac:dyDescent="0.25">
      <c r="N4684" s="362"/>
      <c r="R4684" s="210"/>
      <c r="S4684" s="232"/>
      <c r="T4684" s="270"/>
    </row>
    <row r="4685" spans="14:20" x14ac:dyDescent="0.25">
      <c r="N4685" s="362"/>
      <c r="R4685" s="210"/>
      <c r="S4685" s="232"/>
      <c r="T4685" s="270"/>
    </row>
    <row r="4686" spans="14:20" x14ac:dyDescent="0.25">
      <c r="N4686" s="362"/>
      <c r="R4686" s="210"/>
      <c r="S4686" s="232"/>
      <c r="T4686" s="270"/>
    </row>
    <row r="4687" spans="14:20" x14ac:dyDescent="0.25">
      <c r="N4687" s="362"/>
      <c r="R4687" s="210"/>
      <c r="S4687" s="232"/>
      <c r="T4687" s="270"/>
    </row>
    <row r="4688" spans="14:20" x14ac:dyDescent="0.25">
      <c r="N4688" s="362"/>
      <c r="R4688" s="210"/>
      <c r="S4688" s="232"/>
      <c r="T4688" s="270"/>
    </row>
    <row r="4689" spans="14:20" x14ac:dyDescent="0.25">
      <c r="N4689" s="362"/>
      <c r="R4689" s="210"/>
      <c r="S4689" s="232"/>
      <c r="T4689" s="270"/>
    </row>
    <row r="4690" spans="14:20" x14ac:dyDescent="0.25">
      <c r="N4690" s="362"/>
      <c r="R4690" s="210"/>
      <c r="S4690" s="232"/>
      <c r="T4690" s="270"/>
    </row>
    <row r="4691" spans="14:20" x14ac:dyDescent="0.25">
      <c r="N4691" s="362"/>
      <c r="R4691" s="210"/>
      <c r="S4691" s="232"/>
      <c r="T4691" s="270"/>
    </row>
    <row r="4692" spans="14:20" x14ac:dyDescent="0.25">
      <c r="N4692" s="362"/>
      <c r="R4692" s="210"/>
      <c r="S4692" s="232"/>
      <c r="T4692" s="270"/>
    </row>
    <row r="4693" spans="14:20" x14ac:dyDescent="0.25">
      <c r="N4693" s="362"/>
      <c r="R4693" s="210"/>
      <c r="S4693" s="232"/>
      <c r="T4693" s="270"/>
    </row>
    <row r="4694" spans="14:20" x14ac:dyDescent="0.25">
      <c r="N4694" s="362"/>
      <c r="R4694" s="210"/>
      <c r="S4694" s="232"/>
      <c r="T4694" s="270"/>
    </row>
    <row r="4695" spans="14:20" x14ac:dyDescent="0.25">
      <c r="N4695" s="362"/>
      <c r="R4695" s="210"/>
      <c r="S4695" s="232"/>
      <c r="T4695" s="270"/>
    </row>
    <row r="4696" spans="14:20" x14ac:dyDescent="0.25">
      <c r="N4696" s="362"/>
      <c r="R4696" s="210"/>
      <c r="S4696" s="232"/>
      <c r="T4696" s="270"/>
    </row>
    <row r="4697" spans="14:20" x14ac:dyDescent="0.25">
      <c r="N4697" s="362"/>
      <c r="R4697" s="210"/>
      <c r="S4697" s="232"/>
      <c r="T4697" s="270"/>
    </row>
    <row r="4698" spans="14:20" x14ac:dyDescent="0.25">
      <c r="N4698" s="362"/>
      <c r="R4698" s="210"/>
      <c r="S4698" s="232"/>
      <c r="T4698" s="270"/>
    </row>
    <row r="4699" spans="14:20" x14ac:dyDescent="0.25">
      <c r="N4699" s="362"/>
      <c r="R4699" s="210"/>
      <c r="S4699" s="232"/>
      <c r="T4699" s="270"/>
    </row>
    <row r="4700" spans="14:20" x14ac:dyDescent="0.25">
      <c r="N4700" s="362"/>
      <c r="R4700" s="210"/>
      <c r="S4700" s="232"/>
      <c r="T4700" s="270"/>
    </row>
    <row r="4701" spans="14:20" x14ac:dyDescent="0.25">
      <c r="N4701" s="362"/>
      <c r="R4701" s="210"/>
      <c r="S4701" s="232"/>
      <c r="T4701" s="270"/>
    </row>
    <row r="4702" spans="14:20" x14ac:dyDescent="0.25">
      <c r="N4702" s="362"/>
      <c r="R4702" s="210"/>
      <c r="S4702" s="232"/>
      <c r="T4702" s="270"/>
    </row>
    <row r="4703" spans="14:20" x14ac:dyDescent="0.25">
      <c r="N4703" s="362"/>
      <c r="R4703" s="210"/>
      <c r="S4703" s="232"/>
      <c r="T4703" s="270"/>
    </row>
    <row r="4704" spans="14:20" x14ac:dyDescent="0.25">
      <c r="N4704" s="362"/>
      <c r="R4704" s="210"/>
      <c r="S4704" s="232"/>
      <c r="T4704" s="270"/>
    </row>
    <row r="4705" spans="14:20" x14ac:dyDescent="0.25">
      <c r="N4705" s="362"/>
      <c r="R4705" s="210"/>
      <c r="S4705" s="232"/>
      <c r="T4705" s="270"/>
    </row>
    <row r="4706" spans="14:20" x14ac:dyDescent="0.25">
      <c r="N4706" s="362"/>
      <c r="R4706" s="210"/>
      <c r="S4706" s="232"/>
      <c r="T4706" s="270"/>
    </row>
    <row r="4707" spans="14:20" x14ac:dyDescent="0.25">
      <c r="N4707" s="362"/>
      <c r="R4707" s="210"/>
      <c r="S4707" s="232"/>
      <c r="T4707" s="270"/>
    </row>
    <row r="4708" spans="14:20" x14ac:dyDescent="0.25">
      <c r="N4708" s="362"/>
      <c r="R4708" s="210"/>
      <c r="S4708" s="232"/>
      <c r="T4708" s="270"/>
    </row>
    <row r="4709" spans="14:20" x14ac:dyDescent="0.25">
      <c r="N4709" s="362"/>
      <c r="R4709" s="210"/>
      <c r="S4709" s="232"/>
      <c r="T4709" s="270"/>
    </row>
    <row r="4710" spans="14:20" x14ac:dyDescent="0.25">
      <c r="N4710" s="362"/>
      <c r="R4710" s="210"/>
      <c r="S4710" s="232"/>
      <c r="T4710" s="270"/>
    </row>
    <row r="4711" spans="14:20" x14ac:dyDescent="0.25">
      <c r="N4711" s="362"/>
      <c r="R4711" s="210"/>
      <c r="S4711" s="232"/>
      <c r="T4711" s="270"/>
    </row>
    <row r="4712" spans="14:20" x14ac:dyDescent="0.25">
      <c r="N4712" s="362"/>
      <c r="R4712" s="210"/>
      <c r="S4712" s="232"/>
      <c r="T4712" s="270"/>
    </row>
    <row r="4713" spans="14:20" x14ac:dyDescent="0.25">
      <c r="N4713" s="362"/>
      <c r="R4713" s="210"/>
      <c r="S4713" s="232"/>
      <c r="T4713" s="270"/>
    </row>
    <row r="4714" spans="14:20" x14ac:dyDescent="0.25">
      <c r="N4714" s="362"/>
      <c r="R4714" s="210"/>
      <c r="S4714" s="232"/>
      <c r="T4714" s="270"/>
    </row>
    <row r="4715" spans="14:20" x14ac:dyDescent="0.25">
      <c r="N4715" s="362"/>
      <c r="R4715" s="210"/>
      <c r="S4715" s="232"/>
      <c r="T4715" s="270"/>
    </row>
    <row r="4716" spans="14:20" x14ac:dyDescent="0.25">
      <c r="N4716" s="362"/>
      <c r="R4716" s="210"/>
      <c r="S4716" s="232"/>
      <c r="T4716" s="270"/>
    </row>
    <row r="4717" spans="14:20" x14ac:dyDescent="0.25">
      <c r="N4717" s="362"/>
      <c r="R4717" s="210"/>
      <c r="S4717" s="232"/>
      <c r="T4717" s="270"/>
    </row>
    <row r="4718" spans="14:20" x14ac:dyDescent="0.25">
      <c r="N4718" s="362"/>
      <c r="R4718" s="210"/>
      <c r="S4718" s="232"/>
      <c r="T4718" s="270"/>
    </row>
    <row r="4719" spans="14:20" x14ac:dyDescent="0.25">
      <c r="N4719" s="362"/>
      <c r="R4719" s="210"/>
      <c r="S4719" s="232"/>
      <c r="T4719" s="270"/>
    </row>
    <row r="4720" spans="14:20" x14ac:dyDescent="0.25">
      <c r="N4720" s="362"/>
      <c r="R4720" s="210"/>
      <c r="S4720" s="232"/>
      <c r="T4720" s="270"/>
    </row>
    <row r="4721" spans="14:20" x14ac:dyDescent="0.25">
      <c r="N4721" s="362"/>
      <c r="R4721" s="210"/>
      <c r="S4721" s="232"/>
      <c r="T4721" s="270"/>
    </row>
    <row r="4722" spans="14:20" x14ac:dyDescent="0.25">
      <c r="N4722" s="362"/>
      <c r="R4722" s="210"/>
      <c r="S4722" s="232"/>
      <c r="T4722" s="270"/>
    </row>
    <row r="4723" spans="14:20" x14ac:dyDescent="0.25">
      <c r="N4723" s="362"/>
      <c r="R4723" s="210"/>
      <c r="S4723" s="232"/>
      <c r="T4723" s="270"/>
    </row>
    <row r="4724" spans="14:20" x14ac:dyDescent="0.25">
      <c r="N4724" s="362"/>
      <c r="R4724" s="210"/>
      <c r="S4724" s="232"/>
      <c r="T4724" s="270"/>
    </row>
    <row r="4725" spans="14:20" x14ac:dyDescent="0.25">
      <c r="N4725" s="362"/>
      <c r="R4725" s="210"/>
      <c r="S4725" s="232"/>
      <c r="T4725" s="270"/>
    </row>
    <row r="4726" spans="14:20" x14ac:dyDescent="0.25">
      <c r="N4726" s="362"/>
      <c r="R4726" s="210"/>
      <c r="S4726" s="232"/>
      <c r="T4726" s="270"/>
    </row>
    <row r="4727" spans="14:20" x14ac:dyDescent="0.25">
      <c r="N4727" s="362"/>
      <c r="R4727" s="210"/>
      <c r="S4727" s="232"/>
      <c r="T4727" s="270"/>
    </row>
    <row r="4728" spans="14:20" x14ac:dyDescent="0.25">
      <c r="N4728" s="362"/>
      <c r="R4728" s="210"/>
      <c r="S4728" s="232"/>
      <c r="T4728" s="270"/>
    </row>
    <row r="4729" spans="14:20" x14ac:dyDescent="0.25">
      <c r="N4729" s="362"/>
      <c r="R4729" s="210"/>
      <c r="S4729" s="232"/>
      <c r="T4729" s="270"/>
    </row>
    <row r="4730" spans="14:20" x14ac:dyDescent="0.25">
      <c r="N4730" s="362"/>
      <c r="R4730" s="210"/>
      <c r="S4730" s="232"/>
      <c r="T4730" s="270"/>
    </row>
    <row r="4731" spans="14:20" x14ac:dyDescent="0.25">
      <c r="N4731" s="362"/>
      <c r="R4731" s="210"/>
      <c r="S4731" s="232"/>
      <c r="T4731" s="270"/>
    </row>
    <row r="4732" spans="14:20" x14ac:dyDescent="0.25">
      <c r="N4732" s="362"/>
      <c r="R4732" s="210"/>
      <c r="S4732" s="232"/>
      <c r="T4732" s="270"/>
    </row>
    <row r="4733" spans="14:20" x14ac:dyDescent="0.25">
      <c r="N4733" s="362"/>
      <c r="R4733" s="210"/>
      <c r="S4733" s="232"/>
      <c r="T4733" s="270"/>
    </row>
    <row r="4734" spans="14:20" x14ac:dyDescent="0.25">
      <c r="N4734" s="362"/>
      <c r="R4734" s="210"/>
      <c r="S4734" s="232"/>
      <c r="T4734" s="270"/>
    </row>
    <row r="4735" spans="14:20" x14ac:dyDescent="0.25">
      <c r="N4735" s="362"/>
      <c r="R4735" s="210"/>
      <c r="S4735" s="232"/>
      <c r="T4735" s="270"/>
    </row>
    <row r="4736" spans="14:20" x14ac:dyDescent="0.25">
      <c r="N4736" s="362"/>
      <c r="R4736" s="210"/>
      <c r="S4736" s="232"/>
      <c r="T4736" s="270"/>
    </row>
    <row r="4737" spans="14:20" x14ac:dyDescent="0.25">
      <c r="N4737" s="362"/>
      <c r="R4737" s="210"/>
      <c r="S4737" s="232"/>
      <c r="T4737" s="270"/>
    </row>
    <row r="4738" spans="14:20" x14ac:dyDescent="0.25">
      <c r="N4738" s="362"/>
      <c r="R4738" s="210"/>
      <c r="S4738" s="232"/>
      <c r="T4738" s="270"/>
    </row>
    <row r="4739" spans="14:20" x14ac:dyDescent="0.25">
      <c r="N4739" s="362"/>
      <c r="R4739" s="210"/>
      <c r="S4739" s="232"/>
      <c r="T4739" s="270"/>
    </row>
    <row r="4740" spans="14:20" x14ac:dyDescent="0.25">
      <c r="N4740" s="362"/>
      <c r="R4740" s="210"/>
      <c r="S4740" s="232"/>
      <c r="T4740" s="270"/>
    </row>
    <row r="4741" spans="14:20" x14ac:dyDescent="0.25">
      <c r="N4741" s="362"/>
      <c r="R4741" s="210"/>
      <c r="S4741" s="232"/>
      <c r="T4741" s="270"/>
    </row>
    <row r="4742" spans="14:20" x14ac:dyDescent="0.25">
      <c r="N4742" s="362"/>
      <c r="R4742" s="210"/>
      <c r="S4742" s="232"/>
      <c r="T4742" s="270"/>
    </row>
    <row r="4743" spans="14:20" x14ac:dyDescent="0.25">
      <c r="N4743" s="362"/>
      <c r="R4743" s="210"/>
      <c r="S4743" s="232"/>
      <c r="T4743" s="270"/>
    </row>
    <row r="4744" spans="14:20" x14ac:dyDescent="0.25">
      <c r="N4744" s="362"/>
      <c r="R4744" s="210"/>
      <c r="S4744" s="232"/>
      <c r="T4744" s="270"/>
    </row>
    <row r="4745" spans="14:20" x14ac:dyDescent="0.25">
      <c r="N4745" s="362"/>
      <c r="R4745" s="210"/>
      <c r="S4745" s="232"/>
      <c r="T4745" s="270"/>
    </row>
    <row r="4746" spans="14:20" x14ac:dyDescent="0.25">
      <c r="N4746" s="362"/>
      <c r="R4746" s="210"/>
      <c r="S4746" s="232"/>
      <c r="T4746" s="270"/>
    </row>
    <row r="4747" spans="14:20" x14ac:dyDescent="0.25">
      <c r="N4747" s="362"/>
      <c r="R4747" s="210"/>
      <c r="S4747" s="232"/>
      <c r="T4747" s="270"/>
    </row>
    <row r="4748" spans="14:20" x14ac:dyDescent="0.25">
      <c r="N4748" s="362"/>
      <c r="R4748" s="210"/>
      <c r="S4748" s="232"/>
      <c r="T4748" s="270"/>
    </row>
    <row r="4749" spans="14:20" x14ac:dyDescent="0.25">
      <c r="N4749" s="362"/>
      <c r="R4749" s="210"/>
      <c r="S4749" s="232"/>
      <c r="T4749" s="270"/>
    </row>
    <row r="4750" spans="14:20" x14ac:dyDescent="0.25">
      <c r="N4750" s="362"/>
      <c r="R4750" s="210"/>
      <c r="S4750" s="232"/>
      <c r="T4750" s="270"/>
    </row>
    <row r="4751" spans="14:20" x14ac:dyDescent="0.25">
      <c r="N4751" s="362"/>
      <c r="R4751" s="210"/>
      <c r="S4751" s="232"/>
      <c r="T4751" s="270"/>
    </row>
    <row r="4752" spans="14:20" x14ac:dyDescent="0.25">
      <c r="N4752" s="362"/>
      <c r="R4752" s="210"/>
      <c r="S4752" s="232"/>
      <c r="T4752" s="270"/>
    </row>
    <row r="4753" spans="14:20" x14ac:dyDescent="0.25">
      <c r="N4753" s="362"/>
      <c r="R4753" s="210"/>
      <c r="S4753" s="232"/>
      <c r="T4753" s="270"/>
    </row>
    <row r="4754" spans="14:20" x14ac:dyDescent="0.25">
      <c r="N4754" s="362"/>
      <c r="R4754" s="210"/>
      <c r="S4754" s="232"/>
      <c r="T4754" s="270"/>
    </row>
    <row r="4755" spans="14:20" x14ac:dyDescent="0.25">
      <c r="N4755" s="362"/>
      <c r="R4755" s="210"/>
      <c r="S4755" s="232"/>
      <c r="T4755" s="270"/>
    </row>
    <row r="4756" spans="14:20" x14ac:dyDescent="0.25">
      <c r="N4756" s="362"/>
      <c r="R4756" s="210"/>
      <c r="S4756" s="232"/>
      <c r="T4756" s="270"/>
    </row>
    <row r="4757" spans="14:20" x14ac:dyDescent="0.25">
      <c r="N4757" s="362"/>
      <c r="R4757" s="210"/>
      <c r="S4757" s="232"/>
      <c r="T4757" s="270"/>
    </row>
    <row r="4758" spans="14:20" x14ac:dyDescent="0.25">
      <c r="N4758" s="362"/>
      <c r="R4758" s="210"/>
      <c r="S4758" s="232"/>
      <c r="T4758" s="270"/>
    </row>
    <row r="4759" spans="14:20" x14ac:dyDescent="0.25">
      <c r="N4759" s="362"/>
      <c r="R4759" s="210"/>
      <c r="S4759" s="232"/>
      <c r="T4759" s="270"/>
    </row>
    <row r="4760" spans="14:20" x14ac:dyDescent="0.25">
      <c r="N4760" s="362"/>
      <c r="R4760" s="210"/>
      <c r="S4760" s="232"/>
      <c r="T4760" s="270"/>
    </row>
    <row r="4761" spans="14:20" x14ac:dyDescent="0.25">
      <c r="N4761" s="362"/>
      <c r="R4761" s="210"/>
      <c r="S4761" s="232"/>
      <c r="T4761" s="270"/>
    </row>
    <row r="4762" spans="14:20" x14ac:dyDescent="0.25">
      <c r="N4762" s="362"/>
      <c r="R4762" s="210"/>
      <c r="S4762" s="232"/>
      <c r="T4762" s="270"/>
    </row>
    <row r="4763" spans="14:20" x14ac:dyDescent="0.25">
      <c r="N4763" s="362"/>
      <c r="R4763" s="210"/>
      <c r="S4763" s="232"/>
      <c r="T4763" s="270"/>
    </row>
    <row r="4764" spans="14:20" x14ac:dyDescent="0.25">
      <c r="N4764" s="362"/>
      <c r="R4764" s="210"/>
      <c r="S4764" s="232"/>
      <c r="T4764" s="270"/>
    </row>
    <row r="4765" spans="14:20" x14ac:dyDescent="0.25">
      <c r="N4765" s="362"/>
      <c r="R4765" s="210"/>
      <c r="S4765" s="232"/>
      <c r="T4765" s="270"/>
    </row>
    <row r="4766" spans="14:20" x14ac:dyDescent="0.25">
      <c r="N4766" s="362"/>
      <c r="R4766" s="210"/>
      <c r="S4766" s="232"/>
      <c r="T4766" s="270"/>
    </row>
    <row r="4767" spans="14:20" x14ac:dyDescent="0.25">
      <c r="N4767" s="362"/>
      <c r="R4767" s="210"/>
      <c r="S4767" s="232"/>
      <c r="T4767" s="270"/>
    </row>
    <row r="4768" spans="14:20" x14ac:dyDescent="0.25">
      <c r="N4768" s="362"/>
      <c r="R4768" s="210"/>
      <c r="S4768" s="232"/>
      <c r="T4768" s="270"/>
    </row>
    <row r="4769" spans="14:20" x14ac:dyDescent="0.25">
      <c r="N4769" s="362"/>
      <c r="R4769" s="210"/>
      <c r="S4769" s="232"/>
      <c r="T4769" s="270"/>
    </row>
    <row r="4770" spans="14:20" x14ac:dyDescent="0.25">
      <c r="N4770" s="362"/>
      <c r="R4770" s="210"/>
      <c r="S4770" s="232"/>
      <c r="T4770" s="270"/>
    </row>
    <row r="4771" spans="14:20" x14ac:dyDescent="0.25">
      <c r="N4771" s="362"/>
      <c r="R4771" s="210"/>
      <c r="S4771" s="232"/>
      <c r="T4771" s="270"/>
    </row>
    <row r="4772" spans="14:20" x14ac:dyDescent="0.25">
      <c r="N4772" s="362"/>
      <c r="R4772" s="210"/>
      <c r="S4772" s="232"/>
      <c r="T4772" s="270"/>
    </row>
    <row r="4773" spans="14:20" x14ac:dyDescent="0.25">
      <c r="N4773" s="362"/>
      <c r="R4773" s="210"/>
      <c r="S4773" s="232"/>
      <c r="T4773" s="270"/>
    </row>
    <row r="4774" spans="14:20" x14ac:dyDescent="0.25">
      <c r="N4774" s="362"/>
      <c r="R4774" s="210"/>
      <c r="S4774" s="232"/>
      <c r="T4774" s="270"/>
    </row>
    <row r="4775" spans="14:20" x14ac:dyDescent="0.25">
      <c r="N4775" s="362"/>
      <c r="R4775" s="210"/>
      <c r="S4775" s="232"/>
      <c r="T4775" s="270"/>
    </row>
    <row r="4776" spans="14:20" x14ac:dyDescent="0.25">
      <c r="N4776" s="362"/>
      <c r="R4776" s="210"/>
      <c r="S4776" s="232"/>
      <c r="T4776" s="270"/>
    </row>
    <row r="4777" spans="14:20" x14ac:dyDescent="0.25">
      <c r="N4777" s="362"/>
      <c r="R4777" s="210"/>
      <c r="S4777" s="232"/>
      <c r="T4777" s="270"/>
    </row>
    <row r="4778" spans="14:20" x14ac:dyDescent="0.25">
      <c r="N4778" s="362"/>
      <c r="R4778" s="210"/>
      <c r="S4778" s="232"/>
      <c r="T4778" s="270"/>
    </row>
    <row r="4779" spans="14:20" x14ac:dyDescent="0.25">
      <c r="N4779" s="362"/>
      <c r="R4779" s="210"/>
      <c r="S4779" s="232"/>
      <c r="T4779" s="270"/>
    </row>
    <row r="4780" spans="14:20" x14ac:dyDescent="0.25">
      <c r="N4780" s="362"/>
      <c r="R4780" s="210"/>
      <c r="S4780" s="232"/>
      <c r="T4780" s="270"/>
    </row>
    <row r="4781" spans="14:20" x14ac:dyDescent="0.25">
      <c r="N4781" s="362"/>
      <c r="R4781" s="210"/>
      <c r="S4781" s="232"/>
      <c r="T4781" s="270"/>
    </row>
    <row r="4782" spans="14:20" x14ac:dyDescent="0.25">
      <c r="N4782" s="362"/>
      <c r="R4782" s="210"/>
      <c r="S4782" s="232"/>
      <c r="T4782" s="270"/>
    </row>
    <row r="4783" spans="14:20" x14ac:dyDescent="0.25">
      <c r="N4783" s="362"/>
      <c r="R4783" s="210"/>
      <c r="S4783" s="232"/>
      <c r="T4783" s="270"/>
    </row>
    <row r="4784" spans="14:20" x14ac:dyDescent="0.25">
      <c r="N4784" s="362"/>
      <c r="R4784" s="210"/>
      <c r="S4784" s="232"/>
      <c r="T4784" s="270"/>
    </row>
    <row r="4785" spans="14:20" x14ac:dyDescent="0.25">
      <c r="N4785" s="362"/>
      <c r="R4785" s="210"/>
      <c r="S4785" s="232"/>
      <c r="T4785" s="270"/>
    </row>
    <row r="4786" spans="14:20" x14ac:dyDescent="0.25">
      <c r="N4786" s="362"/>
      <c r="R4786" s="210"/>
      <c r="S4786" s="232"/>
      <c r="T4786" s="270"/>
    </row>
    <row r="4787" spans="14:20" x14ac:dyDescent="0.25">
      <c r="N4787" s="362"/>
      <c r="R4787" s="210"/>
      <c r="S4787" s="232"/>
      <c r="T4787" s="270"/>
    </row>
    <row r="4788" spans="14:20" x14ac:dyDescent="0.25">
      <c r="N4788" s="362"/>
      <c r="R4788" s="210"/>
      <c r="S4788" s="232"/>
      <c r="T4788" s="270"/>
    </row>
    <row r="4789" spans="14:20" x14ac:dyDescent="0.25">
      <c r="N4789" s="362"/>
      <c r="R4789" s="210"/>
      <c r="S4789" s="232"/>
      <c r="T4789" s="270"/>
    </row>
    <row r="4790" spans="14:20" x14ac:dyDescent="0.25">
      <c r="N4790" s="362"/>
      <c r="R4790" s="210"/>
      <c r="S4790" s="232"/>
      <c r="T4790" s="270"/>
    </row>
    <row r="4791" spans="14:20" x14ac:dyDescent="0.25">
      <c r="N4791" s="362"/>
      <c r="R4791" s="210"/>
      <c r="S4791" s="232"/>
      <c r="T4791" s="270"/>
    </row>
    <row r="4792" spans="14:20" x14ac:dyDescent="0.25">
      <c r="N4792" s="362"/>
      <c r="R4792" s="210"/>
      <c r="S4792" s="232"/>
      <c r="T4792" s="270"/>
    </row>
    <row r="4793" spans="14:20" x14ac:dyDescent="0.25">
      <c r="N4793" s="362"/>
      <c r="R4793" s="210"/>
      <c r="S4793" s="232"/>
      <c r="T4793" s="270"/>
    </row>
    <row r="4794" spans="14:20" x14ac:dyDescent="0.25">
      <c r="N4794" s="362"/>
      <c r="R4794" s="210"/>
      <c r="S4794" s="232"/>
      <c r="T4794" s="270"/>
    </row>
    <row r="4795" spans="14:20" x14ac:dyDescent="0.25">
      <c r="N4795" s="362"/>
      <c r="R4795" s="210"/>
      <c r="S4795" s="232"/>
      <c r="T4795" s="270"/>
    </row>
    <row r="4796" spans="14:20" x14ac:dyDescent="0.25">
      <c r="N4796" s="362"/>
      <c r="R4796" s="210"/>
      <c r="S4796" s="232"/>
      <c r="T4796" s="270"/>
    </row>
    <row r="4797" spans="14:20" x14ac:dyDescent="0.25">
      <c r="N4797" s="362"/>
      <c r="R4797" s="210"/>
      <c r="S4797" s="232"/>
      <c r="T4797" s="270"/>
    </row>
    <row r="4798" spans="14:20" x14ac:dyDescent="0.25">
      <c r="N4798" s="362"/>
      <c r="R4798" s="210"/>
      <c r="S4798" s="232"/>
      <c r="T4798" s="270"/>
    </row>
    <row r="4799" spans="14:20" x14ac:dyDescent="0.25">
      <c r="N4799" s="362"/>
      <c r="R4799" s="210"/>
      <c r="S4799" s="232"/>
      <c r="T4799" s="270"/>
    </row>
    <row r="4800" spans="14:20" x14ac:dyDescent="0.25">
      <c r="N4800" s="362"/>
      <c r="R4800" s="210"/>
      <c r="S4800" s="232"/>
      <c r="T4800" s="270"/>
    </row>
    <row r="4801" spans="14:20" x14ac:dyDescent="0.25">
      <c r="N4801" s="362"/>
      <c r="R4801" s="210"/>
      <c r="S4801" s="232"/>
      <c r="T4801" s="270"/>
    </row>
    <row r="4802" spans="14:20" x14ac:dyDescent="0.25">
      <c r="N4802" s="362"/>
      <c r="R4802" s="210"/>
      <c r="S4802" s="232"/>
      <c r="T4802" s="270"/>
    </row>
    <row r="4803" spans="14:20" x14ac:dyDescent="0.25">
      <c r="N4803" s="362"/>
      <c r="R4803" s="210"/>
      <c r="S4803" s="232"/>
      <c r="T4803" s="270"/>
    </row>
    <row r="4804" spans="14:20" x14ac:dyDescent="0.25">
      <c r="N4804" s="362"/>
      <c r="R4804" s="210"/>
      <c r="S4804" s="232"/>
      <c r="T4804" s="270"/>
    </row>
    <row r="4805" spans="14:20" x14ac:dyDescent="0.25">
      <c r="N4805" s="362"/>
      <c r="R4805" s="210"/>
      <c r="S4805" s="232"/>
      <c r="T4805" s="270"/>
    </row>
    <row r="4806" spans="14:20" x14ac:dyDescent="0.25">
      <c r="N4806" s="362"/>
      <c r="R4806" s="210"/>
      <c r="S4806" s="232"/>
      <c r="T4806" s="270"/>
    </row>
    <row r="4807" spans="14:20" x14ac:dyDescent="0.25">
      <c r="N4807" s="362"/>
      <c r="R4807" s="210"/>
      <c r="S4807" s="232"/>
      <c r="T4807" s="270"/>
    </row>
    <row r="4808" spans="14:20" x14ac:dyDescent="0.25">
      <c r="N4808" s="362"/>
      <c r="R4808" s="210"/>
      <c r="S4808" s="232"/>
      <c r="T4808" s="270"/>
    </row>
    <row r="4809" spans="14:20" x14ac:dyDescent="0.25">
      <c r="N4809" s="362"/>
      <c r="R4809" s="210"/>
      <c r="S4809" s="232"/>
      <c r="T4809" s="270"/>
    </row>
    <row r="4810" spans="14:20" x14ac:dyDescent="0.25">
      <c r="N4810" s="362"/>
      <c r="R4810" s="210"/>
      <c r="S4810" s="232"/>
      <c r="T4810" s="270"/>
    </row>
    <row r="4811" spans="14:20" x14ac:dyDescent="0.25">
      <c r="N4811" s="362"/>
      <c r="R4811" s="210"/>
      <c r="S4811" s="232"/>
      <c r="T4811" s="270"/>
    </row>
    <row r="4812" spans="14:20" x14ac:dyDescent="0.25">
      <c r="N4812" s="362"/>
      <c r="R4812" s="210"/>
      <c r="S4812" s="232"/>
      <c r="T4812" s="270"/>
    </row>
    <row r="4813" spans="14:20" x14ac:dyDescent="0.25">
      <c r="N4813" s="362"/>
      <c r="R4813" s="210"/>
      <c r="S4813" s="232"/>
      <c r="T4813" s="270"/>
    </row>
    <row r="4814" spans="14:20" x14ac:dyDescent="0.25">
      <c r="N4814" s="362"/>
      <c r="R4814" s="210"/>
      <c r="S4814" s="232"/>
      <c r="T4814" s="270"/>
    </row>
    <row r="4815" spans="14:20" x14ac:dyDescent="0.25">
      <c r="N4815" s="362"/>
      <c r="R4815" s="210"/>
      <c r="S4815" s="232"/>
      <c r="T4815" s="270"/>
    </row>
    <row r="4816" spans="14:20" x14ac:dyDescent="0.25">
      <c r="N4816" s="362"/>
      <c r="R4816" s="210"/>
      <c r="S4816" s="232"/>
      <c r="T4816" s="270"/>
    </row>
    <row r="4817" spans="14:20" x14ac:dyDescent="0.25">
      <c r="N4817" s="362"/>
      <c r="R4817" s="210"/>
      <c r="S4817" s="232"/>
      <c r="T4817" s="270"/>
    </row>
    <row r="4818" spans="14:20" x14ac:dyDescent="0.25">
      <c r="N4818" s="362"/>
      <c r="R4818" s="210"/>
      <c r="S4818" s="232"/>
      <c r="T4818" s="270"/>
    </row>
    <row r="4819" spans="14:20" x14ac:dyDescent="0.25">
      <c r="N4819" s="362"/>
      <c r="R4819" s="210"/>
      <c r="S4819" s="232"/>
      <c r="T4819" s="270"/>
    </row>
    <row r="4820" spans="14:20" x14ac:dyDescent="0.25">
      <c r="N4820" s="362"/>
      <c r="R4820" s="210"/>
      <c r="S4820" s="232"/>
      <c r="T4820" s="270"/>
    </row>
    <row r="4821" spans="14:20" x14ac:dyDescent="0.25">
      <c r="N4821" s="362"/>
      <c r="R4821" s="210"/>
      <c r="S4821" s="232"/>
      <c r="T4821" s="270"/>
    </row>
    <row r="4822" spans="14:20" x14ac:dyDescent="0.25">
      <c r="N4822" s="362"/>
      <c r="R4822" s="210"/>
      <c r="S4822" s="232"/>
      <c r="T4822" s="270"/>
    </row>
    <row r="4823" spans="14:20" x14ac:dyDescent="0.25">
      <c r="N4823" s="362"/>
      <c r="R4823" s="210"/>
      <c r="S4823" s="232"/>
      <c r="T4823" s="270"/>
    </row>
    <row r="4824" spans="14:20" x14ac:dyDescent="0.25">
      <c r="N4824" s="362"/>
      <c r="R4824" s="210"/>
      <c r="S4824" s="232"/>
      <c r="T4824" s="270"/>
    </row>
    <row r="4825" spans="14:20" x14ac:dyDescent="0.25">
      <c r="N4825" s="362"/>
      <c r="R4825" s="210"/>
      <c r="S4825" s="232"/>
      <c r="T4825" s="270"/>
    </row>
    <row r="4826" spans="14:20" x14ac:dyDescent="0.25">
      <c r="N4826" s="362"/>
      <c r="R4826" s="210"/>
      <c r="S4826" s="232"/>
      <c r="T4826" s="270"/>
    </row>
    <row r="4827" spans="14:20" x14ac:dyDescent="0.25">
      <c r="N4827" s="362"/>
      <c r="R4827" s="210"/>
      <c r="S4827" s="232"/>
      <c r="T4827" s="270"/>
    </row>
    <row r="4828" spans="14:20" x14ac:dyDescent="0.25">
      <c r="N4828" s="362"/>
      <c r="R4828" s="210"/>
      <c r="S4828" s="232"/>
      <c r="T4828" s="270"/>
    </row>
    <row r="4829" spans="14:20" x14ac:dyDescent="0.25">
      <c r="N4829" s="362"/>
      <c r="R4829" s="210"/>
      <c r="S4829" s="232"/>
      <c r="T4829" s="270"/>
    </row>
    <row r="4830" spans="14:20" x14ac:dyDescent="0.25">
      <c r="N4830" s="362"/>
      <c r="R4830" s="210"/>
      <c r="S4830" s="232"/>
      <c r="T4830" s="270"/>
    </row>
    <row r="4831" spans="14:20" x14ac:dyDescent="0.25">
      <c r="N4831" s="362"/>
      <c r="R4831" s="210"/>
      <c r="S4831" s="232"/>
      <c r="T4831" s="270"/>
    </row>
    <row r="4832" spans="14:20" x14ac:dyDescent="0.25">
      <c r="N4832" s="362"/>
      <c r="R4832" s="210"/>
      <c r="S4832" s="232"/>
      <c r="T4832" s="270"/>
    </row>
    <row r="4833" spans="14:20" x14ac:dyDescent="0.25">
      <c r="N4833" s="362"/>
      <c r="R4833" s="210"/>
      <c r="S4833" s="232"/>
      <c r="T4833" s="270"/>
    </row>
    <row r="4834" spans="14:20" x14ac:dyDescent="0.25">
      <c r="N4834" s="362"/>
      <c r="R4834" s="210"/>
      <c r="S4834" s="232"/>
      <c r="T4834" s="270"/>
    </row>
    <row r="4835" spans="14:20" x14ac:dyDescent="0.25">
      <c r="N4835" s="362"/>
      <c r="R4835" s="210"/>
      <c r="S4835" s="232"/>
      <c r="T4835" s="270"/>
    </row>
    <row r="4836" spans="14:20" x14ac:dyDescent="0.25">
      <c r="N4836" s="362"/>
      <c r="R4836" s="210"/>
      <c r="S4836" s="232"/>
      <c r="T4836" s="270"/>
    </row>
    <row r="4837" spans="14:20" x14ac:dyDescent="0.25">
      <c r="N4837" s="362"/>
      <c r="R4837" s="210"/>
      <c r="S4837" s="232"/>
      <c r="T4837" s="270"/>
    </row>
    <row r="4838" spans="14:20" x14ac:dyDescent="0.25">
      <c r="N4838" s="362"/>
      <c r="R4838" s="210"/>
      <c r="S4838" s="232"/>
      <c r="T4838" s="270"/>
    </row>
    <row r="4839" spans="14:20" x14ac:dyDescent="0.25">
      <c r="N4839" s="362"/>
      <c r="R4839" s="210"/>
      <c r="S4839" s="232"/>
      <c r="T4839" s="270"/>
    </row>
    <row r="4840" spans="14:20" x14ac:dyDescent="0.25">
      <c r="N4840" s="362"/>
      <c r="R4840" s="210"/>
      <c r="S4840" s="232"/>
      <c r="T4840" s="270"/>
    </row>
    <row r="4841" spans="14:20" x14ac:dyDescent="0.25">
      <c r="N4841" s="362"/>
      <c r="R4841" s="210"/>
      <c r="S4841" s="232"/>
      <c r="T4841" s="270"/>
    </row>
    <row r="4842" spans="14:20" x14ac:dyDescent="0.25">
      <c r="N4842" s="362"/>
      <c r="R4842" s="210"/>
      <c r="S4842" s="232"/>
      <c r="T4842" s="270"/>
    </row>
    <row r="4843" spans="14:20" x14ac:dyDescent="0.25">
      <c r="N4843" s="362"/>
      <c r="R4843" s="210"/>
      <c r="S4843" s="232"/>
      <c r="T4843" s="270"/>
    </row>
    <row r="4844" spans="14:20" x14ac:dyDescent="0.25">
      <c r="N4844" s="362"/>
      <c r="R4844" s="210"/>
      <c r="S4844" s="232"/>
      <c r="T4844" s="270"/>
    </row>
    <row r="4845" spans="14:20" x14ac:dyDescent="0.25">
      <c r="N4845" s="362"/>
      <c r="R4845" s="210"/>
      <c r="S4845" s="232"/>
      <c r="T4845" s="270"/>
    </row>
    <row r="4846" spans="14:20" x14ac:dyDescent="0.25">
      <c r="N4846" s="362"/>
      <c r="R4846" s="210"/>
      <c r="S4846" s="232"/>
      <c r="T4846" s="270"/>
    </row>
    <row r="4847" spans="14:20" x14ac:dyDescent="0.25">
      <c r="N4847" s="362"/>
      <c r="R4847" s="210"/>
      <c r="S4847" s="232"/>
      <c r="T4847" s="270"/>
    </row>
    <row r="4848" spans="14:20" x14ac:dyDescent="0.25">
      <c r="N4848" s="362"/>
      <c r="R4848" s="210"/>
      <c r="S4848" s="232"/>
      <c r="T4848" s="270"/>
    </row>
    <row r="4849" spans="14:20" x14ac:dyDescent="0.25">
      <c r="N4849" s="362"/>
      <c r="R4849" s="210"/>
      <c r="S4849" s="232"/>
      <c r="T4849" s="270"/>
    </row>
    <row r="4850" spans="14:20" x14ac:dyDescent="0.25">
      <c r="N4850" s="362"/>
      <c r="R4850" s="210"/>
      <c r="S4850" s="232"/>
      <c r="T4850" s="270"/>
    </row>
    <row r="4851" spans="14:20" x14ac:dyDescent="0.25">
      <c r="N4851" s="362"/>
      <c r="R4851" s="210"/>
      <c r="S4851" s="232"/>
      <c r="T4851" s="270"/>
    </row>
    <row r="4852" spans="14:20" x14ac:dyDescent="0.25">
      <c r="N4852" s="362"/>
      <c r="R4852" s="210"/>
      <c r="S4852" s="232"/>
      <c r="T4852" s="270"/>
    </row>
    <row r="4853" spans="14:20" x14ac:dyDescent="0.25">
      <c r="N4853" s="362"/>
      <c r="R4853" s="210"/>
      <c r="S4853" s="232"/>
      <c r="T4853" s="270"/>
    </row>
    <row r="4854" spans="14:20" x14ac:dyDescent="0.25">
      <c r="N4854" s="362"/>
      <c r="R4854" s="210"/>
      <c r="S4854" s="232"/>
      <c r="T4854" s="270"/>
    </row>
    <row r="4855" spans="14:20" x14ac:dyDescent="0.25">
      <c r="N4855" s="362"/>
      <c r="R4855" s="210"/>
      <c r="S4855" s="232"/>
      <c r="T4855" s="270"/>
    </row>
    <row r="4856" spans="14:20" x14ac:dyDescent="0.25">
      <c r="N4856" s="362"/>
      <c r="R4856" s="210"/>
      <c r="S4856" s="232"/>
      <c r="T4856" s="270"/>
    </row>
    <row r="4857" spans="14:20" x14ac:dyDescent="0.25">
      <c r="N4857" s="362"/>
      <c r="R4857" s="210"/>
      <c r="S4857" s="232"/>
      <c r="T4857" s="270"/>
    </row>
    <row r="4858" spans="14:20" x14ac:dyDescent="0.25">
      <c r="N4858" s="362"/>
      <c r="R4858" s="210"/>
      <c r="S4858" s="232"/>
      <c r="T4858" s="270"/>
    </row>
    <row r="4859" spans="14:20" x14ac:dyDescent="0.25">
      <c r="N4859" s="362"/>
      <c r="R4859" s="210"/>
      <c r="S4859" s="232"/>
      <c r="T4859" s="270"/>
    </row>
    <row r="4860" spans="14:20" x14ac:dyDescent="0.25">
      <c r="N4860" s="362"/>
      <c r="R4860" s="210"/>
      <c r="S4860" s="232"/>
      <c r="T4860" s="270"/>
    </row>
    <row r="4861" spans="14:20" x14ac:dyDescent="0.25">
      <c r="N4861" s="362"/>
      <c r="R4861" s="210"/>
      <c r="S4861" s="232"/>
      <c r="T4861" s="270"/>
    </row>
    <row r="4862" spans="14:20" x14ac:dyDescent="0.25">
      <c r="N4862" s="362"/>
      <c r="R4862" s="210"/>
      <c r="S4862" s="232"/>
      <c r="T4862" s="270"/>
    </row>
    <row r="4863" spans="14:20" x14ac:dyDescent="0.25">
      <c r="N4863" s="362"/>
      <c r="R4863" s="210"/>
      <c r="S4863" s="232"/>
      <c r="T4863" s="270"/>
    </row>
    <row r="4864" spans="14:20" x14ac:dyDescent="0.25">
      <c r="N4864" s="362"/>
      <c r="R4864" s="210"/>
      <c r="S4864" s="232"/>
      <c r="T4864" s="270"/>
    </row>
    <row r="4865" spans="14:20" x14ac:dyDescent="0.25">
      <c r="N4865" s="362"/>
      <c r="R4865" s="210"/>
      <c r="S4865" s="232"/>
      <c r="T4865" s="270"/>
    </row>
    <row r="4866" spans="14:20" x14ac:dyDescent="0.25">
      <c r="N4866" s="362"/>
      <c r="R4866" s="210"/>
      <c r="S4866" s="232"/>
      <c r="T4866" s="270"/>
    </row>
    <row r="4867" spans="14:20" x14ac:dyDescent="0.25">
      <c r="N4867" s="362"/>
      <c r="R4867" s="210"/>
      <c r="S4867" s="232"/>
      <c r="T4867" s="270"/>
    </row>
    <row r="4868" spans="14:20" x14ac:dyDescent="0.25">
      <c r="N4868" s="362"/>
      <c r="R4868" s="210"/>
      <c r="S4868" s="232"/>
      <c r="T4868" s="270"/>
    </row>
    <row r="4869" spans="14:20" x14ac:dyDescent="0.25">
      <c r="N4869" s="362"/>
      <c r="R4869" s="210"/>
      <c r="S4869" s="232"/>
      <c r="T4869" s="270"/>
    </row>
    <row r="4870" spans="14:20" x14ac:dyDescent="0.25">
      <c r="N4870" s="362"/>
      <c r="R4870" s="210"/>
      <c r="S4870" s="232"/>
      <c r="T4870" s="270"/>
    </row>
    <row r="4871" spans="14:20" x14ac:dyDescent="0.25">
      <c r="N4871" s="362"/>
      <c r="R4871" s="210"/>
      <c r="S4871" s="232"/>
      <c r="T4871" s="270"/>
    </row>
    <row r="4872" spans="14:20" x14ac:dyDescent="0.25">
      <c r="N4872" s="362"/>
      <c r="R4872" s="210"/>
      <c r="S4872" s="232"/>
      <c r="T4872" s="270"/>
    </row>
    <row r="4873" spans="14:20" x14ac:dyDescent="0.25">
      <c r="N4873" s="362"/>
      <c r="R4873" s="210"/>
      <c r="S4873" s="232"/>
      <c r="T4873" s="270"/>
    </row>
    <row r="4874" spans="14:20" x14ac:dyDescent="0.25">
      <c r="N4874" s="362"/>
      <c r="R4874" s="210"/>
      <c r="S4874" s="232"/>
      <c r="T4874" s="270"/>
    </row>
    <row r="4875" spans="14:20" x14ac:dyDescent="0.25">
      <c r="N4875" s="362"/>
      <c r="R4875" s="210"/>
      <c r="S4875" s="232"/>
      <c r="T4875" s="270"/>
    </row>
    <row r="4876" spans="14:20" x14ac:dyDescent="0.25">
      <c r="N4876" s="362"/>
      <c r="R4876" s="210"/>
      <c r="S4876" s="232"/>
      <c r="T4876" s="270"/>
    </row>
    <row r="4877" spans="14:20" x14ac:dyDescent="0.25">
      <c r="N4877" s="362"/>
      <c r="R4877" s="210"/>
      <c r="S4877" s="232"/>
      <c r="T4877" s="270"/>
    </row>
    <row r="4878" spans="14:20" x14ac:dyDescent="0.25">
      <c r="N4878" s="362"/>
      <c r="R4878" s="210"/>
      <c r="S4878" s="232"/>
      <c r="T4878" s="270"/>
    </row>
    <row r="4879" spans="14:20" x14ac:dyDescent="0.25">
      <c r="N4879" s="362"/>
      <c r="R4879" s="210"/>
      <c r="S4879" s="232"/>
      <c r="T4879" s="270"/>
    </row>
    <row r="4880" spans="14:20" x14ac:dyDescent="0.25">
      <c r="N4880" s="362"/>
      <c r="R4880" s="210"/>
      <c r="S4880" s="232"/>
      <c r="T4880" s="270"/>
    </row>
    <row r="4881" spans="14:20" x14ac:dyDescent="0.25">
      <c r="N4881" s="362"/>
      <c r="R4881" s="210"/>
      <c r="S4881" s="232"/>
      <c r="T4881" s="270"/>
    </row>
    <row r="4882" spans="14:20" x14ac:dyDescent="0.25">
      <c r="N4882" s="362"/>
      <c r="R4882" s="210"/>
      <c r="S4882" s="232"/>
      <c r="T4882" s="270"/>
    </row>
    <row r="4883" spans="14:20" x14ac:dyDescent="0.25">
      <c r="N4883" s="362"/>
      <c r="R4883" s="210"/>
      <c r="S4883" s="232"/>
      <c r="T4883" s="270"/>
    </row>
    <row r="4884" spans="14:20" x14ac:dyDescent="0.25">
      <c r="N4884" s="362"/>
      <c r="R4884" s="210"/>
      <c r="S4884" s="232"/>
      <c r="T4884" s="270"/>
    </row>
    <row r="4885" spans="14:20" x14ac:dyDescent="0.25">
      <c r="N4885" s="362"/>
      <c r="R4885" s="210"/>
      <c r="S4885" s="232"/>
      <c r="T4885" s="270"/>
    </row>
    <row r="4886" spans="14:20" x14ac:dyDescent="0.25">
      <c r="N4886" s="362"/>
      <c r="R4886" s="210"/>
      <c r="S4886" s="232"/>
      <c r="T4886" s="270"/>
    </row>
    <row r="4887" spans="14:20" x14ac:dyDescent="0.25">
      <c r="N4887" s="362"/>
      <c r="R4887" s="210"/>
      <c r="S4887" s="232"/>
      <c r="T4887" s="270"/>
    </row>
    <row r="4888" spans="14:20" x14ac:dyDescent="0.25">
      <c r="N4888" s="362"/>
      <c r="R4888" s="210"/>
      <c r="S4888" s="232"/>
      <c r="T4888" s="270"/>
    </row>
    <row r="4889" spans="14:20" x14ac:dyDescent="0.25">
      <c r="N4889" s="362"/>
      <c r="R4889" s="210"/>
      <c r="S4889" s="232"/>
      <c r="T4889" s="270"/>
    </row>
    <row r="4890" spans="14:20" x14ac:dyDescent="0.25">
      <c r="N4890" s="362"/>
      <c r="R4890" s="210"/>
      <c r="S4890" s="232"/>
      <c r="T4890" s="270"/>
    </row>
    <row r="4891" spans="14:20" x14ac:dyDescent="0.25">
      <c r="N4891" s="362"/>
      <c r="R4891" s="210"/>
      <c r="S4891" s="232"/>
      <c r="T4891" s="270"/>
    </row>
    <row r="4892" spans="14:20" x14ac:dyDescent="0.25">
      <c r="N4892" s="362"/>
      <c r="R4892" s="210"/>
      <c r="S4892" s="232"/>
      <c r="T4892" s="270"/>
    </row>
    <row r="4893" spans="14:20" x14ac:dyDescent="0.25">
      <c r="N4893" s="362"/>
      <c r="R4893" s="210"/>
      <c r="S4893" s="232"/>
      <c r="T4893" s="270"/>
    </row>
    <row r="4894" spans="14:20" x14ac:dyDescent="0.25">
      <c r="N4894" s="362"/>
      <c r="R4894" s="210"/>
      <c r="S4894" s="232"/>
      <c r="T4894" s="270"/>
    </row>
    <row r="4895" spans="14:20" x14ac:dyDescent="0.25">
      <c r="N4895" s="362"/>
      <c r="R4895" s="210"/>
      <c r="S4895" s="232"/>
      <c r="T4895" s="270"/>
    </row>
    <row r="4896" spans="14:20" x14ac:dyDescent="0.25">
      <c r="N4896" s="362"/>
      <c r="R4896" s="210"/>
      <c r="S4896" s="232"/>
      <c r="T4896" s="270"/>
    </row>
    <row r="4897" spans="14:20" x14ac:dyDescent="0.25">
      <c r="N4897" s="362"/>
      <c r="R4897" s="210"/>
      <c r="S4897" s="232"/>
      <c r="T4897" s="270"/>
    </row>
    <row r="4898" spans="14:20" x14ac:dyDescent="0.25">
      <c r="N4898" s="362"/>
      <c r="R4898" s="210"/>
      <c r="S4898" s="232"/>
      <c r="T4898" s="270"/>
    </row>
    <row r="4899" spans="14:20" x14ac:dyDescent="0.25">
      <c r="N4899" s="362"/>
      <c r="R4899" s="210"/>
      <c r="S4899" s="232"/>
      <c r="T4899" s="270"/>
    </row>
    <row r="4900" spans="14:20" x14ac:dyDescent="0.25">
      <c r="N4900" s="362"/>
      <c r="R4900" s="210"/>
      <c r="S4900" s="232"/>
      <c r="T4900" s="270"/>
    </row>
    <row r="4901" spans="14:20" x14ac:dyDescent="0.25">
      <c r="N4901" s="362"/>
      <c r="R4901" s="210"/>
      <c r="S4901" s="232"/>
      <c r="T4901" s="270"/>
    </row>
    <row r="4902" spans="14:20" x14ac:dyDescent="0.25">
      <c r="N4902" s="362"/>
      <c r="R4902" s="210"/>
      <c r="S4902" s="232"/>
      <c r="T4902" s="270"/>
    </row>
    <row r="4903" spans="14:20" x14ac:dyDescent="0.25">
      <c r="N4903" s="362"/>
      <c r="R4903" s="210"/>
      <c r="S4903" s="232"/>
      <c r="T4903" s="270"/>
    </row>
    <row r="4904" spans="14:20" x14ac:dyDescent="0.25">
      <c r="N4904" s="362"/>
      <c r="R4904" s="210"/>
      <c r="S4904" s="232"/>
      <c r="T4904" s="270"/>
    </row>
    <row r="4905" spans="14:20" x14ac:dyDescent="0.25">
      <c r="N4905" s="362"/>
      <c r="R4905" s="210"/>
      <c r="S4905" s="232"/>
      <c r="T4905" s="270"/>
    </row>
    <row r="4906" spans="14:20" x14ac:dyDescent="0.25">
      <c r="N4906" s="362"/>
      <c r="R4906" s="210"/>
      <c r="S4906" s="232"/>
      <c r="T4906" s="270"/>
    </row>
    <row r="4907" spans="14:20" x14ac:dyDescent="0.25">
      <c r="N4907" s="362"/>
      <c r="R4907" s="210"/>
      <c r="S4907" s="232"/>
      <c r="T4907" s="270"/>
    </row>
    <row r="4908" spans="14:20" x14ac:dyDescent="0.25">
      <c r="N4908" s="362"/>
      <c r="R4908" s="210"/>
      <c r="S4908" s="232"/>
      <c r="T4908" s="270"/>
    </row>
    <row r="4909" spans="14:20" x14ac:dyDescent="0.25">
      <c r="N4909" s="362"/>
      <c r="R4909" s="210"/>
      <c r="S4909" s="232"/>
      <c r="T4909" s="270"/>
    </row>
    <row r="4910" spans="14:20" x14ac:dyDescent="0.25">
      <c r="N4910" s="362"/>
      <c r="R4910" s="210"/>
      <c r="S4910" s="232"/>
      <c r="T4910" s="270"/>
    </row>
    <row r="4911" spans="14:20" x14ac:dyDescent="0.25">
      <c r="N4911" s="362"/>
      <c r="R4911" s="210"/>
      <c r="S4911" s="232"/>
      <c r="T4911" s="270"/>
    </row>
    <row r="4912" spans="14:20" x14ac:dyDescent="0.25">
      <c r="N4912" s="362"/>
      <c r="R4912" s="210"/>
      <c r="S4912" s="232"/>
      <c r="T4912" s="270"/>
    </row>
    <row r="4913" spans="14:20" x14ac:dyDescent="0.25">
      <c r="N4913" s="362"/>
      <c r="R4913" s="210"/>
      <c r="S4913" s="232"/>
      <c r="T4913" s="270"/>
    </row>
    <row r="4914" spans="14:20" x14ac:dyDescent="0.25">
      <c r="N4914" s="362"/>
      <c r="R4914" s="210"/>
      <c r="S4914" s="232"/>
      <c r="T4914" s="270"/>
    </row>
    <row r="4915" spans="14:20" x14ac:dyDescent="0.25">
      <c r="N4915" s="362"/>
      <c r="R4915" s="210"/>
      <c r="S4915" s="232"/>
      <c r="T4915" s="270"/>
    </row>
    <row r="4916" spans="14:20" x14ac:dyDescent="0.25">
      <c r="N4916" s="362"/>
      <c r="R4916" s="210"/>
      <c r="S4916" s="232"/>
      <c r="T4916" s="270"/>
    </row>
    <row r="4917" spans="14:20" x14ac:dyDescent="0.25">
      <c r="N4917" s="362"/>
      <c r="R4917" s="210"/>
      <c r="S4917" s="232"/>
      <c r="T4917" s="270"/>
    </row>
    <row r="4918" spans="14:20" x14ac:dyDescent="0.25">
      <c r="N4918" s="362"/>
      <c r="R4918" s="210"/>
      <c r="S4918" s="232"/>
      <c r="T4918" s="270"/>
    </row>
    <row r="4919" spans="14:20" x14ac:dyDescent="0.25">
      <c r="N4919" s="362"/>
      <c r="R4919" s="210"/>
      <c r="S4919" s="232"/>
      <c r="T4919" s="270"/>
    </row>
    <row r="4920" spans="14:20" x14ac:dyDescent="0.25">
      <c r="N4920" s="362"/>
      <c r="R4920" s="210"/>
      <c r="S4920" s="232"/>
      <c r="T4920" s="270"/>
    </row>
    <row r="4921" spans="14:20" x14ac:dyDescent="0.25">
      <c r="N4921" s="362"/>
      <c r="R4921" s="210"/>
      <c r="S4921" s="232"/>
      <c r="T4921" s="270"/>
    </row>
    <row r="4922" spans="14:20" x14ac:dyDescent="0.25">
      <c r="N4922" s="362"/>
      <c r="R4922" s="210"/>
      <c r="S4922" s="232"/>
      <c r="T4922" s="270"/>
    </row>
    <row r="4923" spans="14:20" x14ac:dyDescent="0.25">
      <c r="N4923" s="362"/>
      <c r="R4923" s="210"/>
      <c r="S4923" s="232"/>
      <c r="T4923" s="270"/>
    </row>
    <row r="4924" spans="14:20" x14ac:dyDescent="0.25">
      <c r="N4924" s="362"/>
      <c r="R4924" s="210"/>
      <c r="S4924" s="232"/>
      <c r="T4924" s="270"/>
    </row>
    <row r="4925" spans="14:20" x14ac:dyDescent="0.25">
      <c r="N4925" s="362"/>
      <c r="R4925" s="210"/>
      <c r="S4925" s="232"/>
      <c r="T4925" s="270"/>
    </row>
    <row r="4926" spans="14:20" x14ac:dyDescent="0.25">
      <c r="N4926" s="362"/>
      <c r="R4926" s="210"/>
      <c r="S4926" s="232"/>
      <c r="T4926" s="270"/>
    </row>
    <row r="4927" spans="14:20" x14ac:dyDescent="0.25">
      <c r="N4927" s="362"/>
      <c r="R4927" s="210"/>
      <c r="S4927" s="232"/>
      <c r="T4927" s="270"/>
    </row>
    <row r="4928" spans="14:20" x14ac:dyDescent="0.25">
      <c r="N4928" s="362"/>
      <c r="R4928" s="210"/>
      <c r="S4928" s="232"/>
      <c r="T4928" s="270"/>
    </row>
    <row r="4929" spans="14:20" x14ac:dyDescent="0.25">
      <c r="N4929" s="362"/>
      <c r="R4929" s="210"/>
      <c r="S4929" s="232"/>
      <c r="T4929" s="270"/>
    </row>
    <row r="4930" spans="14:20" x14ac:dyDescent="0.25">
      <c r="N4930" s="362"/>
      <c r="R4930" s="210"/>
      <c r="S4930" s="232"/>
      <c r="T4930" s="270"/>
    </row>
    <row r="4931" spans="14:20" x14ac:dyDescent="0.25">
      <c r="N4931" s="362"/>
      <c r="R4931" s="210"/>
      <c r="S4931" s="232"/>
      <c r="T4931" s="270"/>
    </row>
    <row r="4932" spans="14:20" x14ac:dyDescent="0.25">
      <c r="N4932" s="362"/>
      <c r="R4932" s="210"/>
      <c r="S4932" s="232"/>
      <c r="T4932" s="270"/>
    </row>
    <row r="4933" spans="14:20" x14ac:dyDescent="0.25">
      <c r="N4933" s="362"/>
      <c r="R4933" s="210"/>
      <c r="S4933" s="232"/>
      <c r="T4933" s="270"/>
    </row>
    <row r="4934" spans="14:20" x14ac:dyDescent="0.25">
      <c r="N4934" s="362"/>
      <c r="R4934" s="210"/>
      <c r="S4934" s="232"/>
      <c r="T4934" s="270"/>
    </row>
    <row r="4935" spans="14:20" x14ac:dyDescent="0.25">
      <c r="N4935" s="362"/>
      <c r="R4935" s="210"/>
      <c r="S4935" s="232"/>
      <c r="T4935" s="270"/>
    </row>
    <row r="4936" spans="14:20" x14ac:dyDescent="0.25">
      <c r="N4936" s="362"/>
      <c r="R4936" s="210"/>
      <c r="S4936" s="232"/>
      <c r="T4936" s="270"/>
    </row>
    <row r="4937" spans="14:20" x14ac:dyDescent="0.25">
      <c r="N4937" s="362"/>
      <c r="R4937" s="210"/>
      <c r="S4937" s="232"/>
      <c r="T4937" s="270"/>
    </row>
    <row r="4938" spans="14:20" x14ac:dyDescent="0.25">
      <c r="N4938" s="362"/>
      <c r="R4938" s="210"/>
      <c r="S4938" s="232"/>
      <c r="T4938" s="270"/>
    </row>
    <row r="4939" spans="14:20" x14ac:dyDescent="0.25">
      <c r="N4939" s="362"/>
      <c r="R4939" s="210"/>
      <c r="S4939" s="232"/>
      <c r="T4939" s="270"/>
    </row>
    <row r="4940" spans="14:20" x14ac:dyDescent="0.25">
      <c r="N4940" s="362"/>
      <c r="R4940" s="210"/>
      <c r="S4940" s="232"/>
      <c r="T4940" s="270"/>
    </row>
    <row r="4941" spans="14:20" x14ac:dyDescent="0.25">
      <c r="N4941" s="362"/>
      <c r="R4941" s="210"/>
      <c r="S4941" s="232"/>
      <c r="T4941" s="270"/>
    </row>
    <row r="4942" spans="14:20" x14ac:dyDescent="0.25">
      <c r="N4942" s="362"/>
      <c r="R4942" s="210"/>
      <c r="S4942" s="232"/>
      <c r="T4942" s="270"/>
    </row>
    <row r="4943" spans="14:20" x14ac:dyDescent="0.25">
      <c r="N4943" s="362"/>
      <c r="R4943" s="210"/>
      <c r="S4943" s="232"/>
      <c r="T4943" s="270"/>
    </row>
    <row r="4944" spans="14:20" x14ac:dyDescent="0.25">
      <c r="N4944" s="362"/>
      <c r="R4944" s="210"/>
      <c r="S4944" s="232"/>
      <c r="T4944" s="270"/>
    </row>
    <row r="4945" spans="14:20" x14ac:dyDescent="0.25">
      <c r="N4945" s="362"/>
      <c r="R4945" s="210"/>
      <c r="S4945" s="232"/>
      <c r="T4945" s="270"/>
    </row>
    <row r="4946" spans="14:20" x14ac:dyDescent="0.25">
      <c r="N4946" s="362"/>
      <c r="R4946" s="210"/>
      <c r="S4946" s="232"/>
      <c r="T4946" s="270"/>
    </row>
    <row r="4947" spans="14:20" x14ac:dyDescent="0.25">
      <c r="N4947" s="362"/>
      <c r="R4947" s="210"/>
      <c r="S4947" s="232"/>
      <c r="T4947" s="270"/>
    </row>
    <row r="4948" spans="14:20" x14ac:dyDescent="0.25">
      <c r="N4948" s="362"/>
      <c r="R4948" s="210"/>
      <c r="S4948" s="232"/>
      <c r="T4948" s="270"/>
    </row>
    <row r="4949" spans="14:20" x14ac:dyDescent="0.25">
      <c r="N4949" s="362"/>
      <c r="R4949" s="210"/>
      <c r="S4949" s="232"/>
      <c r="T4949" s="270"/>
    </row>
    <row r="4950" spans="14:20" x14ac:dyDescent="0.25">
      <c r="N4950" s="362"/>
      <c r="R4950" s="210"/>
      <c r="S4950" s="232"/>
      <c r="T4950" s="270"/>
    </row>
    <row r="4951" spans="14:20" x14ac:dyDescent="0.25">
      <c r="N4951" s="362"/>
      <c r="R4951" s="210"/>
      <c r="S4951" s="232"/>
      <c r="T4951" s="270"/>
    </row>
    <row r="4952" spans="14:20" x14ac:dyDescent="0.25">
      <c r="N4952" s="362"/>
      <c r="R4952" s="210"/>
      <c r="S4952" s="232"/>
      <c r="T4952" s="270"/>
    </row>
    <row r="4953" spans="14:20" x14ac:dyDescent="0.25">
      <c r="N4953" s="362"/>
      <c r="R4953" s="210"/>
      <c r="S4953" s="232"/>
      <c r="T4953" s="270"/>
    </row>
    <row r="4954" spans="14:20" x14ac:dyDescent="0.25">
      <c r="N4954" s="362"/>
      <c r="R4954" s="210"/>
      <c r="S4954" s="232"/>
      <c r="T4954" s="270"/>
    </row>
    <row r="4955" spans="14:20" x14ac:dyDescent="0.25">
      <c r="N4955" s="362"/>
      <c r="R4955" s="210"/>
      <c r="S4955" s="232"/>
      <c r="T4955" s="270"/>
    </row>
    <row r="4956" spans="14:20" x14ac:dyDescent="0.25">
      <c r="N4956" s="362"/>
      <c r="R4956" s="210"/>
      <c r="S4956" s="232"/>
      <c r="T4956" s="270"/>
    </row>
    <row r="4957" spans="14:20" x14ac:dyDescent="0.25">
      <c r="N4957" s="362"/>
      <c r="R4957" s="210"/>
      <c r="S4957" s="232"/>
      <c r="T4957" s="270"/>
    </row>
    <row r="4958" spans="14:20" x14ac:dyDescent="0.25">
      <c r="N4958" s="362"/>
      <c r="R4958" s="210"/>
      <c r="S4958" s="232"/>
      <c r="T4958" s="270"/>
    </row>
    <row r="4959" spans="14:20" x14ac:dyDescent="0.25">
      <c r="N4959" s="362"/>
      <c r="R4959" s="210"/>
      <c r="S4959" s="232"/>
      <c r="T4959" s="270"/>
    </row>
    <row r="4960" spans="14:20" x14ac:dyDescent="0.25">
      <c r="N4960" s="362"/>
      <c r="R4960" s="210"/>
      <c r="S4960" s="232"/>
      <c r="T4960" s="270"/>
    </row>
    <row r="4961" spans="14:20" x14ac:dyDescent="0.25">
      <c r="N4961" s="362"/>
      <c r="R4961" s="210"/>
      <c r="S4961" s="232"/>
      <c r="T4961" s="270"/>
    </row>
    <row r="4962" spans="14:20" x14ac:dyDescent="0.25">
      <c r="N4962" s="362"/>
      <c r="R4962" s="210"/>
      <c r="S4962" s="232"/>
      <c r="T4962" s="270"/>
    </row>
    <row r="4963" spans="14:20" x14ac:dyDescent="0.25">
      <c r="N4963" s="362"/>
      <c r="R4963" s="210"/>
      <c r="S4963" s="232"/>
      <c r="T4963" s="270"/>
    </row>
    <row r="4964" spans="14:20" x14ac:dyDescent="0.25">
      <c r="N4964" s="362"/>
      <c r="R4964" s="210"/>
      <c r="S4964" s="232"/>
      <c r="T4964" s="270"/>
    </row>
    <row r="4965" spans="14:20" x14ac:dyDescent="0.25">
      <c r="N4965" s="362"/>
      <c r="R4965" s="210"/>
      <c r="S4965" s="232"/>
      <c r="T4965" s="270"/>
    </row>
    <row r="4966" spans="14:20" x14ac:dyDescent="0.25">
      <c r="N4966" s="362"/>
      <c r="R4966" s="210"/>
      <c r="S4966" s="232"/>
      <c r="T4966" s="270"/>
    </row>
    <row r="4967" spans="14:20" x14ac:dyDescent="0.25">
      <c r="N4967" s="362"/>
      <c r="R4967" s="210"/>
      <c r="S4967" s="232"/>
      <c r="T4967" s="270"/>
    </row>
    <row r="4968" spans="14:20" x14ac:dyDescent="0.25">
      <c r="N4968" s="362"/>
      <c r="R4968" s="210"/>
      <c r="S4968" s="232"/>
      <c r="T4968" s="270"/>
    </row>
    <row r="4969" spans="14:20" x14ac:dyDescent="0.25">
      <c r="N4969" s="362"/>
      <c r="R4969" s="210"/>
      <c r="S4969" s="232"/>
      <c r="T4969" s="270"/>
    </row>
    <row r="4970" spans="14:20" x14ac:dyDescent="0.25">
      <c r="N4970" s="362"/>
      <c r="R4970" s="210"/>
      <c r="S4970" s="232"/>
      <c r="T4970" s="270"/>
    </row>
    <row r="4971" spans="14:20" x14ac:dyDescent="0.25">
      <c r="N4971" s="362"/>
      <c r="R4971" s="210"/>
      <c r="S4971" s="232"/>
      <c r="T4971" s="270"/>
    </row>
    <row r="4972" spans="14:20" x14ac:dyDescent="0.25">
      <c r="N4972" s="362"/>
      <c r="R4972" s="210"/>
      <c r="S4972" s="232"/>
      <c r="T4972" s="270"/>
    </row>
    <row r="4973" spans="14:20" x14ac:dyDescent="0.25">
      <c r="N4973" s="362"/>
      <c r="R4973" s="210"/>
      <c r="S4973" s="232"/>
      <c r="T4973" s="270"/>
    </row>
    <row r="4974" spans="14:20" x14ac:dyDescent="0.25">
      <c r="N4974" s="362"/>
      <c r="R4974" s="210"/>
      <c r="S4974" s="232"/>
      <c r="T4974" s="270"/>
    </row>
    <row r="4975" spans="14:20" x14ac:dyDescent="0.25">
      <c r="N4975" s="362"/>
      <c r="R4975" s="210"/>
      <c r="S4975" s="232"/>
      <c r="T4975" s="270"/>
    </row>
    <row r="4976" spans="14:20" x14ac:dyDescent="0.25">
      <c r="N4976" s="362"/>
      <c r="R4976" s="210"/>
      <c r="S4976" s="232"/>
      <c r="T4976" s="270"/>
    </row>
    <row r="4977" spans="14:20" x14ac:dyDescent="0.25">
      <c r="N4977" s="362"/>
      <c r="R4977" s="210"/>
      <c r="S4977" s="232"/>
      <c r="T4977" s="270"/>
    </row>
    <row r="4978" spans="14:20" x14ac:dyDescent="0.25">
      <c r="N4978" s="362"/>
      <c r="R4978" s="210"/>
      <c r="S4978" s="232"/>
      <c r="T4978" s="270"/>
    </row>
    <row r="4979" spans="14:20" x14ac:dyDescent="0.25">
      <c r="N4979" s="362"/>
      <c r="R4979" s="210"/>
      <c r="S4979" s="232"/>
      <c r="T4979" s="270"/>
    </row>
    <row r="4980" spans="14:20" x14ac:dyDescent="0.25">
      <c r="N4980" s="362"/>
      <c r="R4980" s="210"/>
      <c r="S4980" s="232"/>
      <c r="T4980" s="270"/>
    </row>
    <row r="4981" spans="14:20" x14ac:dyDescent="0.25">
      <c r="N4981" s="362"/>
      <c r="R4981" s="210"/>
      <c r="S4981" s="232"/>
      <c r="T4981" s="270"/>
    </row>
    <row r="4982" spans="14:20" x14ac:dyDescent="0.25">
      <c r="N4982" s="362"/>
      <c r="R4982" s="210"/>
      <c r="S4982" s="232"/>
      <c r="T4982" s="270"/>
    </row>
    <row r="4983" spans="14:20" x14ac:dyDescent="0.25">
      <c r="N4983" s="362"/>
      <c r="R4983" s="210"/>
      <c r="S4983" s="232"/>
      <c r="T4983" s="270"/>
    </row>
    <row r="4984" spans="14:20" x14ac:dyDescent="0.25">
      <c r="N4984" s="362"/>
      <c r="R4984" s="210"/>
      <c r="S4984" s="232"/>
      <c r="T4984" s="270"/>
    </row>
    <row r="4985" spans="14:20" x14ac:dyDescent="0.25">
      <c r="N4985" s="362"/>
      <c r="R4985" s="210"/>
      <c r="S4985" s="232"/>
      <c r="T4985" s="270"/>
    </row>
    <row r="4986" spans="14:20" x14ac:dyDescent="0.25">
      <c r="N4986" s="362"/>
      <c r="R4986" s="210"/>
      <c r="S4986" s="232"/>
      <c r="T4986" s="270"/>
    </row>
    <row r="4987" spans="14:20" x14ac:dyDescent="0.25">
      <c r="N4987" s="362"/>
      <c r="R4987" s="210"/>
      <c r="S4987" s="232"/>
      <c r="T4987" s="270"/>
    </row>
    <row r="4988" spans="14:20" x14ac:dyDescent="0.25">
      <c r="N4988" s="362"/>
      <c r="R4988" s="210"/>
      <c r="S4988" s="232"/>
      <c r="T4988" s="270"/>
    </row>
    <row r="4989" spans="14:20" x14ac:dyDescent="0.25">
      <c r="N4989" s="362"/>
      <c r="R4989" s="210"/>
      <c r="S4989" s="232"/>
      <c r="T4989" s="270"/>
    </row>
    <row r="4990" spans="14:20" x14ac:dyDescent="0.25">
      <c r="N4990" s="362"/>
      <c r="R4990" s="210"/>
      <c r="S4990" s="232"/>
      <c r="T4990" s="270"/>
    </row>
    <row r="4991" spans="14:20" x14ac:dyDescent="0.25">
      <c r="N4991" s="362"/>
      <c r="R4991" s="210"/>
      <c r="S4991" s="232"/>
      <c r="T4991" s="270"/>
    </row>
    <row r="4992" spans="14:20" x14ac:dyDescent="0.25">
      <c r="N4992" s="362"/>
      <c r="R4992" s="210"/>
      <c r="S4992" s="232"/>
      <c r="T4992" s="270"/>
    </row>
    <row r="4993" spans="14:20" x14ac:dyDescent="0.25">
      <c r="N4993" s="362"/>
      <c r="R4993" s="210"/>
      <c r="S4993" s="232"/>
      <c r="T4993" s="270"/>
    </row>
    <row r="4994" spans="14:20" x14ac:dyDescent="0.25">
      <c r="N4994" s="362"/>
      <c r="R4994" s="210"/>
      <c r="S4994" s="232"/>
      <c r="T4994" s="270"/>
    </row>
    <row r="4995" spans="14:20" x14ac:dyDescent="0.25">
      <c r="N4995" s="362"/>
      <c r="R4995" s="210"/>
      <c r="S4995" s="232"/>
      <c r="T4995" s="270"/>
    </row>
    <row r="4996" spans="14:20" x14ac:dyDescent="0.25">
      <c r="N4996" s="362"/>
      <c r="R4996" s="210"/>
      <c r="S4996" s="232"/>
      <c r="T4996" s="270"/>
    </row>
    <row r="4997" spans="14:20" x14ac:dyDescent="0.25">
      <c r="N4997" s="362"/>
      <c r="R4997" s="210"/>
      <c r="S4997" s="232"/>
      <c r="T4997" s="270"/>
    </row>
    <row r="4998" spans="14:20" x14ac:dyDescent="0.25">
      <c r="N4998" s="362"/>
      <c r="R4998" s="210"/>
      <c r="S4998" s="232"/>
      <c r="T4998" s="270"/>
    </row>
    <row r="4999" spans="14:20" x14ac:dyDescent="0.25">
      <c r="N4999" s="362"/>
      <c r="R4999" s="210"/>
      <c r="S4999" s="232"/>
      <c r="T4999" s="270"/>
    </row>
    <row r="5000" spans="14:20" x14ac:dyDescent="0.25">
      <c r="N5000" s="362"/>
      <c r="R5000" s="210"/>
      <c r="S5000" s="232"/>
      <c r="T5000" s="270"/>
    </row>
    <row r="5001" spans="14:20" x14ac:dyDescent="0.25">
      <c r="N5001" s="362"/>
      <c r="R5001" s="210"/>
      <c r="S5001" s="232"/>
      <c r="T5001" s="270"/>
    </row>
    <row r="5002" spans="14:20" x14ac:dyDescent="0.25">
      <c r="N5002" s="362"/>
      <c r="R5002" s="210"/>
      <c r="S5002" s="232"/>
      <c r="T5002" s="270"/>
    </row>
    <row r="5003" spans="14:20" x14ac:dyDescent="0.25">
      <c r="N5003" s="362"/>
      <c r="R5003" s="210"/>
      <c r="S5003" s="232"/>
      <c r="T5003" s="270"/>
    </row>
    <row r="5004" spans="14:20" x14ac:dyDescent="0.25">
      <c r="N5004" s="362"/>
      <c r="R5004" s="210"/>
      <c r="S5004" s="232"/>
      <c r="T5004" s="270"/>
    </row>
    <row r="5005" spans="14:20" x14ac:dyDescent="0.25">
      <c r="N5005" s="362"/>
      <c r="R5005" s="210"/>
      <c r="S5005" s="232"/>
      <c r="T5005" s="270"/>
    </row>
    <row r="5006" spans="14:20" x14ac:dyDescent="0.25">
      <c r="N5006" s="362"/>
      <c r="R5006" s="210"/>
      <c r="S5006" s="232"/>
      <c r="T5006" s="270"/>
    </row>
    <row r="5007" spans="14:20" x14ac:dyDescent="0.25">
      <c r="N5007" s="362"/>
      <c r="R5007" s="210"/>
      <c r="S5007" s="232"/>
      <c r="T5007" s="270"/>
    </row>
    <row r="5008" spans="14:20" x14ac:dyDescent="0.25">
      <c r="N5008" s="362"/>
      <c r="R5008" s="210"/>
      <c r="S5008" s="232"/>
      <c r="T5008" s="270"/>
    </row>
    <row r="5009" spans="14:20" x14ac:dyDescent="0.25">
      <c r="N5009" s="362"/>
      <c r="R5009" s="210"/>
      <c r="S5009" s="232"/>
      <c r="T5009" s="270"/>
    </row>
    <row r="5010" spans="14:20" x14ac:dyDescent="0.25">
      <c r="N5010" s="362"/>
      <c r="R5010" s="210"/>
      <c r="S5010" s="232"/>
      <c r="T5010" s="270"/>
    </row>
    <row r="5011" spans="14:20" x14ac:dyDescent="0.25">
      <c r="N5011" s="362"/>
      <c r="R5011" s="210"/>
      <c r="S5011" s="232"/>
      <c r="T5011" s="270"/>
    </row>
    <row r="5012" spans="14:20" x14ac:dyDescent="0.25">
      <c r="N5012" s="362"/>
      <c r="R5012" s="210"/>
      <c r="S5012" s="232"/>
      <c r="T5012" s="270"/>
    </row>
    <row r="5013" spans="14:20" x14ac:dyDescent="0.25">
      <c r="N5013" s="362"/>
      <c r="R5013" s="210"/>
      <c r="S5013" s="232"/>
      <c r="T5013" s="270"/>
    </row>
    <row r="5014" spans="14:20" x14ac:dyDescent="0.25">
      <c r="N5014" s="362"/>
      <c r="R5014" s="210"/>
      <c r="S5014" s="232"/>
      <c r="T5014" s="270"/>
    </row>
    <row r="5015" spans="14:20" x14ac:dyDescent="0.25">
      <c r="N5015" s="362"/>
      <c r="R5015" s="210"/>
      <c r="S5015" s="232"/>
      <c r="T5015" s="270"/>
    </row>
    <row r="5016" spans="14:20" x14ac:dyDescent="0.25">
      <c r="N5016" s="362"/>
      <c r="R5016" s="210"/>
      <c r="S5016" s="232"/>
      <c r="T5016" s="270"/>
    </row>
    <row r="5017" spans="14:20" x14ac:dyDescent="0.25">
      <c r="N5017" s="362"/>
      <c r="R5017" s="210"/>
      <c r="S5017" s="232"/>
      <c r="T5017" s="270"/>
    </row>
    <row r="5018" spans="14:20" x14ac:dyDescent="0.25">
      <c r="N5018" s="362"/>
      <c r="R5018" s="210"/>
      <c r="S5018" s="232"/>
      <c r="T5018" s="270"/>
    </row>
    <row r="5019" spans="14:20" x14ac:dyDescent="0.25">
      <c r="N5019" s="362"/>
      <c r="R5019" s="210"/>
      <c r="S5019" s="232"/>
      <c r="T5019" s="270"/>
    </row>
    <row r="5020" spans="14:20" x14ac:dyDescent="0.25">
      <c r="N5020" s="362"/>
      <c r="R5020" s="210"/>
      <c r="S5020" s="232"/>
      <c r="T5020" s="270"/>
    </row>
    <row r="5021" spans="14:20" x14ac:dyDescent="0.25">
      <c r="N5021" s="362"/>
      <c r="R5021" s="210"/>
      <c r="S5021" s="232"/>
      <c r="T5021" s="270"/>
    </row>
    <row r="5022" spans="14:20" x14ac:dyDescent="0.25">
      <c r="N5022" s="362"/>
      <c r="R5022" s="210"/>
      <c r="S5022" s="232"/>
      <c r="T5022" s="270"/>
    </row>
    <row r="5023" spans="14:20" x14ac:dyDescent="0.25">
      <c r="N5023" s="362"/>
      <c r="R5023" s="210"/>
      <c r="S5023" s="232"/>
      <c r="T5023" s="270"/>
    </row>
    <row r="5024" spans="14:20" x14ac:dyDescent="0.25">
      <c r="N5024" s="362"/>
      <c r="R5024" s="210"/>
      <c r="S5024" s="232"/>
      <c r="T5024" s="270"/>
    </row>
    <row r="5025" spans="14:20" x14ac:dyDescent="0.25">
      <c r="N5025" s="362"/>
      <c r="R5025" s="210"/>
      <c r="S5025" s="232"/>
      <c r="T5025" s="270"/>
    </row>
    <row r="5026" spans="14:20" x14ac:dyDescent="0.25">
      <c r="N5026" s="362"/>
      <c r="R5026" s="210"/>
      <c r="S5026" s="232"/>
      <c r="T5026" s="270"/>
    </row>
    <row r="5027" spans="14:20" x14ac:dyDescent="0.25">
      <c r="N5027" s="362"/>
      <c r="R5027" s="210"/>
      <c r="S5027" s="232"/>
      <c r="T5027" s="270"/>
    </row>
    <row r="5028" spans="14:20" x14ac:dyDescent="0.25">
      <c r="N5028" s="362"/>
      <c r="R5028" s="210"/>
      <c r="S5028" s="232"/>
      <c r="T5028" s="270"/>
    </row>
    <row r="5029" spans="14:20" x14ac:dyDescent="0.25">
      <c r="N5029" s="362"/>
      <c r="R5029" s="210"/>
      <c r="S5029" s="232"/>
      <c r="T5029" s="270"/>
    </row>
    <row r="5030" spans="14:20" x14ac:dyDescent="0.25">
      <c r="N5030" s="362"/>
      <c r="R5030" s="210"/>
      <c r="S5030" s="232"/>
      <c r="T5030" s="270"/>
    </row>
    <row r="5031" spans="14:20" x14ac:dyDescent="0.25">
      <c r="N5031" s="362"/>
      <c r="R5031" s="210"/>
      <c r="S5031" s="232"/>
      <c r="T5031" s="270"/>
    </row>
    <row r="5032" spans="14:20" x14ac:dyDescent="0.25">
      <c r="N5032" s="362"/>
      <c r="R5032" s="210"/>
      <c r="S5032" s="232"/>
      <c r="T5032" s="270"/>
    </row>
    <row r="5033" spans="14:20" x14ac:dyDescent="0.25">
      <c r="N5033" s="362"/>
      <c r="R5033" s="210"/>
      <c r="S5033" s="232"/>
      <c r="T5033" s="270"/>
    </row>
    <row r="5034" spans="14:20" x14ac:dyDescent="0.25">
      <c r="N5034" s="362"/>
      <c r="R5034" s="210"/>
      <c r="S5034" s="232"/>
      <c r="T5034" s="270"/>
    </row>
    <row r="5035" spans="14:20" x14ac:dyDescent="0.25">
      <c r="N5035" s="362"/>
      <c r="R5035" s="210"/>
      <c r="S5035" s="232"/>
      <c r="T5035" s="270"/>
    </row>
    <row r="5036" spans="14:20" x14ac:dyDescent="0.25">
      <c r="N5036" s="362"/>
      <c r="R5036" s="210"/>
      <c r="S5036" s="232"/>
      <c r="T5036" s="270"/>
    </row>
    <row r="5037" spans="14:20" x14ac:dyDescent="0.25">
      <c r="N5037" s="362"/>
      <c r="R5037" s="210"/>
      <c r="S5037" s="232"/>
      <c r="T5037" s="270"/>
    </row>
    <row r="5038" spans="14:20" x14ac:dyDescent="0.25">
      <c r="N5038" s="362"/>
      <c r="R5038" s="210"/>
      <c r="S5038" s="232"/>
      <c r="T5038" s="270"/>
    </row>
    <row r="5039" spans="14:20" x14ac:dyDescent="0.25">
      <c r="N5039" s="362"/>
      <c r="R5039" s="210"/>
      <c r="S5039" s="232"/>
      <c r="T5039" s="270"/>
    </row>
    <row r="5040" spans="14:20" x14ac:dyDescent="0.25">
      <c r="N5040" s="362"/>
      <c r="R5040" s="210"/>
      <c r="S5040" s="232"/>
      <c r="T5040" s="270"/>
    </row>
    <row r="5041" spans="14:20" x14ac:dyDescent="0.25">
      <c r="N5041" s="362"/>
      <c r="R5041" s="210"/>
      <c r="S5041" s="232"/>
      <c r="T5041" s="270"/>
    </row>
    <row r="5042" spans="14:20" x14ac:dyDescent="0.25">
      <c r="N5042" s="362"/>
      <c r="R5042" s="210"/>
      <c r="S5042" s="232"/>
      <c r="T5042" s="270"/>
    </row>
    <row r="5043" spans="14:20" x14ac:dyDescent="0.25">
      <c r="N5043" s="362"/>
      <c r="R5043" s="210"/>
      <c r="S5043" s="232"/>
      <c r="T5043" s="270"/>
    </row>
    <row r="5044" spans="14:20" x14ac:dyDescent="0.25">
      <c r="N5044" s="362"/>
      <c r="R5044" s="210"/>
      <c r="S5044" s="232"/>
      <c r="T5044" s="270"/>
    </row>
    <row r="5045" spans="14:20" x14ac:dyDescent="0.25">
      <c r="N5045" s="362"/>
      <c r="R5045" s="210"/>
      <c r="S5045" s="232"/>
      <c r="T5045" s="270"/>
    </row>
    <row r="5046" spans="14:20" x14ac:dyDescent="0.25">
      <c r="N5046" s="362"/>
      <c r="R5046" s="210"/>
      <c r="S5046" s="232"/>
      <c r="T5046" s="270"/>
    </row>
    <row r="5047" spans="14:20" x14ac:dyDescent="0.25">
      <c r="N5047" s="362"/>
      <c r="R5047" s="210"/>
      <c r="S5047" s="232"/>
      <c r="T5047" s="270"/>
    </row>
    <row r="5048" spans="14:20" x14ac:dyDescent="0.25">
      <c r="N5048" s="362"/>
      <c r="R5048" s="210"/>
      <c r="S5048" s="232"/>
      <c r="T5048" s="270"/>
    </row>
    <row r="5049" spans="14:20" x14ac:dyDescent="0.25">
      <c r="N5049" s="362"/>
      <c r="R5049" s="210"/>
      <c r="S5049" s="232"/>
      <c r="T5049" s="270"/>
    </row>
    <row r="5050" spans="14:20" x14ac:dyDescent="0.25">
      <c r="N5050" s="362"/>
      <c r="R5050" s="210"/>
      <c r="S5050" s="232"/>
      <c r="T5050" s="270"/>
    </row>
    <row r="5051" spans="14:20" x14ac:dyDescent="0.25">
      <c r="N5051" s="362"/>
      <c r="R5051" s="210"/>
      <c r="S5051" s="232"/>
      <c r="T5051" s="270"/>
    </row>
    <row r="5052" spans="14:20" x14ac:dyDescent="0.25">
      <c r="N5052" s="362"/>
      <c r="R5052" s="210"/>
      <c r="S5052" s="232"/>
      <c r="T5052" s="270"/>
    </row>
    <row r="5053" spans="14:20" x14ac:dyDescent="0.25">
      <c r="N5053" s="362"/>
      <c r="R5053" s="210"/>
      <c r="S5053" s="232"/>
      <c r="T5053" s="270"/>
    </row>
    <row r="5054" spans="14:20" x14ac:dyDescent="0.25">
      <c r="N5054" s="362"/>
      <c r="R5054" s="210"/>
      <c r="S5054" s="232"/>
      <c r="T5054" s="270"/>
    </row>
    <row r="5055" spans="14:20" x14ac:dyDescent="0.25">
      <c r="N5055" s="362"/>
      <c r="R5055" s="210"/>
      <c r="S5055" s="232"/>
      <c r="T5055" s="270"/>
    </row>
    <row r="5056" spans="14:20" x14ac:dyDescent="0.25">
      <c r="N5056" s="362"/>
      <c r="R5056" s="210"/>
      <c r="S5056" s="232"/>
      <c r="T5056" s="270"/>
    </row>
    <row r="5057" spans="14:20" x14ac:dyDescent="0.25">
      <c r="N5057" s="362"/>
      <c r="R5057" s="210"/>
      <c r="S5057" s="232"/>
      <c r="T5057" s="270"/>
    </row>
    <row r="5058" spans="14:20" x14ac:dyDescent="0.25">
      <c r="N5058" s="362"/>
      <c r="R5058" s="210"/>
      <c r="S5058" s="232"/>
      <c r="T5058" s="270"/>
    </row>
    <row r="5059" spans="14:20" x14ac:dyDescent="0.25">
      <c r="N5059" s="362"/>
      <c r="R5059" s="210"/>
      <c r="S5059" s="232"/>
      <c r="T5059" s="270"/>
    </row>
    <row r="5060" spans="14:20" x14ac:dyDescent="0.25">
      <c r="N5060" s="362"/>
      <c r="R5060" s="210"/>
      <c r="S5060" s="232"/>
      <c r="T5060" s="270"/>
    </row>
    <row r="5061" spans="14:20" x14ac:dyDescent="0.25">
      <c r="N5061" s="362"/>
      <c r="R5061" s="210"/>
      <c r="S5061" s="232"/>
      <c r="T5061" s="270"/>
    </row>
    <row r="5062" spans="14:20" x14ac:dyDescent="0.25">
      <c r="N5062" s="362"/>
      <c r="R5062" s="210"/>
      <c r="S5062" s="232"/>
      <c r="T5062" s="270"/>
    </row>
    <row r="5063" spans="14:20" x14ac:dyDescent="0.25">
      <c r="N5063" s="362"/>
      <c r="R5063" s="210"/>
      <c r="S5063" s="232"/>
      <c r="T5063" s="270"/>
    </row>
    <row r="5064" spans="14:20" x14ac:dyDescent="0.25">
      <c r="N5064" s="362"/>
      <c r="R5064" s="210"/>
      <c r="S5064" s="232"/>
      <c r="T5064" s="270"/>
    </row>
    <row r="5065" spans="14:20" x14ac:dyDescent="0.25">
      <c r="N5065" s="362"/>
      <c r="R5065" s="210"/>
      <c r="S5065" s="232"/>
      <c r="T5065" s="270"/>
    </row>
    <row r="5066" spans="14:20" x14ac:dyDescent="0.25">
      <c r="N5066" s="362"/>
      <c r="R5066" s="210"/>
      <c r="S5066" s="232"/>
      <c r="T5066" s="270"/>
    </row>
    <row r="5067" spans="14:20" x14ac:dyDescent="0.25">
      <c r="N5067" s="362"/>
      <c r="R5067" s="210"/>
      <c r="S5067" s="232"/>
      <c r="T5067" s="270"/>
    </row>
    <row r="5068" spans="14:20" x14ac:dyDescent="0.25">
      <c r="N5068" s="362"/>
      <c r="R5068" s="210"/>
      <c r="S5068" s="232"/>
      <c r="T5068" s="270"/>
    </row>
    <row r="5069" spans="14:20" x14ac:dyDescent="0.25">
      <c r="N5069" s="362"/>
      <c r="R5069" s="210"/>
      <c r="S5069" s="232"/>
      <c r="T5069" s="270"/>
    </row>
    <row r="5070" spans="14:20" x14ac:dyDescent="0.25">
      <c r="N5070" s="362"/>
      <c r="R5070" s="210"/>
      <c r="S5070" s="232"/>
      <c r="T5070" s="270"/>
    </row>
    <row r="5071" spans="14:20" x14ac:dyDescent="0.25">
      <c r="N5071" s="362"/>
      <c r="R5071" s="210"/>
      <c r="S5071" s="232"/>
      <c r="T5071" s="270"/>
    </row>
    <row r="5072" spans="14:20" x14ac:dyDescent="0.25">
      <c r="N5072" s="362"/>
      <c r="R5072" s="210"/>
      <c r="S5072" s="232"/>
      <c r="T5072" s="270"/>
    </row>
    <row r="5073" spans="14:20" x14ac:dyDescent="0.25">
      <c r="N5073" s="362"/>
      <c r="R5073" s="210"/>
      <c r="S5073" s="232"/>
      <c r="T5073" s="270"/>
    </row>
    <row r="5074" spans="14:20" x14ac:dyDescent="0.25">
      <c r="N5074" s="362"/>
      <c r="R5074" s="210"/>
      <c r="S5074" s="232"/>
      <c r="T5074" s="270"/>
    </row>
    <row r="5075" spans="14:20" x14ac:dyDescent="0.25">
      <c r="N5075" s="362"/>
      <c r="R5075" s="210"/>
      <c r="S5075" s="232"/>
      <c r="T5075" s="270"/>
    </row>
    <row r="5076" spans="14:20" x14ac:dyDescent="0.25">
      <c r="N5076" s="362"/>
      <c r="R5076" s="210"/>
      <c r="S5076" s="232"/>
      <c r="T5076" s="270"/>
    </row>
    <row r="5077" spans="14:20" x14ac:dyDescent="0.25">
      <c r="N5077" s="362"/>
      <c r="R5077" s="210"/>
      <c r="S5077" s="232"/>
      <c r="T5077" s="270"/>
    </row>
    <row r="5078" spans="14:20" x14ac:dyDescent="0.25">
      <c r="N5078" s="362"/>
      <c r="R5078" s="210"/>
      <c r="S5078" s="232"/>
      <c r="T5078" s="270"/>
    </row>
    <row r="5079" spans="14:20" x14ac:dyDescent="0.25">
      <c r="N5079" s="362"/>
      <c r="R5079" s="210"/>
      <c r="S5079" s="232"/>
      <c r="T5079" s="270"/>
    </row>
    <row r="5080" spans="14:20" x14ac:dyDescent="0.25">
      <c r="N5080" s="362"/>
      <c r="R5080" s="210"/>
      <c r="S5080" s="232"/>
      <c r="T5080" s="270"/>
    </row>
    <row r="5081" spans="14:20" x14ac:dyDescent="0.25">
      <c r="N5081" s="362"/>
      <c r="R5081" s="210"/>
      <c r="S5081" s="232"/>
      <c r="T5081" s="270"/>
    </row>
    <row r="5082" spans="14:20" x14ac:dyDescent="0.25">
      <c r="N5082" s="362"/>
      <c r="R5082" s="210"/>
      <c r="S5082" s="232"/>
      <c r="T5082" s="270"/>
    </row>
    <row r="5083" spans="14:20" x14ac:dyDescent="0.25">
      <c r="N5083" s="362"/>
      <c r="R5083" s="210"/>
      <c r="S5083" s="232"/>
      <c r="T5083" s="270"/>
    </row>
    <row r="5084" spans="14:20" x14ac:dyDescent="0.25">
      <c r="N5084" s="362"/>
      <c r="R5084" s="210"/>
      <c r="S5084" s="232"/>
      <c r="T5084" s="270"/>
    </row>
    <row r="5085" spans="14:20" x14ac:dyDescent="0.25">
      <c r="N5085" s="362"/>
      <c r="R5085" s="210"/>
      <c r="S5085" s="232"/>
      <c r="T5085" s="270"/>
    </row>
    <row r="5086" spans="14:20" x14ac:dyDescent="0.25">
      <c r="N5086" s="362"/>
      <c r="R5086" s="210"/>
      <c r="S5086" s="232"/>
      <c r="T5086" s="270"/>
    </row>
    <row r="5087" spans="14:20" x14ac:dyDescent="0.25">
      <c r="N5087" s="362"/>
      <c r="R5087" s="210"/>
      <c r="S5087" s="232"/>
      <c r="T5087" s="270"/>
    </row>
    <row r="5088" spans="14:20" x14ac:dyDescent="0.25">
      <c r="N5088" s="362"/>
      <c r="R5088" s="210"/>
      <c r="S5088" s="232"/>
      <c r="T5088" s="270"/>
    </row>
    <row r="5089" spans="14:20" x14ac:dyDescent="0.25">
      <c r="N5089" s="362"/>
      <c r="R5089" s="210"/>
      <c r="S5089" s="232"/>
      <c r="T5089" s="270"/>
    </row>
    <row r="5090" spans="14:20" x14ac:dyDescent="0.25">
      <c r="N5090" s="362"/>
      <c r="R5090" s="210"/>
      <c r="S5090" s="232"/>
      <c r="T5090" s="270"/>
    </row>
    <row r="5091" spans="14:20" x14ac:dyDescent="0.25">
      <c r="N5091" s="362"/>
      <c r="R5091" s="210"/>
      <c r="S5091" s="232"/>
      <c r="T5091" s="270"/>
    </row>
    <row r="5092" spans="14:20" x14ac:dyDescent="0.25">
      <c r="N5092" s="362"/>
      <c r="R5092" s="210"/>
      <c r="S5092" s="232"/>
      <c r="T5092" s="270"/>
    </row>
    <row r="5093" spans="14:20" x14ac:dyDescent="0.25">
      <c r="N5093" s="362"/>
      <c r="R5093" s="210"/>
      <c r="S5093" s="232"/>
      <c r="T5093" s="270"/>
    </row>
    <row r="5094" spans="14:20" x14ac:dyDescent="0.25">
      <c r="N5094" s="362"/>
      <c r="R5094" s="210"/>
      <c r="S5094" s="232"/>
      <c r="T5094" s="270"/>
    </row>
    <row r="5095" spans="14:20" x14ac:dyDescent="0.25">
      <c r="N5095" s="362"/>
      <c r="R5095" s="210"/>
      <c r="S5095" s="232"/>
      <c r="T5095" s="270"/>
    </row>
    <row r="5096" spans="14:20" x14ac:dyDescent="0.25">
      <c r="N5096" s="362"/>
      <c r="R5096" s="210"/>
      <c r="S5096" s="232"/>
      <c r="T5096" s="270"/>
    </row>
    <row r="5097" spans="14:20" x14ac:dyDescent="0.25">
      <c r="N5097" s="362"/>
      <c r="R5097" s="210"/>
      <c r="S5097" s="232"/>
      <c r="T5097" s="270"/>
    </row>
    <row r="5098" spans="14:20" x14ac:dyDescent="0.25">
      <c r="N5098" s="362"/>
      <c r="R5098" s="210"/>
      <c r="S5098" s="232"/>
      <c r="T5098" s="270"/>
    </row>
    <row r="5099" spans="14:20" x14ac:dyDescent="0.25">
      <c r="N5099" s="362"/>
      <c r="R5099" s="210"/>
      <c r="S5099" s="232"/>
      <c r="T5099" s="270"/>
    </row>
    <row r="5100" spans="14:20" x14ac:dyDescent="0.25">
      <c r="N5100" s="362"/>
      <c r="R5100" s="210"/>
      <c r="S5100" s="232"/>
      <c r="T5100" s="270"/>
    </row>
    <row r="5101" spans="14:20" x14ac:dyDescent="0.25">
      <c r="N5101" s="362"/>
      <c r="R5101" s="210"/>
      <c r="S5101" s="232"/>
      <c r="T5101" s="270"/>
    </row>
    <row r="5102" spans="14:20" x14ac:dyDescent="0.25">
      <c r="N5102" s="362"/>
      <c r="R5102" s="210"/>
      <c r="S5102" s="232"/>
      <c r="T5102" s="270"/>
    </row>
    <row r="5103" spans="14:20" x14ac:dyDescent="0.25">
      <c r="N5103" s="362"/>
      <c r="R5103" s="210"/>
      <c r="S5103" s="232"/>
      <c r="T5103" s="270"/>
    </row>
    <row r="5104" spans="14:20" x14ac:dyDescent="0.25">
      <c r="N5104" s="362"/>
      <c r="R5104" s="210"/>
      <c r="S5104" s="232"/>
      <c r="T5104" s="270"/>
    </row>
    <row r="5105" spans="14:20" x14ac:dyDescent="0.25">
      <c r="N5105" s="362"/>
      <c r="R5105" s="210"/>
      <c r="S5105" s="232"/>
      <c r="T5105" s="270"/>
    </row>
    <row r="5106" spans="14:20" x14ac:dyDescent="0.25">
      <c r="N5106" s="362"/>
      <c r="R5106" s="210"/>
      <c r="S5106" s="232"/>
      <c r="T5106" s="270"/>
    </row>
    <row r="5107" spans="14:20" x14ac:dyDescent="0.25">
      <c r="N5107" s="362"/>
      <c r="R5107" s="210"/>
      <c r="S5107" s="232"/>
      <c r="T5107" s="270"/>
    </row>
    <row r="5108" spans="14:20" x14ac:dyDescent="0.25">
      <c r="N5108" s="362"/>
      <c r="R5108" s="210"/>
      <c r="S5108" s="232"/>
      <c r="T5108" s="270"/>
    </row>
    <row r="5109" spans="14:20" x14ac:dyDescent="0.25">
      <c r="N5109" s="362"/>
      <c r="R5109" s="210"/>
      <c r="S5109" s="232"/>
      <c r="T5109" s="270"/>
    </row>
    <row r="5110" spans="14:20" x14ac:dyDescent="0.25">
      <c r="N5110" s="362"/>
      <c r="R5110" s="210"/>
      <c r="S5110" s="232"/>
      <c r="T5110" s="270"/>
    </row>
    <row r="5111" spans="14:20" x14ac:dyDescent="0.25">
      <c r="N5111" s="362"/>
      <c r="R5111" s="210"/>
      <c r="S5111" s="232"/>
      <c r="T5111" s="270"/>
    </row>
    <row r="5112" spans="14:20" x14ac:dyDescent="0.25">
      <c r="N5112" s="362"/>
      <c r="R5112" s="210"/>
      <c r="S5112" s="232"/>
      <c r="T5112" s="270"/>
    </row>
    <row r="5113" spans="14:20" x14ac:dyDescent="0.25">
      <c r="N5113" s="362"/>
      <c r="R5113" s="210"/>
      <c r="S5113" s="232"/>
      <c r="T5113" s="270"/>
    </row>
    <row r="5114" spans="14:20" x14ac:dyDescent="0.25">
      <c r="N5114" s="362"/>
      <c r="R5114" s="210"/>
      <c r="S5114" s="232"/>
      <c r="T5114" s="270"/>
    </row>
    <row r="5115" spans="14:20" x14ac:dyDescent="0.25">
      <c r="N5115" s="362"/>
      <c r="R5115" s="210"/>
      <c r="S5115" s="232"/>
      <c r="T5115" s="270"/>
    </row>
    <row r="5116" spans="14:20" x14ac:dyDescent="0.25">
      <c r="N5116" s="362"/>
      <c r="R5116" s="210"/>
      <c r="S5116" s="232"/>
      <c r="T5116" s="270"/>
    </row>
    <row r="5117" spans="14:20" x14ac:dyDescent="0.25">
      <c r="N5117" s="362"/>
      <c r="R5117" s="210"/>
      <c r="S5117" s="232"/>
      <c r="T5117" s="270"/>
    </row>
    <row r="5118" spans="14:20" x14ac:dyDescent="0.25">
      <c r="N5118" s="362"/>
      <c r="R5118" s="210"/>
      <c r="S5118" s="232"/>
      <c r="T5118" s="270"/>
    </row>
    <row r="5119" spans="14:20" x14ac:dyDescent="0.25">
      <c r="N5119" s="362"/>
      <c r="R5119" s="210"/>
      <c r="S5119" s="232"/>
      <c r="T5119" s="270"/>
    </row>
    <row r="5120" spans="14:20" x14ac:dyDescent="0.25">
      <c r="N5120" s="362"/>
      <c r="R5120" s="210"/>
      <c r="S5120" s="232"/>
      <c r="T5120" s="270"/>
    </row>
    <row r="5121" spans="14:20" x14ac:dyDescent="0.25">
      <c r="N5121" s="362"/>
      <c r="R5121" s="210"/>
      <c r="S5121" s="232"/>
      <c r="T5121" s="270"/>
    </row>
    <row r="5122" spans="14:20" x14ac:dyDescent="0.25">
      <c r="N5122" s="362"/>
      <c r="R5122" s="210"/>
      <c r="S5122" s="232"/>
      <c r="T5122" s="270"/>
    </row>
    <row r="5123" spans="14:20" x14ac:dyDescent="0.25">
      <c r="N5123" s="362"/>
      <c r="R5123" s="210"/>
      <c r="S5123" s="232"/>
      <c r="T5123" s="270"/>
    </row>
    <row r="5124" spans="14:20" x14ac:dyDescent="0.25">
      <c r="N5124" s="362"/>
      <c r="R5124" s="210"/>
      <c r="S5124" s="232"/>
      <c r="T5124" s="270"/>
    </row>
    <row r="5125" spans="14:20" x14ac:dyDescent="0.25">
      <c r="N5125" s="362"/>
      <c r="R5125" s="210"/>
      <c r="S5125" s="232"/>
      <c r="T5125" s="270"/>
    </row>
    <row r="5126" spans="14:20" x14ac:dyDescent="0.25">
      <c r="N5126" s="362"/>
      <c r="R5126" s="210"/>
      <c r="S5126" s="232"/>
      <c r="T5126" s="270"/>
    </row>
    <row r="5127" spans="14:20" x14ac:dyDescent="0.25">
      <c r="N5127" s="362"/>
      <c r="R5127" s="210"/>
      <c r="S5127" s="232"/>
      <c r="T5127" s="270"/>
    </row>
    <row r="5128" spans="14:20" x14ac:dyDescent="0.25">
      <c r="N5128" s="362"/>
      <c r="R5128" s="210"/>
      <c r="S5128" s="232"/>
      <c r="T5128" s="270"/>
    </row>
    <row r="5129" spans="14:20" x14ac:dyDescent="0.25">
      <c r="N5129" s="362"/>
      <c r="R5129" s="210"/>
      <c r="S5129" s="232"/>
      <c r="T5129" s="270"/>
    </row>
    <row r="5130" spans="14:20" x14ac:dyDescent="0.25">
      <c r="N5130" s="362"/>
      <c r="R5130" s="210"/>
      <c r="S5130" s="232"/>
      <c r="T5130" s="270"/>
    </row>
    <row r="5131" spans="14:20" x14ac:dyDescent="0.25">
      <c r="N5131" s="362"/>
      <c r="R5131" s="210"/>
      <c r="S5131" s="232"/>
      <c r="T5131" s="270"/>
    </row>
    <row r="5132" spans="14:20" x14ac:dyDescent="0.25">
      <c r="N5132" s="362"/>
      <c r="R5132" s="210"/>
      <c r="S5132" s="232"/>
      <c r="T5132" s="270"/>
    </row>
    <row r="5133" spans="14:20" x14ac:dyDescent="0.25">
      <c r="N5133" s="362"/>
      <c r="R5133" s="210"/>
      <c r="S5133" s="232"/>
      <c r="T5133" s="270"/>
    </row>
    <row r="5134" spans="14:20" x14ac:dyDescent="0.25">
      <c r="N5134" s="362"/>
      <c r="R5134" s="210"/>
      <c r="S5134" s="232"/>
      <c r="T5134" s="270"/>
    </row>
    <row r="5135" spans="14:20" x14ac:dyDescent="0.25">
      <c r="N5135" s="362"/>
      <c r="R5135" s="210"/>
      <c r="S5135" s="232"/>
      <c r="T5135" s="270"/>
    </row>
    <row r="5136" spans="14:20" x14ac:dyDescent="0.25">
      <c r="N5136" s="362"/>
      <c r="R5136" s="210"/>
      <c r="S5136" s="232"/>
      <c r="T5136" s="270"/>
    </row>
    <row r="5137" spans="14:20" x14ac:dyDescent="0.25">
      <c r="N5137" s="362"/>
      <c r="R5137" s="210"/>
      <c r="S5137" s="232"/>
      <c r="T5137" s="270"/>
    </row>
    <row r="5138" spans="14:20" x14ac:dyDescent="0.25">
      <c r="N5138" s="362"/>
      <c r="R5138" s="210"/>
      <c r="S5138" s="232"/>
      <c r="T5138" s="270"/>
    </row>
    <row r="5139" spans="14:20" x14ac:dyDescent="0.25">
      <c r="N5139" s="362"/>
      <c r="R5139" s="210"/>
      <c r="S5139" s="232"/>
      <c r="T5139" s="270"/>
    </row>
    <row r="5140" spans="14:20" x14ac:dyDescent="0.25">
      <c r="N5140" s="362"/>
      <c r="R5140" s="210"/>
      <c r="S5140" s="232"/>
      <c r="T5140" s="270"/>
    </row>
    <row r="5141" spans="14:20" x14ac:dyDescent="0.25">
      <c r="N5141" s="362"/>
      <c r="R5141" s="210"/>
      <c r="S5141" s="232"/>
      <c r="T5141" s="270"/>
    </row>
    <row r="5142" spans="14:20" x14ac:dyDescent="0.25">
      <c r="N5142" s="362"/>
      <c r="R5142" s="210"/>
      <c r="S5142" s="232"/>
      <c r="T5142" s="270"/>
    </row>
    <row r="5143" spans="14:20" x14ac:dyDescent="0.25">
      <c r="N5143" s="362"/>
      <c r="R5143" s="210"/>
      <c r="S5143" s="232"/>
      <c r="T5143" s="270"/>
    </row>
    <row r="5144" spans="14:20" x14ac:dyDescent="0.25">
      <c r="N5144" s="362"/>
      <c r="R5144" s="210"/>
      <c r="S5144" s="232"/>
      <c r="T5144" s="270"/>
    </row>
    <row r="5145" spans="14:20" x14ac:dyDescent="0.25">
      <c r="N5145" s="362"/>
      <c r="R5145" s="210"/>
      <c r="S5145" s="232"/>
      <c r="T5145" s="270"/>
    </row>
    <row r="5146" spans="14:20" x14ac:dyDescent="0.25">
      <c r="N5146" s="362"/>
      <c r="R5146" s="210"/>
      <c r="S5146" s="232"/>
      <c r="T5146" s="270"/>
    </row>
    <row r="5147" spans="14:20" x14ac:dyDescent="0.25">
      <c r="N5147" s="362"/>
      <c r="R5147" s="210"/>
      <c r="S5147" s="232"/>
      <c r="T5147" s="270"/>
    </row>
    <row r="5148" spans="14:20" x14ac:dyDescent="0.25">
      <c r="N5148" s="362"/>
      <c r="R5148" s="210"/>
      <c r="S5148" s="232"/>
      <c r="T5148" s="270"/>
    </row>
    <row r="5149" spans="14:20" x14ac:dyDescent="0.25">
      <c r="N5149" s="362"/>
      <c r="R5149" s="210"/>
      <c r="S5149" s="232"/>
      <c r="T5149" s="270"/>
    </row>
    <row r="5150" spans="14:20" x14ac:dyDescent="0.25">
      <c r="N5150" s="362"/>
      <c r="R5150" s="210"/>
      <c r="S5150" s="232"/>
      <c r="T5150" s="270"/>
    </row>
    <row r="5151" spans="14:20" x14ac:dyDescent="0.25">
      <c r="N5151" s="362"/>
      <c r="R5151" s="210"/>
      <c r="S5151" s="232"/>
      <c r="T5151" s="270"/>
    </row>
    <row r="5152" spans="14:20" x14ac:dyDescent="0.25">
      <c r="N5152" s="362"/>
      <c r="R5152" s="210"/>
      <c r="S5152" s="232"/>
      <c r="T5152" s="270"/>
    </row>
    <row r="5153" spans="14:20" x14ac:dyDescent="0.25">
      <c r="N5153" s="362"/>
      <c r="R5153" s="210"/>
      <c r="S5153" s="232"/>
      <c r="T5153" s="270"/>
    </row>
    <row r="5154" spans="14:20" x14ac:dyDescent="0.25">
      <c r="N5154" s="362"/>
      <c r="R5154" s="210"/>
      <c r="S5154" s="232"/>
      <c r="T5154" s="270"/>
    </row>
    <row r="5155" spans="14:20" x14ac:dyDescent="0.25">
      <c r="N5155" s="362"/>
      <c r="R5155" s="210"/>
      <c r="S5155" s="232"/>
      <c r="T5155" s="270"/>
    </row>
    <row r="5156" spans="14:20" x14ac:dyDescent="0.25">
      <c r="N5156" s="362"/>
      <c r="R5156" s="210"/>
      <c r="S5156" s="232"/>
      <c r="T5156" s="270"/>
    </row>
    <row r="5157" spans="14:20" x14ac:dyDescent="0.25">
      <c r="N5157" s="362"/>
      <c r="R5157" s="210"/>
      <c r="S5157" s="232"/>
      <c r="T5157" s="270"/>
    </row>
    <row r="5158" spans="14:20" x14ac:dyDescent="0.25">
      <c r="N5158" s="362"/>
      <c r="R5158" s="210"/>
      <c r="S5158" s="232"/>
      <c r="T5158" s="270"/>
    </row>
    <row r="5159" spans="14:20" x14ac:dyDescent="0.25">
      <c r="N5159" s="362"/>
      <c r="R5159" s="210"/>
      <c r="S5159" s="232"/>
      <c r="T5159" s="270"/>
    </row>
    <row r="5160" spans="14:20" x14ac:dyDescent="0.25">
      <c r="N5160" s="362"/>
      <c r="R5160" s="210"/>
      <c r="S5160" s="232"/>
      <c r="T5160" s="270"/>
    </row>
    <row r="5161" spans="14:20" x14ac:dyDescent="0.25">
      <c r="N5161" s="362"/>
      <c r="R5161" s="210"/>
      <c r="S5161" s="232"/>
      <c r="T5161" s="270"/>
    </row>
    <row r="5162" spans="14:20" x14ac:dyDescent="0.25">
      <c r="N5162" s="362"/>
      <c r="R5162" s="210"/>
      <c r="S5162" s="232"/>
      <c r="T5162" s="270"/>
    </row>
    <row r="5163" spans="14:20" x14ac:dyDescent="0.25">
      <c r="N5163" s="362"/>
      <c r="R5163" s="210"/>
      <c r="S5163" s="232"/>
      <c r="T5163" s="270"/>
    </row>
    <row r="5164" spans="14:20" x14ac:dyDescent="0.25">
      <c r="N5164" s="362"/>
      <c r="R5164" s="210"/>
      <c r="S5164" s="232"/>
      <c r="T5164" s="270"/>
    </row>
    <row r="5165" spans="14:20" x14ac:dyDescent="0.25">
      <c r="N5165" s="362"/>
      <c r="R5165" s="210"/>
      <c r="S5165" s="232"/>
      <c r="T5165" s="270"/>
    </row>
    <row r="5166" spans="14:20" x14ac:dyDescent="0.25">
      <c r="N5166" s="362"/>
      <c r="R5166" s="210"/>
      <c r="S5166" s="232"/>
      <c r="T5166" s="270"/>
    </row>
    <row r="5167" spans="14:20" x14ac:dyDescent="0.25">
      <c r="N5167" s="362"/>
      <c r="R5167" s="210"/>
      <c r="S5167" s="232"/>
      <c r="T5167" s="270"/>
    </row>
    <row r="5168" spans="14:20" x14ac:dyDescent="0.25">
      <c r="N5168" s="362"/>
      <c r="R5168" s="210"/>
      <c r="S5168" s="232"/>
      <c r="T5168" s="270"/>
    </row>
    <row r="5169" spans="14:20" x14ac:dyDescent="0.25">
      <c r="N5169" s="362"/>
      <c r="R5169" s="210"/>
      <c r="S5169" s="232"/>
      <c r="T5169" s="270"/>
    </row>
    <row r="5170" spans="14:20" x14ac:dyDescent="0.25">
      <c r="N5170" s="362"/>
      <c r="R5170" s="210"/>
      <c r="S5170" s="232"/>
      <c r="T5170" s="270"/>
    </row>
    <row r="5171" spans="14:20" x14ac:dyDescent="0.25">
      <c r="N5171" s="362"/>
      <c r="R5171" s="210"/>
      <c r="S5171" s="232"/>
      <c r="T5171" s="270"/>
    </row>
    <row r="5172" spans="14:20" x14ac:dyDescent="0.25">
      <c r="N5172" s="362"/>
      <c r="R5172" s="210"/>
      <c r="S5172" s="232"/>
      <c r="T5172" s="270"/>
    </row>
    <row r="5173" spans="14:20" x14ac:dyDescent="0.25">
      <c r="N5173" s="362"/>
      <c r="R5173" s="210"/>
      <c r="S5173" s="232"/>
      <c r="T5173" s="270"/>
    </row>
    <row r="5174" spans="14:20" x14ac:dyDescent="0.25">
      <c r="N5174" s="362"/>
      <c r="R5174" s="210"/>
      <c r="S5174" s="232"/>
      <c r="T5174" s="270"/>
    </row>
    <row r="5175" spans="14:20" x14ac:dyDescent="0.25">
      <c r="N5175" s="362"/>
      <c r="R5175" s="210"/>
      <c r="S5175" s="232"/>
      <c r="T5175" s="270"/>
    </row>
    <row r="5176" spans="14:20" x14ac:dyDescent="0.25">
      <c r="N5176" s="362"/>
      <c r="R5176" s="210"/>
      <c r="S5176" s="232"/>
      <c r="T5176" s="270"/>
    </row>
    <row r="5177" spans="14:20" x14ac:dyDescent="0.25">
      <c r="N5177" s="362"/>
      <c r="R5177" s="210"/>
      <c r="S5177" s="232"/>
      <c r="T5177" s="270"/>
    </row>
    <row r="5178" spans="14:20" x14ac:dyDescent="0.25">
      <c r="N5178" s="362"/>
      <c r="R5178" s="210"/>
      <c r="S5178" s="232"/>
      <c r="T5178" s="270"/>
    </row>
    <row r="5179" spans="14:20" x14ac:dyDescent="0.25">
      <c r="N5179" s="362"/>
      <c r="R5179" s="210"/>
      <c r="S5179" s="232"/>
      <c r="T5179" s="270"/>
    </row>
    <row r="5180" spans="14:20" x14ac:dyDescent="0.25">
      <c r="N5180" s="362"/>
      <c r="R5180" s="210"/>
      <c r="S5180" s="232"/>
      <c r="T5180" s="270"/>
    </row>
    <row r="5181" spans="14:20" x14ac:dyDescent="0.25">
      <c r="N5181" s="362"/>
      <c r="R5181" s="210"/>
      <c r="S5181" s="232"/>
      <c r="T5181" s="270"/>
    </row>
    <row r="5182" spans="14:20" x14ac:dyDescent="0.25">
      <c r="N5182" s="362"/>
      <c r="R5182" s="210"/>
      <c r="S5182" s="232"/>
      <c r="T5182" s="270"/>
    </row>
    <row r="5183" spans="14:20" x14ac:dyDescent="0.25">
      <c r="N5183" s="362"/>
      <c r="R5183" s="210"/>
      <c r="S5183" s="232"/>
      <c r="T5183" s="270"/>
    </row>
    <row r="5184" spans="14:20" x14ac:dyDescent="0.25">
      <c r="N5184" s="362"/>
      <c r="R5184" s="210"/>
      <c r="S5184" s="232"/>
      <c r="T5184" s="270"/>
    </row>
    <row r="5185" spans="14:20" x14ac:dyDescent="0.25">
      <c r="N5185" s="362"/>
      <c r="R5185" s="210"/>
      <c r="S5185" s="232"/>
      <c r="T5185" s="270"/>
    </row>
    <row r="5186" spans="14:20" x14ac:dyDescent="0.25">
      <c r="N5186" s="362"/>
      <c r="R5186" s="210"/>
      <c r="S5186" s="232"/>
      <c r="T5186" s="270"/>
    </row>
    <row r="5187" spans="14:20" x14ac:dyDescent="0.25">
      <c r="N5187" s="362"/>
      <c r="R5187" s="210"/>
      <c r="S5187" s="232"/>
      <c r="T5187" s="270"/>
    </row>
    <row r="5188" spans="14:20" x14ac:dyDescent="0.25">
      <c r="N5188" s="362"/>
      <c r="R5188" s="210"/>
      <c r="S5188" s="232"/>
      <c r="T5188" s="270"/>
    </row>
    <row r="5189" spans="14:20" x14ac:dyDescent="0.25">
      <c r="N5189" s="362"/>
      <c r="R5189" s="210"/>
      <c r="S5189" s="232"/>
      <c r="T5189" s="270"/>
    </row>
    <row r="5190" spans="14:20" x14ac:dyDescent="0.25">
      <c r="N5190" s="362"/>
      <c r="R5190" s="210"/>
      <c r="S5190" s="232"/>
      <c r="T5190" s="270"/>
    </row>
    <row r="5191" spans="14:20" x14ac:dyDescent="0.25">
      <c r="N5191" s="362"/>
      <c r="R5191" s="210"/>
      <c r="S5191" s="232"/>
      <c r="T5191" s="270"/>
    </row>
    <row r="5192" spans="14:20" x14ac:dyDescent="0.25">
      <c r="N5192" s="362"/>
      <c r="R5192" s="210"/>
      <c r="S5192" s="232"/>
      <c r="T5192" s="270"/>
    </row>
    <row r="5193" spans="14:20" x14ac:dyDescent="0.25">
      <c r="N5193" s="362"/>
      <c r="R5193" s="210"/>
      <c r="S5193" s="232"/>
      <c r="T5193" s="270"/>
    </row>
    <row r="5194" spans="14:20" x14ac:dyDescent="0.25">
      <c r="N5194" s="362"/>
      <c r="R5194" s="210"/>
      <c r="S5194" s="232"/>
      <c r="T5194" s="270"/>
    </row>
    <row r="5195" spans="14:20" x14ac:dyDescent="0.25">
      <c r="N5195" s="362"/>
      <c r="R5195" s="210"/>
      <c r="S5195" s="232"/>
      <c r="T5195" s="270"/>
    </row>
    <row r="5196" spans="14:20" x14ac:dyDescent="0.25">
      <c r="N5196" s="362"/>
      <c r="R5196" s="210"/>
      <c r="S5196" s="232"/>
      <c r="T5196" s="270"/>
    </row>
    <row r="5197" spans="14:20" x14ac:dyDescent="0.25">
      <c r="N5197" s="362"/>
      <c r="R5197" s="210"/>
      <c r="S5197" s="232"/>
      <c r="T5197" s="270"/>
    </row>
    <row r="5198" spans="14:20" x14ac:dyDescent="0.25">
      <c r="N5198" s="362"/>
      <c r="R5198" s="210"/>
      <c r="S5198" s="232"/>
      <c r="T5198" s="270"/>
    </row>
    <row r="5199" spans="14:20" x14ac:dyDescent="0.25">
      <c r="N5199" s="362"/>
      <c r="R5199" s="210"/>
      <c r="S5199" s="232"/>
      <c r="T5199" s="270"/>
    </row>
    <row r="5200" spans="14:20" x14ac:dyDescent="0.25">
      <c r="N5200" s="362"/>
      <c r="R5200" s="210"/>
      <c r="S5200" s="232"/>
      <c r="T5200" s="270"/>
    </row>
    <row r="5201" spans="14:20" x14ac:dyDescent="0.25">
      <c r="N5201" s="362"/>
      <c r="R5201" s="210"/>
      <c r="S5201" s="232"/>
      <c r="T5201" s="270"/>
    </row>
    <row r="5202" spans="14:20" x14ac:dyDescent="0.25">
      <c r="N5202" s="362"/>
      <c r="R5202" s="210"/>
      <c r="S5202" s="232"/>
      <c r="T5202" s="270"/>
    </row>
    <row r="5203" spans="14:20" x14ac:dyDescent="0.25">
      <c r="N5203" s="362"/>
      <c r="R5203" s="210"/>
      <c r="S5203" s="232"/>
      <c r="T5203" s="270"/>
    </row>
    <row r="5204" spans="14:20" x14ac:dyDescent="0.25">
      <c r="N5204" s="362"/>
      <c r="R5204" s="210"/>
      <c r="S5204" s="232"/>
      <c r="T5204" s="270"/>
    </row>
    <row r="5205" spans="14:20" x14ac:dyDescent="0.25">
      <c r="N5205" s="362"/>
      <c r="R5205" s="210"/>
      <c r="S5205" s="232"/>
      <c r="T5205" s="270"/>
    </row>
    <row r="5206" spans="14:20" x14ac:dyDescent="0.25">
      <c r="N5206" s="362"/>
      <c r="R5206" s="210"/>
      <c r="S5206" s="232"/>
      <c r="T5206" s="270"/>
    </row>
    <row r="5207" spans="14:20" x14ac:dyDescent="0.25">
      <c r="N5207" s="362"/>
      <c r="R5207" s="210"/>
      <c r="S5207" s="232"/>
      <c r="T5207" s="270"/>
    </row>
    <row r="5208" spans="14:20" x14ac:dyDescent="0.25">
      <c r="N5208" s="362"/>
      <c r="R5208" s="210"/>
      <c r="S5208" s="232"/>
      <c r="T5208" s="270"/>
    </row>
    <row r="5209" spans="14:20" x14ac:dyDescent="0.25">
      <c r="N5209" s="362"/>
      <c r="R5209" s="210"/>
      <c r="S5209" s="232"/>
      <c r="T5209" s="270"/>
    </row>
    <row r="5210" spans="14:20" x14ac:dyDescent="0.25">
      <c r="N5210" s="362"/>
      <c r="R5210" s="210"/>
      <c r="S5210" s="232"/>
      <c r="T5210" s="270"/>
    </row>
    <row r="5211" spans="14:20" x14ac:dyDescent="0.25">
      <c r="N5211" s="362"/>
      <c r="R5211" s="210"/>
      <c r="S5211" s="232"/>
      <c r="T5211" s="270"/>
    </row>
    <row r="5212" spans="14:20" x14ac:dyDescent="0.25">
      <c r="N5212" s="362"/>
      <c r="R5212" s="210"/>
      <c r="S5212" s="232"/>
      <c r="T5212" s="270"/>
    </row>
    <row r="5213" spans="14:20" x14ac:dyDescent="0.25">
      <c r="N5213" s="362"/>
      <c r="R5213" s="210"/>
      <c r="S5213" s="232"/>
      <c r="T5213" s="270"/>
    </row>
    <row r="5214" spans="14:20" x14ac:dyDescent="0.25">
      <c r="N5214" s="362"/>
      <c r="R5214" s="210"/>
      <c r="S5214" s="232"/>
      <c r="T5214" s="270"/>
    </row>
    <row r="5215" spans="14:20" x14ac:dyDescent="0.25">
      <c r="N5215" s="362"/>
      <c r="R5215" s="210"/>
      <c r="S5215" s="232"/>
      <c r="T5215" s="270"/>
    </row>
    <row r="5216" spans="14:20" x14ac:dyDescent="0.25">
      <c r="N5216" s="362"/>
      <c r="R5216" s="210"/>
      <c r="S5216" s="232"/>
      <c r="T5216" s="270"/>
    </row>
    <row r="5217" spans="14:20" x14ac:dyDescent="0.25">
      <c r="N5217" s="362"/>
      <c r="R5217" s="210"/>
      <c r="S5217" s="232"/>
      <c r="T5217" s="270"/>
    </row>
    <row r="5218" spans="14:20" x14ac:dyDescent="0.25">
      <c r="N5218" s="362"/>
      <c r="R5218" s="210"/>
      <c r="S5218" s="232"/>
      <c r="T5218" s="270"/>
    </row>
    <row r="5219" spans="14:20" x14ac:dyDescent="0.25">
      <c r="N5219" s="362"/>
      <c r="R5219" s="210"/>
      <c r="S5219" s="232"/>
      <c r="T5219" s="270"/>
    </row>
    <row r="5220" spans="14:20" x14ac:dyDescent="0.25">
      <c r="N5220" s="362"/>
      <c r="R5220" s="210"/>
      <c r="S5220" s="232"/>
      <c r="T5220" s="270"/>
    </row>
    <row r="5221" spans="14:20" x14ac:dyDescent="0.25">
      <c r="N5221" s="362"/>
      <c r="R5221" s="210"/>
      <c r="S5221" s="232"/>
      <c r="T5221" s="270"/>
    </row>
    <row r="5222" spans="14:20" x14ac:dyDescent="0.25">
      <c r="N5222" s="362"/>
      <c r="R5222" s="210"/>
      <c r="S5222" s="232"/>
      <c r="T5222" s="270"/>
    </row>
    <row r="5223" spans="14:20" x14ac:dyDescent="0.25">
      <c r="N5223" s="362"/>
      <c r="R5223" s="210"/>
      <c r="S5223" s="232"/>
      <c r="T5223" s="270"/>
    </row>
    <row r="5224" spans="14:20" x14ac:dyDescent="0.25">
      <c r="N5224" s="362"/>
      <c r="R5224" s="210"/>
      <c r="S5224" s="232"/>
      <c r="T5224" s="270"/>
    </row>
    <row r="5225" spans="14:20" x14ac:dyDescent="0.25">
      <c r="N5225" s="362"/>
      <c r="R5225" s="210"/>
      <c r="S5225" s="232"/>
      <c r="T5225" s="270"/>
    </row>
    <row r="5226" spans="14:20" x14ac:dyDescent="0.25">
      <c r="N5226" s="362"/>
      <c r="R5226" s="210"/>
      <c r="S5226" s="232"/>
      <c r="T5226" s="270"/>
    </row>
    <row r="5227" spans="14:20" x14ac:dyDescent="0.25">
      <c r="N5227" s="362"/>
      <c r="R5227" s="210"/>
      <c r="S5227" s="232"/>
      <c r="T5227" s="270"/>
    </row>
    <row r="5228" spans="14:20" x14ac:dyDescent="0.25">
      <c r="N5228" s="362"/>
      <c r="R5228" s="210"/>
      <c r="S5228" s="232"/>
      <c r="T5228" s="270"/>
    </row>
    <row r="5229" spans="14:20" x14ac:dyDescent="0.25">
      <c r="N5229" s="362"/>
      <c r="R5229" s="210"/>
      <c r="S5229" s="232"/>
      <c r="T5229" s="270"/>
    </row>
    <row r="5230" spans="14:20" x14ac:dyDescent="0.25">
      <c r="N5230" s="362"/>
      <c r="R5230" s="210"/>
      <c r="S5230" s="232"/>
      <c r="T5230" s="270"/>
    </row>
    <row r="5231" spans="14:20" x14ac:dyDescent="0.25">
      <c r="N5231" s="362"/>
      <c r="R5231" s="210"/>
      <c r="S5231" s="232"/>
      <c r="T5231" s="270"/>
    </row>
    <row r="5232" spans="14:20" x14ac:dyDescent="0.25">
      <c r="N5232" s="362"/>
      <c r="R5232" s="210"/>
      <c r="S5232" s="232"/>
      <c r="T5232" s="270"/>
    </row>
    <row r="5233" spans="14:20" x14ac:dyDescent="0.25">
      <c r="N5233" s="362"/>
      <c r="R5233" s="210"/>
      <c r="S5233" s="232"/>
      <c r="T5233" s="270"/>
    </row>
    <row r="5234" spans="14:20" x14ac:dyDescent="0.25">
      <c r="N5234" s="362"/>
      <c r="R5234" s="210"/>
      <c r="S5234" s="232"/>
      <c r="T5234" s="270"/>
    </row>
    <row r="5235" spans="14:20" x14ac:dyDescent="0.25">
      <c r="N5235" s="362"/>
      <c r="R5235" s="210"/>
      <c r="S5235" s="232"/>
      <c r="T5235" s="270"/>
    </row>
    <row r="5236" spans="14:20" x14ac:dyDescent="0.25">
      <c r="N5236" s="362"/>
      <c r="R5236" s="210"/>
      <c r="S5236" s="232"/>
      <c r="T5236" s="270"/>
    </row>
    <row r="5237" spans="14:20" x14ac:dyDescent="0.25">
      <c r="N5237" s="362"/>
      <c r="R5237" s="210"/>
      <c r="S5237" s="232"/>
      <c r="T5237" s="270"/>
    </row>
    <row r="5238" spans="14:20" x14ac:dyDescent="0.25">
      <c r="N5238" s="362"/>
      <c r="R5238" s="210"/>
      <c r="S5238" s="232"/>
      <c r="T5238" s="270"/>
    </row>
    <row r="5239" spans="14:20" x14ac:dyDescent="0.25">
      <c r="N5239" s="362"/>
      <c r="R5239" s="210"/>
      <c r="S5239" s="232"/>
      <c r="T5239" s="270"/>
    </row>
    <row r="5240" spans="14:20" x14ac:dyDescent="0.25">
      <c r="N5240" s="362"/>
      <c r="R5240" s="210"/>
      <c r="S5240" s="232"/>
      <c r="T5240" s="270"/>
    </row>
    <row r="5241" spans="14:20" x14ac:dyDescent="0.25">
      <c r="N5241" s="362"/>
      <c r="R5241" s="210"/>
      <c r="S5241" s="232"/>
      <c r="T5241" s="270"/>
    </row>
    <row r="5242" spans="14:20" x14ac:dyDescent="0.25">
      <c r="N5242" s="362"/>
      <c r="R5242" s="210"/>
      <c r="S5242" s="232"/>
      <c r="T5242" s="270"/>
    </row>
    <row r="5243" spans="14:20" x14ac:dyDescent="0.25">
      <c r="N5243" s="362"/>
      <c r="R5243" s="210"/>
      <c r="S5243" s="232"/>
      <c r="T5243" s="270"/>
    </row>
    <row r="5244" spans="14:20" x14ac:dyDescent="0.25">
      <c r="N5244" s="362"/>
      <c r="R5244" s="210"/>
      <c r="S5244" s="232"/>
      <c r="T5244" s="270"/>
    </row>
    <row r="5245" spans="14:20" x14ac:dyDescent="0.25">
      <c r="N5245" s="362"/>
      <c r="R5245" s="210"/>
      <c r="S5245" s="232"/>
      <c r="T5245" s="270"/>
    </row>
    <row r="5246" spans="14:20" x14ac:dyDescent="0.25">
      <c r="N5246" s="362"/>
      <c r="R5246" s="210"/>
      <c r="S5246" s="232"/>
      <c r="T5246" s="270"/>
    </row>
    <row r="5247" spans="14:20" x14ac:dyDescent="0.25">
      <c r="N5247" s="362"/>
      <c r="R5247" s="210"/>
      <c r="S5247" s="232"/>
      <c r="T5247" s="270"/>
    </row>
    <row r="5248" spans="14:20" x14ac:dyDescent="0.25">
      <c r="N5248" s="362"/>
      <c r="R5248" s="210"/>
      <c r="S5248" s="232"/>
      <c r="T5248" s="270"/>
    </row>
    <row r="5249" spans="14:20" x14ac:dyDescent="0.25">
      <c r="N5249" s="362"/>
      <c r="R5249" s="210"/>
      <c r="S5249" s="232"/>
      <c r="T5249" s="270"/>
    </row>
    <row r="5250" spans="14:20" x14ac:dyDescent="0.25">
      <c r="N5250" s="362"/>
      <c r="R5250" s="210"/>
      <c r="S5250" s="232"/>
      <c r="T5250" s="270"/>
    </row>
    <row r="5251" spans="14:20" x14ac:dyDescent="0.25">
      <c r="N5251" s="362"/>
      <c r="R5251" s="210"/>
      <c r="S5251" s="232"/>
      <c r="T5251" s="270"/>
    </row>
    <row r="5252" spans="14:20" x14ac:dyDescent="0.25">
      <c r="N5252" s="362"/>
      <c r="R5252" s="210"/>
      <c r="S5252" s="232"/>
      <c r="T5252" s="270"/>
    </row>
    <row r="5253" spans="14:20" x14ac:dyDescent="0.25">
      <c r="N5253" s="362"/>
      <c r="R5253" s="210"/>
      <c r="S5253" s="232"/>
      <c r="T5253" s="270"/>
    </row>
    <row r="5254" spans="14:20" x14ac:dyDescent="0.25">
      <c r="N5254" s="362"/>
      <c r="R5254" s="210"/>
      <c r="S5254" s="232"/>
      <c r="T5254" s="270"/>
    </row>
    <row r="5255" spans="14:20" x14ac:dyDescent="0.25">
      <c r="N5255" s="362"/>
      <c r="R5255" s="210"/>
      <c r="S5255" s="232"/>
      <c r="T5255" s="270"/>
    </row>
    <row r="5256" spans="14:20" x14ac:dyDescent="0.25">
      <c r="N5256" s="362"/>
      <c r="R5256" s="210"/>
      <c r="S5256" s="232"/>
      <c r="T5256" s="270"/>
    </row>
    <row r="5257" spans="14:20" x14ac:dyDescent="0.25">
      <c r="N5257" s="362"/>
      <c r="R5257" s="210"/>
      <c r="S5257" s="232"/>
      <c r="T5257" s="270"/>
    </row>
    <row r="5258" spans="14:20" x14ac:dyDescent="0.25">
      <c r="N5258" s="362"/>
      <c r="R5258" s="210"/>
      <c r="S5258" s="232"/>
      <c r="T5258" s="270"/>
    </row>
    <row r="5259" spans="14:20" x14ac:dyDescent="0.25">
      <c r="N5259" s="362"/>
      <c r="R5259" s="210"/>
      <c r="S5259" s="232"/>
      <c r="T5259" s="270"/>
    </row>
    <row r="5260" spans="14:20" x14ac:dyDescent="0.25">
      <c r="N5260" s="362"/>
      <c r="R5260" s="210"/>
      <c r="S5260" s="232"/>
      <c r="T5260" s="270"/>
    </row>
    <row r="5261" spans="14:20" x14ac:dyDescent="0.25">
      <c r="N5261" s="362"/>
      <c r="R5261" s="210"/>
      <c r="S5261" s="232"/>
      <c r="T5261" s="270"/>
    </row>
    <row r="5262" spans="14:20" x14ac:dyDescent="0.25">
      <c r="N5262" s="362"/>
      <c r="R5262" s="210"/>
      <c r="S5262" s="232"/>
      <c r="T5262" s="270"/>
    </row>
    <row r="5263" spans="14:20" x14ac:dyDescent="0.25">
      <c r="N5263" s="362"/>
      <c r="R5263" s="210"/>
      <c r="S5263" s="232"/>
      <c r="T5263" s="270"/>
    </row>
    <row r="5264" spans="14:20" x14ac:dyDescent="0.25">
      <c r="N5264" s="362"/>
      <c r="R5264" s="210"/>
      <c r="S5264" s="232"/>
      <c r="T5264" s="270"/>
    </row>
    <row r="5265" spans="14:20" x14ac:dyDescent="0.25">
      <c r="N5265" s="362"/>
      <c r="R5265" s="210"/>
      <c r="S5265" s="232"/>
      <c r="T5265" s="270"/>
    </row>
    <row r="5266" spans="14:20" x14ac:dyDescent="0.25">
      <c r="N5266" s="362"/>
      <c r="R5266" s="210"/>
      <c r="S5266" s="232"/>
      <c r="T5266" s="270"/>
    </row>
    <row r="5267" spans="14:20" x14ac:dyDescent="0.25">
      <c r="N5267" s="362"/>
      <c r="R5267" s="210"/>
      <c r="S5267" s="232"/>
      <c r="T5267" s="270"/>
    </row>
    <row r="5268" spans="14:20" x14ac:dyDescent="0.25">
      <c r="N5268" s="362"/>
      <c r="R5268" s="210"/>
      <c r="S5268" s="232"/>
      <c r="T5268" s="270"/>
    </row>
    <row r="5269" spans="14:20" x14ac:dyDescent="0.25">
      <c r="N5269" s="362"/>
      <c r="R5269" s="210"/>
      <c r="S5269" s="232"/>
      <c r="T5269" s="270"/>
    </row>
    <row r="5270" spans="14:20" x14ac:dyDescent="0.25">
      <c r="N5270" s="362"/>
      <c r="R5270" s="210"/>
      <c r="S5270" s="232"/>
      <c r="T5270" s="270"/>
    </row>
    <row r="5271" spans="14:20" x14ac:dyDescent="0.25">
      <c r="N5271" s="362"/>
      <c r="R5271" s="210"/>
      <c r="S5271" s="232"/>
      <c r="T5271" s="270"/>
    </row>
    <row r="5272" spans="14:20" x14ac:dyDescent="0.25">
      <c r="N5272" s="362"/>
      <c r="R5272" s="210"/>
      <c r="S5272" s="232"/>
      <c r="T5272" s="270"/>
    </row>
    <row r="5273" spans="14:20" x14ac:dyDescent="0.25">
      <c r="N5273" s="362"/>
      <c r="R5273" s="210"/>
      <c r="S5273" s="232"/>
      <c r="T5273" s="270"/>
    </row>
    <row r="5274" spans="14:20" x14ac:dyDescent="0.25">
      <c r="N5274" s="362"/>
      <c r="R5274" s="210"/>
      <c r="S5274" s="232"/>
      <c r="T5274" s="270"/>
    </row>
    <row r="5275" spans="14:20" x14ac:dyDescent="0.25">
      <c r="N5275" s="362"/>
      <c r="R5275" s="210"/>
      <c r="S5275" s="232"/>
      <c r="T5275" s="270"/>
    </row>
    <row r="5276" spans="14:20" x14ac:dyDescent="0.25">
      <c r="N5276" s="362"/>
      <c r="R5276" s="210"/>
      <c r="S5276" s="232"/>
      <c r="T5276" s="270"/>
    </row>
    <row r="5277" spans="14:20" x14ac:dyDescent="0.25">
      <c r="N5277" s="362"/>
      <c r="R5277" s="210"/>
      <c r="S5277" s="232"/>
      <c r="T5277" s="270"/>
    </row>
    <row r="5278" spans="14:20" x14ac:dyDescent="0.25">
      <c r="N5278" s="362"/>
      <c r="R5278" s="210"/>
      <c r="S5278" s="232"/>
      <c r="T5278" s="270"/>
    </row>
    <row r="5279" spans="14:20" x14ac:dyDescent="0.25">
      <c r="N5279" s="362"/>
      <c r="R5279" s="210"/>
      <c r="S5279" s="232"/>
      <c r="T5279" s="270"/>
    </row>
    <row r="5280" spans="14:20" x14ac:dyDescent="0.25">
      <c r="N5280" s="362"/>
      <c r="R5280" s="210"/>
      <c r="S5280" s="232"/>
      <c r="T5280" s="270"/>
    </row>
    <row r="5281" spans="14:20" x14ac:dyDescent="0.25">
      <c r="N5281" s="362"/>
      <c r="R5281" s="210"/>
      <c r="S5281" s="232"/>
      <c r="T5281" s="270"/>
    </row>
    <row r="5282" spans="14:20" x14ac:dyDescent="0.25">
      <c r="N5282" s="362"/>
      <c r="R5282" s="210"/>
      <c r="S5282" s="232"/>
      <c r="T5282" s="270"/>
    </row>
    <row r="5283" spans="14:20" x14ac:dyDescent="0.25">
      <c r="N5283" s="362"/>
      <c r="R5283" s="210"/>
      <c r="S5283" s="232"/>
      <c r="T5283" s="270"/>
    </row>
    <row r="5284" spans="14:20" x14ac:dyDescent="0.25">
      <c r="N5284" s="362"/>
      <c r="R5284" s="210"/>
      <c r="S5284" s="232"/>
      <c r="T5284" s="270"/>
    </row>
    <row r="5285" spans="14:20" x14ac:dyDescent="0.25">
      <c r="N5285" s="362"/>
      <c r="R5285" s="210"/>
      <c r="S5285" s="232"/>
      <c r="T5285" s="270"/>
    </row>
    <row r="5286" spans="14:20" x14ac:dyDescent="0.25">
      <c r="N5286" s="362"/>
      <c r="R5286" s="210"/>
      <c r="S5286" s="232"/>
      <c r="T5286" s="270"/>
    </row>
    <row r="5287" spans="14:20" x14ac:dyDescent="0.25">
      <c r="N5287" s="362"/>
      <c r="R5287" s="210"/>
      <c r="S5287" s="232"/>
      <c r="T5287" s="270"/>
    </row>
    <row r="5288" spans="14:20" x14ac:dyDescent="0.25">
      <c r="N5288" s="362"/>
      <c r="R5288" s="210"/>
      <c r="S5288" s="232"/>
      <c r="T5288" s="270"/>
    </row>
    <row r="5289" spans="14:20" x14ac:dyDescent="0.25">
      <c r="N5289" s="362"/>
      <c r="R5289" s="210"/>
      <c r="S5289" s="232"/>
      <c r="T5289" s="270"/>
    </row>
    <row r="5290" spans="14:20" x14ac:dyDescent="0.25">
      <c r="N5290" s="362"/>
      <c r="R5290" s="210"/>
      <c r="S5290" s="232"/>
      <c r="T5290" s="270"/>
    </row>
    <row r="5291" spans="14:20" x14ac:dyDescent="0.25">
      <c r="N5291" s="362"/>
      <c r="R5291" s="210"/>
      <c r="S5291" s="232"/>
      <c r="T5291" s="270"/>
    </row>
    <row r="5292" spans="14:20" x14ac:dyDescent="0.25">
      <c r="N5292" s="362"/>
      <c r="R5292" s="210"/>
      <c r="S5292" s="232"/>
      <c r="T5292" s="270"/>
    </row>
    <row r="5293" spans="14:20" x14ac:dyDescent="0.25">
      <c r="N5293" s="362"/>
      <c r="R5293" s="210"/>
      <c r="S5293" s="232"/>
      <c r="T5293" s="270"/>
    </row>
    <row r="5294" spans="14:20" x14ac:dyDescent="0.25">
      <c r="N5294" s="362"/>
      <c r="R5294" s="210"/>
      <c r="S5294" s="232"/>
      <c r="T5294" s="270"/>
    </row>
    <row r="5295" spans="14:20" x14ac:dyDescent="0.25">
      <c r="N5295" s="362"/>
      <c r="R5295" s="210"/>
      <c r="S5295" s="232"/>
      <c r="T5295" s="270"/>
    </row>
    <row r="5296" spans="14:20" x14ac:dyDescent="0.25">
      <c r="N5296" s="362"/>
      <c r="R5296" s="210"/>
      <c r="S5296" s="232"/>
      <c r="T5296" s="270"/>
    </row>
    <row r="5297" spans="14:20" x14ac:dyDescent="0.25">
      <c r="N5297" s="362"/>
      <c r="R5297" s="210"/>
      <c r="S5297" s="232"/>
      <c r="T5297" s="270"/>
    </row>
    <row r="5298" spans="14:20" x14ac:dyDescent="0.25">
      <c r="N5298" s="362"/>
      <c r="R5298" s="210"/>
      <c r="S5298" s="232"/>
      <c r="T5298" s="270"/>
    </row>
    <row r="5299" spans="14:20" x14ac:dyDescent="0.25">
      <c r="N5299" s="362"/>
      <c r="R5299" s="210"/>
      <c r="S5299" s="232"/>
      <c r="T5299" s="270"/>
    </row>
    <row r="5300" spans="14:20" x14ac:dyDescent="0.25">
      <c r="N5300" s="362"/>
      <c r="R5300" s="210"/>
      <c r="S5300" s="232"/>
      <c r="T5300" s="270"/>
    </row>
    <row r="5301" spans="14:20" x14ac:dyDescent="0.25">
      <c r="N5301" s="362"/>
      <c r="R5301" s="210"/>
      <c r="S5301" s="232"/>
      <c r="T5301" s="270"/>
    </row>
    <row r="5302" spans="14:20" x14ac:dyDescent="0.25">
      <c r="N5302" s="362"/>
      <c r="R5302" s="210"/>
      <c r="S5302" s="232"/>
      <c r="T5302" s="270"/>
    </row>
    <row r="5303" spans="14:20" x14ac:dyDescent="0.25">
      <c r="N5303" s="362"/>
      <c r="R5303" s="210"/>
      <c r="S5303" s="232"/>
      <c r="T5303" s="270"/>
    </row>
    <row r="5304" spans="14:20" x14ac:dyDescent="0.25">
      <c r="N5304" s="362"/>
      <c r="R5304" s="210"/>
      <c r="S5304" s="232"/>
      <c r="T5304" s="270"/>
    </row>
    <row r="5305" spans="14:20" x14ac:dyDescent="0.25">
      <c r="N5305" s="362"/>
      <c r="R5305" s="210"/>
      <c r="S5305" s="232"/>
      <c r="T5305" s="270"/>
    </row>
    <row r="5306" spans="14:20" x14ac:dyDescent="0.25">
      <c r="N5306" s="362"/>
      <c r="R5306" s="210"/>
      <c r="S5306" s="232"/>
      <c r="T5306" s="270"/>
    </row>
    <row r="5307" spans="14:20" x14ac:dyDescent="0.25">
      <c r="N5307" s="362"/>
      <c r="R5307" s="210"/>
      <c r="S5307" s="232"/>
      <c r="T5307" s="270"/>
    </row>
    <row r="5308" spans="14:20" x14ac:dyDescent="0.25">
      <c r="N5308" s="362"/>
      <c r="R5308" s="210"/>
      <c r="S5308" s="232"/>
      <c r="T5308" s="270"/>
    </row>
    <row r="5309" spans="14:20" x14ac:dyDescent="0.25">
      <c r="N5309" s="362"/>
      <c r="R5309" s="210"/>
      <c r="S5309" s="232"/>
      <c r="T5309" s="270"/>
    </row>
    <row r="5310" spans="14:20" x14ac:dyDescent="0.25">
      <c r="N5310" s="362"/>
      <c r="R5310" s="210"/>
      <c r="S5310" s="232"/>
      <c r="T5310" s="270"/>
    </row>
    <row r="5311" spans="14:20" x14ac:dyDescent="0.25">
      <c r="N5311" s="362"/>
      <c r="R5311" s="210"/>
      <c r="S5311" s="232"/>
      <c r="T5311" s="270"/>
    </row>
    <row r="5312" spans="14:20" x14ac:dyDescent="0.25">
      <c r="N5312" s="362"/>
      <c r="R5312" s="210"/>
      <c r="S5312" s="232"/>
      <c r="T5312" s="270"/>
    </row>
    <row r="5313" spans="14:20" x14ac:dyDescent="0.25">
      <c r="N5313" s="362"/>
      <c r="R5313" s="210"/>
      <c r="S5313" s="232"/>
      <c r="T5313" s="270"/>
    </row>
    <row r="5314" spans="14:20" x14ac:dyDescent="0.25">
      <c r="N5314" s="362"/>
      <c r="R5314" s="210"/>
      <c r="S5314" s="232"/>
      <c r="T5314" s="270"/>
    </row>
    <row r="5315" spans="14:20" x14ac:dyDescent="0.25">
      <c r="N5315" s="362"/>
      <c r="R5315" s="210"/>
      <c r="S5315" s="232"/>
      <c r="T5315" s="270"/>
    </row>
    <row r="5316" spans="14:20" x14ac:dyDescent="0.25">
      <c r="N5316" s="362"/>
      <c r="R5316" s="210"/>
      <c r="S5316" s="232"/>
      <c r="T5316" s="270"/>
    </row>
    <row r="5317" spans="14:20" x14ac:dyDescent="0.25">
      <c r="N5317" s="362"/>
      <c r="R5317" s="210"/>
      <c r="S5317" s="232"/>
      <c r="T5317" s="270"/>
    </row>
    <row r="5318" spans="14:20" x14ac:dyDescent="0.25">
      <c r="N5318" s="362"/>
      <c r="R5318" s="210"/>
      <c r="S5318" s="232"/>
      <c r="T5318" s="270"/>
    </row>
    <row r="5319" spans="14:20" x14ac:dyDescent="0.25">
      <c r="N5319" s="362"/>
      <c r="R5319" s="210"/>
      <c r="S5319" s="232"/>
      <c r="T5319" s="270"/>
    </row>
    <row r="5320" spans="14:20" x14ac:dyDescent="0.25">
      <c r="N5320" s="362"/>
      <c r="R5320" s="210"/>
      <c r="S5320" s="232"/>
      <c r="T5320" s="270"/>
    </row>
    <row r="5321" spans="14:20" x14ac:dyDescent="0.25">
      <c r="N5321" s="362"/>
      <c r="R5321" s="210"/>
      <c r="S5321" s="232"/>
      <c r="T5321" s="270"/>
    </row>
    <row r="5322" spans="14:20" x14ac:dyDescent="0.25">
      <c r="N5322" s="362"/>
      <c r="R5322" s="210"/>
      <c r="S5322" s="232"/>
      <c r="T5322" s="270"/>
    </row>
    <row r="5323" spans="14:20" x14ac:dyDescent="0.25">
      <c r="N5323" s="362"/>
      <c r="R5323" s="210"/>
      <c r="S5323" s="232"/>
      <c r="T5323" s="270"/>
    </row>
    <row r="5324" spans="14:20" x14ac:dyDescent="0.25">
      <c r="N5324" s="362"/>
      <c r="R5324" s="210"/>
      <c r="S5324" s="232"/>
      <c r="T5324" s="270"/>
    </row>
    <row r="5325" spans="14:20" x14ac:dyDescent="0.25">
      <c r="N5325" s="362"/>
      <c r="R5325" s="210"/>
      <c r="S5325" s="232"/>
      <c r="T5325" s="270"/>
    </row>
    <row r="5326" spans="14:20" x14ac:dyDescent="0.25">
      <c r="N5326" s="362"/>
      <c r="R5326" s="210"/>
      <c r="S5326" s="232"/>
      <c r="T5326" s="270"/>
    </row>
    <row r="5327" spans="14:20" x14ac:dyDescent="0.25">
      <c r="N5327" s="362"/>
      <c r="R5327" s="210"/>
      <c r="S5327" s="232"/>
      <c r="T5327" s="270"/>
    </row>
    <row r="5328" spans="14:20" x14ac:dyDescent="0.25">
      <c r="N5328" s="362"/>
      <c r="R5328" s="210"/>
      <c r="S5328" s="232"/>
      <c r="T5328" s="270"/>
    </row>
    <row r="5329" spans="14:20" x14ac:dyDescent="0.25">
      <c r="N5329" s="362"/>
      <c r="R5329" s="210"/>
      <c r="S5329" s="232"/>
      <c r="T5329" s="270"/>
    </row>
    <row r="5330" spans="14:20" x14ac:dyDescent="0.25">
      <c r="N5330" s="362"/>
      <c r="R5330" s="210"/>
      <c r="S5330" s="232"/>
      <c r="T5330" s="270"/>
    </row>
    <row r="5331" spans="14:20" x14ac:dyDescent="0.25">
      <c r="N5331" s="362"/>
      <c r="R5331" s="210"/>
      <c r="S5331" s="232"/>
      <c r="T5331" s="270"/>
    </row>
    <row r="5332" spans="14:20" x14ac:dyDescent="0.25">
      <c r="N5332" s="362"/>
      <c r="R5332" s="210"/>
      <c r="S5332" s="232"/>
      <c r="T5332" s="270"/>
    </row>
    <row r="5333" spans="14:20" x14ac:dyDescent="0.25">
      <c r="N5333" s="362"/>
      <c r="R5333" s="210"/>
      <c r="S5333" s="232"/>
      <c r="T5333" s="270"/>
    </row>
    <row r="5334" spans="14:20" x14ac:dyDescent="0.25">
      <c r="N5334" s="362"/>
      <c r="R5334" s="210"/>
      <c r="S5334" s="232"/>
      <c r="T5334" s="270"/>
    </row>
    <row r="5335" spans="14:20" x14ac:dyDescent="0.25">
      <c r="N5335" s="362"/>
      <c r="R5335" s="210"/>
      <c r="S5335" s="232"/>
      <c r="T5335" s="270"/>
    </row>
    <row r="5336" spans="14:20" x14ac:dyDescent="0.25">
      <c r="N5336" s="362"/>
      <c r="R5336" s="210"/>
      <c r="S5336" s="232"/>
      <c r="T5336" s="270"/>
    </row>
    <row r="5337" spans="14:20" x14ac:dyDescent="0.25">
      <c r="N5337" s="362"/>
      <c r="R5337" s="210"/>
      <c r="S5337" s="232"/>
      <c r="T5337" s="270"/>
    </row>
    <row r="5338" spans="14:20" x14ac:dyDescent="0.25">
      <c r="N5338" s="362"/>
      <c r="R5338" s="210"/>
      <c r="S5338" s="232"/>
      <c r="T5338" s="270"/>
    </row>
    <row r="5339" spans="14:20" x14ac:dyDescent="0.25">
      <c r="N5339" s="362"/>
      <c r="R5339" s="210"/>
      <c r="S5339" s="232"/>
      <c r="T5339" s="270"/>
    </row>
    <row r="5340" spans="14:20" x14ac:dyDescent="0.25">
      <c r="N5340" s="362"/>
      <c r="R5340" s="210"/>
      <c r="S5340" s="232"/>
      <c r="T5340" s="270"/>
    </row>
    <row r="5341" spans="14:20" x14ac:dyDescent="0.25">
      <c r="N5341" s="362"/>
      <c r="R5341" s="210"/>
      <c r="S5341" s="232"/>
      <c r="T5341" s="270"/>
    </row>
    <row r="5342" spans="14:20" x14ac:dyDescent="0.25">
      <c r="N5342" s="362"/>
      <c r="R5342" s="210"/>
      <c r="S5342" s="232"/>
      <c r="T5342" s="270"/>
    </row>
    <row r="5343" spans="14:20" x14ac:dyDescent="0.25">
      <c r="N5343" s="362"/>
      <c r="R5343" s="210"/>
      <c r="S5343" s="232"/>
      <c r="T5343" s="270"/>
    </row>
    <row r="5344" spans="14:20" x14ac:dyDescent="0.25">
      <c r="N5344" s="362"/>
      <c r="R5344" s="210"/>
      <c r="S5344" s="232"/>
      <c r="T5344" s="270"/>
    </row>
    <row r="5345" spans="14:20" x14ac:dyDescent="0.25">
      <c r="N5345" s="362"/>
      <c r="R5345" s="210"/>
      <c r="S5345" s="232"/>
      <c r="T5345" s="270"/>
    </row>
    <row r="5346" spans="14:20" x14ac:dyDescent="0.25">
      <c r="N5346" s="362"/>
      <c r="R5346" s="210"/>
      <c r="S5346" s="232"/>
      <c r="T5346" s="270"/>
    </row>
    <row r="5347" spans="14:20" x14ac:dyDescent="0.25">
      <c r="N5347" s="362"/>
      <c r="R5347" s="210"/>
      <c r="S5347" s="232"/>
      <c r="T5347" s="270"/>
    </row>
    <row r="5348" spans="14:20" x14ac:dyDescent="0.25">
      <c r="N5348" s="362"/>
      <c r="R5348" s="210"/>
      <c r="S5348" s="232"/>
      <c r="T5348" s="270"/>
    </row>
    <row r="5349" spans="14:20" x14ac:dyDescent="0.25">
      <c r="N5349" s="362"/>
      <c r="R5349" s="210"/>
      <c r="S5349" s="232"/>
      <c r="T5349" s="270"/>
    </row>
    <row r="5350" spans="14:20" x14ac:dyDescent="0.25">
      <c r="N5350" s="362"/>
      <c r="R5350" s="210"/>
      <c r="S5350" s="232"/>
      <c r="T5350" s="270"/>
    </row>
    <row r="5351" spans="14:20" x14ac:dyDescent="0.25">
      <c r="N5351" s="362"/>
      <c r="R5351" s="210"/>
      <c r="S5351" s="232"/>
      <c r="T5351" s="270"/>
    </row>
    <row r="5352" spans="14:20" x14ac:dyDescent="0.25">
      <c r="N5352" s="362"/>
      <c r="R5352" s="210"/>
      <c r="S5352" s="232"/>
      <c r="T5352" s="270"/>
    </row>
    <row r="5353" spans="14:20" x14ac:dyDescent="0.25">
      <c r="N5353" s="362"/>
      <c r="R5353" s="210"/>
      <c r="S5353" s="232"/>
      <c r="T5353" s="270"/>
    </row>
    <row r="5354" spans="14:20" x14ac:dyDescent="0.25">
      <c r="N5354" s="362"/>
      <c r="R5354" s="210"/>
      <c r="S5354" s="232"/>
      <c r="T5354" s="270"/>
    </row>
    <row r="5355" spans="14:20" x14ac:dyDescent="0.25">
      <c r="N5355" s="362"/>
      <c r="R5355" s="210"/>
      <c r="S5355" s="232"/>
      <c r="T5355" s="270"/>
    </row>
    <row r="5356" spans="14:20" x14ac:dyDescent="0.25">
      <c r="N5356" s="362"/>
      <c r="R5356" s="210"/>
      <c r="S5356" s="232"/>
      <c r="T5356" s="270"/>
    </row>
    <row r="5357" spans="14:20" x14ac:dyDescent="0.25">
      <c r="N5357" s="362"/>
      <c r="R5357" s="210"/>
      <c r="S5357" s="232"/>
      <c r="T5357" s="270"/>
    </row>
    <row r="5358" spans="14:20" x14ac:dyDescent="0.25">
      <c r="N5358" s="362"/>
      <c r="R5358" s="210"/>
      <c r="S5358" s="232"/>
      <c r="T5358" s="270"/>
    </row>
    <row r="5359" spans="14:20" x14ac:dyDescent="0.25">
      <c r="N5359" s="362"/>
      <c r="R5359" s="210"/>
      <c r="S5359" s="232"/>
      <c r="T5359" s="270"/>
    </row>
    <row r="5360" spans="14:20" x14ac:dyDescent="0.25">
      <c r="N5360" s="362"/>
      <c r="R5360" s="210"/>
      <c r="S5360" s="232"/>
      <c r="T5360" s="270"/>
    </row>
    <row r="5361" spans="14:20" x14ac:dyDescent="0.25">
      <c r="N5361" s="362"/>
      <c r="R5361" s="210"/>
      <c r="S5361" s="232"/>
      <c r="T5361" s="270"/>
    </row>
    <row r="5362" spans="14:20" x14ac:dyDescent="0.25">
      <c r="N5362" s="362"/>
      <c r="R5362" s="210"/>
      <c r="S5362" s="232"/>
      <c r="T5362" s="270"/>
    </row>
    <row r="5363" spans="14:20" x14ac:dyDescent="0.25">
      <c r="N5363" s="362"/>
      <c r="R5363" s="210"/>
      <c r="S5363" s="232"/>
      <c r="T5363" s="270"/>
    </row>
    <row r="5364" spans="14:20" x14ac:dyDescent="0.25">
      <c r="N5364" s="362"/>
      <c r="R5364" s="210"/>
      <c r="S5364" s="232"/>
      <c r="T5364" s="270"/>
    </row>
    <row r="5365" spans="14:20" x14ac:dyDescent="0.25">
      <c r="N5365" s="362"/>
      <c r="R5365" s="210"/>
      <c r="S5365" s="232"/>
      <c r="T5365" s="270"/>
    </row>
    <row r="5366" spans="14:20" x14ac:dyDescent="0.25">
      <c r="N5366" s="362"/>
      <c r="R5366" s="210"/>
      <c r="S5366" s="232"/>
      <c r="T5366" s="270"/>
    </row>
    <row r="5367" spans="14:20" x14ac:dyDescent="0.25">
      <c r="N5367" s="362"/>
      <c r="R5367" s="210"/>
      <c r="S5367" s="232"/>
      <c r="T5367" s="270"/>
    </row>
    <row r="5368" spans="14:20" x14ac:dyDescent="0.25">
      <c r="N5368" s="362"/>
      <c r="R5368" s="210"/>
      <c r="S5368" s="232"/>
      <c r="T5368" s="270"/>
    </row>
    <row r="5369" spans="14:20" x14ac:dyDescent="0.25">
      <c r="N5369" s="362"/>
      <c r="R5369" s="210"/>
      <c r="S5369" s="232"/>
      <c r="T5369" s="270"/>
    </row>
    <row r="5370" spans="14:20" x14ac:dyDescent="0.25">
      <c r="N5370" s="362"/>
      <c r="R5370" s="210"/>
      <c r="S5370" s="232"/>
      <c r="T5370" s="270"/>
    </row>
    <row r="5371" spans="14:20" x14ac:dyDescent="0.25">
      <c r="N5371" s="362"/>
      <c r="R5371" s="210"/>
      <c r="S5371" s="232"/>
      <c r="T5371" s="270"/>
    </row>
    <row r="5372" spans="14:20" x14ac:dyDescent="0.25">
      <c r="N5372" s="362"/>
      <c r="R5372" s="210"/>
      <c r="S5372" s="232"/>
      <c r="T5372" s="270"/>
    </row>
    <row r="5373" spans="14:20" x14ac:dyDescent="0.25">
      <c r="N5373" s="362"/>
      <c r="R5373" s="210"/>
      <c r="S5373" s="232"/>
      <c r="T5373" s="270"/>
    </row>
    <row r="5374" spans="14:20" x14ac:dyDescent="0.25">
      <c r="N5374" s="362"/>
      <c r="R5374" s="210"/>
      <c r="S5374" s="232"/>
      <c r="T5374" s="270"/>
    </row>
    <row r="5375" spans="14:20" x14ac:dyDescent="0.25">
      <c r="N5375" s="362"/>
      <c r="R5375" s="210"/>
      <c r="S5375" s="232"/>
      <c r="T5375" s="270"/>
    </row>
    <row r="5376" spans="14:20" x14ac:dyDescent="0.25">
      <c r="N5376" s="362"/>
      <c r="R5376" s="210"/>
      <c r="S5376" s="232"/>
      <c r="T5376" s="270"/>
    </row>
    <row r="5377" spans="14:20" x14ac:dyDescent="0.25">
      <c r="N5377" s="362"/>
      <c r="R5377" s="210"/>
      <c r="S5377" s="232"/>
      <c r="T5377" s="270"/>
    </row>
    <row r="5378" spans="14:20" x14ac:dyDescent="0.25">
      <c r="N5378" s="362"/>
      <c r="R5378" s="210"/>
      <c r="S5378" s="232"/>
      <c r="T5378" s="270"/>
    </row>
    <row r="5379" spans="14:20" x14ac:dyDescent="0.25">
      <c r="N5379" s="362"/>
      <c r="R5379" s="210"/>
      <c r="S5379" s="232"/>
      <c r="T5379" s="270"/>
    </row>
    <row r="5380" spans="14:20" x14ac:dyDescent="0.25">
      <c r="N5380" s="362"/>
      <c r="R5380" s="210"/>
      <c r="S5380" s="232"/>
      <c r="T5380" s="270"/>
    </row>
    <row r="5381" spans="14:20" x14ac:dyDescent="0.25">
      <c r="N5381" s="362"/>
      <c r="R5381" s="210"/>
      <c r="S5381" s="232"/>
      <c r="T5381" s="270"/>
    </row>
    <row r="5382" spans="14:20" x14ac:dyDescent="0.25">
      <c r="N5382" s="362"/>
      <c r="R5382" s="210"/>
      <c r="S5382" s="232"/>
      <c r="T5382" s="270"/>
    </row>
    <row r="5383" spans="14:20" x14ac:dyDescent="0.25">
      <c r="N5383" s="362"/>
      <c r="R5383" s="210"/>
      <c r="S5383" s="232"/>
      <c r="T5383" s="270"/>
    </row>
    <row r="5384" spans="14:20" x14ac:dyDescent="0.25">
      <c r="N5384" s="362"/>
      <c r="R5384" s="210"/>
      <c r="S5384" s="232"/>
      <c r="T5384" s="270"/>
    </row>
    <row r="5385" spans="14:20" x14ac:dyDescent="0.25">
      <c r="N5385" s="362"/>
      <c r="R5385" s="210"/>
      <c r="S5385" s="232"/>
      <c r="T5385" s="270"/>
    </row>
    <row r="5386" spans="14:20" x14ac:dyDescent="0.25">
      <c r="N5386" s="362"/>
      <c r="R5386" s="210"/>
      <c r="S5386" s="232"/>
      <c r="T5386" s="270"/>
    </row>
    <row r="5387" spans="14:20" x14ac:dyDescent="0.25">
      <c r="N5387" s="362"/>
      <c r="R5387" s="210"/>
      <c r="S5387" s="232"/>
      <c r="T5387" s="270"/>
    </row>
    <row r="5388" spans="14:20" x14ac:dyDescent="0.25">
      <c r="N5388" s="362"/>
      <c r="R5388" s="210"/>
      <c r="S5388" s="232"/>
      <c r="T5388" s="270"/>
    </row>
    <row r="5389" spans="14:20" x14ac:dyDescent="0.25">
      <c r="N5389" s="362"/>
      <c r="R5389" s="210"/>
      <c r="S5389" s="232"/>
      <c r="T5389" s="270"/>
    </row>
    <row r="5390" spans="14:20" x14ac:dyDescent="0.25">
      <c r="N5390" s="362"/>
      <c r="R5390" s="210"/>
      <c r="S5390" s="232"/>
      <c r="T5390" s="270"/>
    </row>
    <row r="5391" spans="14:20" x14ac:dyDescent="0.25">
      <c r="N5391" s="362"/>
      <c r="R5391" s="210"/>
      <c r="S5391" s="232"/>
      <c r="T5391" s="270"/>
    </row>
    <row r="5392" spans="14:20" x14ac:dyDescent="0.25">
      <c r="N5392" s="362"/>
      <c r="R5392" s="210"/>
      <c r="S5392" s="232"/>
      <c r="T5392" s="270"/>
    </row>
    <row r="5393" spans="14:20" x14ac:dyDescent="0.25">
      <c r="N5393" s="362"/>
      <c r="R5393" s="210"/>
      <c r="S5393" s="232"/>
      <c r="T5393" s="270"/>
    </row>
    <row r="5394" spans="14:20" x14ac:dyDescent="0.25">
      <c r="N5394" s="362"/>
      <c r="R5394" s="210"/>
      <c r="S5394" s="232"/>
      <c r="T5394" s="270"/>
    </row>
    <row r="5395" spans="14:20" x14ac:dyDescent="0.25">
      <c r="N5395" s="362"/>
      <c r="R5395" s="210"/>
      <c r="S5395" s="232"/>
      <c r="T5395" s="270"/>
    </row>
    <row r="5396" spans="14:20" x14ac:dyDescent="0.25">
      <c r="N5396" s="362"/>
      <c r="R5396" s="210"/>
      <c r="S5396" s="232"/>
      <c r="T5396" s="270"/>
    </row>
    <row r="5397" spans="14:20" x14ac:dyDescent="0.25">
      <c r="N5397" s="362"/>
      <c r="R5397" s="210"/>
      <c r="S5397" s="232"/>
      <c r="T5397" s="270"/>
    </row>
    <row r="5398" spans="14:20" x14ac:dyDescent="0.25">
      <c r="N5398" s="362"/>
      <c r="R5398" s="210"/>
      <c r="S5398" s="232"/>
      <c r="T5398" s="270"/>
    </row>
    <row r="5399" spans="14:20" x14ac:dyDescent="0.25">
      <c r="N5399" s="362"/>
      <c r="R5399" s="210"/>
      <c r="S5399" s="232"/>
      <c r="T5399" s="270"/>
    </row>
    <row r="5400" spans="14:20" x14ac:dyDescent="0.25">
      <c r="N5400" s="362"/>
      <c r="R5400" s="210"/>
      <c r="S5400" s="232"/>
      <c r="T5400" s="270"/>
    </row>
    <row r="5401" spans="14:20" x14ac:dyDescent="0.25">
      <c r="N5401" s="362"/>
      <c r="R5401" s="210"/>
      <c r="S5401" s="232"/>
      <c r="T5401" s="270"/>
    </row>
    <row r="5402" spans="14:20" x14ac:dyDescent="0.25">
      <c r="N5402" s="362"/>
      <c r="R5402" s="210"/>
      <c r="S5402" s="232"/>
      <c r="T5402" s="270"/>
    </row>
    <row r="5403" spans="14:20" x14ac:dyDescent="0.25">
      <c r="N5403" s="362"/>
      <c r="R5403" s="210"/>
      <c r="S5403" s="232"/>
      <c r="T5403" s="270"/>
    </row>
    <row r="5404" spans="14:20" x14ac:dyDescent="0.25">
      <c r="N5404" s="362"/>
      <c r="R5404" s="210"/>
      <c r="S5404" s="232"/>
      <c r="T5404" s="270"/>
    </row>
    <row r="5405" spans="14:20" x14ac:dyDescent="0.25">
      <c r="N5405" s="362"/>
      <c r="R5405" s="210"/>
      <c r="S5405" s="232"/>
      <c r="T5405" s="270"/>
    </row>
    <row r="5406" spans="14:20" x14ac:dyDescent="0.25">
      <c r="N5406" s="362"/>
      <c r="R5406" s="210"/>
      <c r="S5406" s="232"/>
      <c r="T5406" s="270"/>
    </row>
    <row r="5407" spans="14:20" x14ac:dyDescent="0.25">
      <c r="N5407" s="362"/>
      <c r="R5407" s="210"/>
      <c r="S5407" s="232"/>
      <c r="T5407" s="270"/>
    </row>
    <row r="5408" spans="14:20" x14ac:dyDescent="0.25">
      <c r="N5408" s="362"/>
      <c r="R5408" s="210"/>
      <c r="S5408" s="232"/>
      <c r="T5408" s="270"/>
    </row>
    <row r="5409" spans="14:20" x14ac:dyDescent="0.25">
      <c r="N5409" s="362"/>
      <c r="R5409" s="210"/>
      <c r="S5409" s="232"/>
      <c r="T5409" s="270"/>
    </row>
    <row r="5410" spans="14:20" x14ac:dyDescent="0.25">
      <c r="N5410" s="362"/>
      <c r="R5410" s="210"/>
      <c r="S5410" s="232"/>
      <c r="T5410" s="270"/>
    </row>
    <row r="5411" spans="14:20" x14ac:dyDescent="0.25">
      <c r="N5411" s="362"/>
      <c r="R5411" s="210"/>
      <c r="S5411" s="232"/>
      <c r="T5411" s="270"/>
    </row>
    <row r="5412" spans="14:20" x14ac:dyDescent="0.25">
      <c r="N5412" s="362"/>
      <c r="R5412" s="210"/>
      <c r="S5412" s="232"/>
      <c r="T5412" s="270"/>
    </row>
    <row r="5413" spans="14:20" x14ac:dyDescent="0.25">
      <c r="N5413" s="362"/>
      <c r="R5413" s="210"/>
      <c r="S5413" s="232"/>
      <c r="T5413" s="270"/>
    </row>
    <row r="5414" spans="14:20" x14ac:dyDescent="0.25">
      <c r="N5414" s="362"/>
      <c r="R5414" s="210"/>
      <c r="S5414" s="232"/>
      <c r="T5414" s="270"/>
    </row>
    <row r="5415" spans="14:20" x14ac:dyDescent="0.25">
      <c r="N5415" s="362"/>
      <c r="R5415" s="210"/>
      <c r="S5415" s="232"/>
      <c r="T5415" s="270"/>
    </row>
    <row r="5416" spans="14:20" x14ac:dyDescent="0.25">
      <c r="N5416" s="362"/>
      <c r="R5416" s="210"/>
      <c r="S5416" s="232"/>
      <c r="T5416" s="270"/>
    </row>
    <row r="5417" spans="14:20" x14ac:dyDescent="0.25">
      <c r="N5417" s="362"/>
      <c r="R5417" s="210"/>
      <c r="S5417" s="232"/>
      <c r="T5417" s="270"/>
    </row>
    <row r="5418" spans="14:20" x14ac:dyDescent="0.25">
      <c r="N5418" s="362"/>
      <c r="R5418" s="210"/>
      <c r="S5418" s="232"/>
      <c r="T5418" s="270"/>
    </row>
    <row r="5419" spans="14:20" x14ac:dyDescent="0.25">
      <c r="N5419" s="362"/>
      <c r="R5419" s="210"/>
      <c r="S5419" s="232"/>
      <c r="T5419" s="270"/>
    </row>
    <row r="5420" spans="14:20" x14ac:dyDescent="0.25">
      <c r="N5420" s="362"/>
      <c r="R5420" s="210"/>
      <c r="S5420" s="232"/>
      <c r="T5420" s="270"/>
    </row>
    <row r="5421" spans="14:20" x14ac:dyDescent="0.25">
      <c r="N5421" s="362"/>
      <c r="R5421" s="210"/>
      <c r="S5421" s="232"/>
      <c r="T5421" s="270"/>
    </row>
    <row r="5422" spans="14:20" x14ac:dyDescent="0.25">
      <c r="N5422" s="362"/>
      <c r="R5422" s="210"/>
      <c r="S5422" s="232"/>
      <c r="T5422" s="270"/>
    </row>
    <row r="5423" spans="14:20" x14ac:dyDescent="0.25">
      <c r="N5423" s="362"/>
      <c r="R5423" s="210"/>
      <c r="S5423" s="232"/>
      <c r="T5423" s="270"/>
    </row>
    <row r="5424" spans="14:20" x14ac:dyDescent="0.25">
      <c r="N5424" s="362"/>
      <c r="R5424" s="210"/>
      <c r="S5424" s="232"/>
      <c r="T5424" s="270"/>
    </row>
    <row r="5425" spans="14:20" x14ac:dyDescent="0.25">
      <c r="N5425" s="362"/>
      <c r="R5425" s="210"/>
      <c r="S5425" s="232"/>
      <c r="T5425" s="270"/>
    </row>
    <row r="5426" spans="14:20" x14ac:dyDescent="0.25">
      <c r="N5426" s="362"/>
      <c r="R5426" s="210"/>
      <c r="S5426" s="232"/>
      <c r="T5426" s="270"/>
    </row>
    <row r="5427" spans="14:20" x14ac:dyDescent="0.25">
      <c r="N5427" s="362"/>
      <c r="R5427" s="210"/>
      <c r="S5427" s="232"/>
      <c r="T5427" s="270"/>
    </row>
    <row r="5428" spans="14:20" x14ac:dyDescent="0.25">
      <c r="N5428" s="362"/>
      <c r="R5428" s="210"/>
      <c r="S5428" s="232"/>
      <c r="T5428" s="270"/>
    </row>
    <row r="5429" spans="14:20" x14ac:dyDescent="0.25">
      <c r="N5429" s="362"/>
      <c r="R5429" s="210"/>
      <c r="S5429" s="232"/>
      <c r="T5429" s="270"/>
    </row>
    <row r="5430" spans="14:20" x14ac:dyDescent="0.25">
      <c r="N5430" s="362"/>
      <c r="R5430" s="210"/>
      <c r="S5430" s="232"/>
      <c r="T5430" s="270"/>
    </row>
    <row r="5431" spans="14:20" x14ac:dyDescent="0.25">
      <c r="N5431" s="362"/>
      <c r="R5431" s="210"/>
      <c r="S5431" s="232"/>
      <c r="T5431" s="270"/>
    </row>
    <row r="5432" spans="14:20" x14ac:dyDescent="0.25">
      <c r="N5432" s="362"/>
      <c r="R5432" s="210"/>
      <c r="S5432" s="232"/>
      <c r="T5432" s="270"/>
    </row>
    <row r="5433" spans="14:20" x14ac:dyDescent="0.25">
      <c r="N5433" s="362"/>
      <c r="R5433" s="210"/>
      <c r="S5433" s="232"/>
      <c r="T5433" s="270"/>
    </row>
    <row r="5434" spans="14:20" x14ac:dyDescent="0.25">
      <c r="N5434" s="362"/>
      <c r="R5434" s="210"/>
      <c r="S5434" s="232"/>
      <c r="T5434" s="270"/>
    </row>
    <row r="5435" spans="14:20" x14ac:dyDescent="0.25">
      <c r="N5435" s="362"/>
      <c r="R5435" s="210"/>
      <c r="S5435" s="232"/>
      <c r="T5435" s="270"/>
    </row>
    <row r="5436" spans="14:20" x14ac:dyDescent="0.25">
      <c r="N5436" s="362"/>
      <c r="R5436" s="210"/>
      <c r="S5436" s="232"/>
      <c r="T5436" s="270"/>
    </row>
    <row r="5437" spans="14:20" x14ac:dyDescent="0.25">
      <c r="N5437" s="362"/>
      <c r="R5437" s="210"/>
      <c r="S5437" s="232"/>
      <c r="T5437" s="270"/>
    </row>
    <row r="5438" spans="14:20" x14ac:dyDescent="0.25">
      <c r="N5438" s="362"/>
      <c r="R5438" s="210"/>
      <c r="S5438" s="232"/>
      <c r="T5438" s="270"/>
    </row>
    <row r="5439" spans="14:20" x14ac:dyDescent="0.25">
      <c r="N5439" s="362"/>
      <c r="R5439" s="210"/>
      <c r="S5439" s="232"/>
      <c r="T5439" s="270"/>
    </row>
    <row r="5440" spans="14:20" x14ac:dyDescent="0.25">
      <c r="N5440" s="362"/>
      <c r="R5440" s="210"/>
      <c r="S5440" s="232"/>
      <c r="T5440" s="270"/>
    </row>
    <row r="5441" spans="14:20" x14ac:dyDescent="0.25">
      <c r="N5441" s="362"/>
      <c r="R5441" s="210"/>
      <c r="S5441" s="232"/>
      <c r="T5441" s="270"/>
    </row>
    <row r="5442" spans="14:20" x14ac:dyDescent="0.25">
      <c r="N5442" s="362"/>
      <c r="R5442" s="210"/>
      <c r="S5442" s="232"/>
      <c r="T5442" s="270"/>
    </row>
    <row r="5443" spans="14:20" x14ac:dyDescent="0.25">
      <c r="N5443" s="362"/>
      <c r="R5443" s="210"/>
      <c r="S5443" s="232"/>
      <c r="T5443" s="270"/>
    </row>
    <row r="5444" spans="14:20" x14ac:dyDescent="0.25">
      <c r="N5444" s="362"/>
      <c r="R5444" s="210"/>
      <c r="S5444" s="232"/>
      <c r="T5444" s="270"/>
    </row>
    <row r="5445" spans="14:20" x14ac:dyDescent="0.25">
      <c r="N5445" s="362"/>
      <c r="R5445" s="210"/>
      <c r="S5445" s="232"/>
      <c r="T5445" s="270"/>
    </row>
    <row r="5446" spans="14:20" x14ac:dyDescent="0.25">
      <c r="N5446" s="362"/>
      <c r="R5446" s="210"/>
      <c r="S5446" s="232"/>
      <c r="T5446" s="270"/>
    </row>
    <row r="5447" spans="14:20" x14ac:dyDescent="0.25">
      <c r="N5447" s="362"/>
      <c r="R5447" s="210"/>
      <c r="S5447" s="232"/>
      <c r="T5447" s="270"/>
    </row>
    <row r="5448" spans="14:20" x14ac:dyDescent="0.25">
      <c r="N5448" s="362"/>
      <c r="R5448" s="210"/>
      <c r="S5448" s="232"/>
      <c r="T5448" s="270"/>
    </row>
    <row r="5449" spans="14:20" x14ac:dyDescent="0.25">
      <c r="N5449" s="362"/>
      <c r="R5449" s="210"/>
      <c r="S5449" s="232"/>
      <c r="T5449" s="270"/>
    </row>
    <row r="5450" spans="14:20" x14ac:dyDescent="0.25">
      <c r="N5450" s="362"/>
      <c r="R5450" s="210"/>
      <c r="S5450" s="232"/>
      <c r="T5450" s="270"/>
    </row>
    <row r="5451" spans="14:20" x14ac:dyDescent="0.25">
      <c r="N5451" s="362"/>
      <c r="R5451" s="210"/>
      <c r="S5451" s="232"/>
      <c r="T5451" s="270"/>
    </row>
    <row r="5452" spans="14:20" x14ac:dyDescent="0.25">
      <c r="N5452" s="362"/>
      <c r="R5452" s="210"/>
      <c r="S5452" s="232"/>
      <c r="T5452" s="270"/>
    </row>
    <row r="5453" spans="14:20" x14ac:dyDescent="0.25">
      <c r="N5453" s="362"/>
      <c r="R5453" s="210"/>
      <c r="S5453" s="232"/>
      <c r="T5453" s="270"/>
    </row>
    <row r="5454" spans="14:20" x14ac:dyDescent="0.25">
      <c r="N5454" s="362"/>
      <c r="R5454" s="210"/>
      <c r="S5454" s="232"/>
      <c r="T5454" s="270"/>
    </row>
    <row r="5455" spans="14:20" x14ac:dyDescent="0.25">
      <c r="N5455" s="362"/>
      <c r="R5455" s="210"/>
      <c r="S5455" s="232"/>
      <c r="T5455" s="270"/>
    </row>
    <row r="5456" spans="14:20" x14ac:dyDescent="0.25">
      <c r="N5456" s="362"/>
      <c r="R5456" s="210"/>
      <c r="S5456" s="232"/>
      <c r="T5456" s="270"/>
    </row>
    <row r="5457" spans="14:20" x14ac:dyDescent="0.25">
      <c r="N5457" s="362"/>
      <c r="R5457" s="210"/>
      <c r="S5457" s="232"/>
      <c r="T5457" s="270"/>
    </row>
    <row r="5458" spans="14:20" x14ac:dyDescent="0.25">
      <c r="N5458" s="362"/>
      <c r="R5458" s="210"/>
      <c r="S5458" s="232"/>
      <c r="T5458" s="270"/>
    </row>
    <row r="5459" spans="14:20" x14ac:dyDescent="0.25">
      <c r="N5459" s="362"/>
      <c r="R5459" s="210"/>
      <c r="S5459" s="232"/>
      <c r="T5459" s="270"/>
    </row>
    <row r="5460" spans="14:20" x14ac:dyDescent="0.25">
      <c r="N5460" s="362"/>
      <c r="R5460" s="210"/>
      <c r="S5460" s="232"/>
      <c r="T5460" s="270"/>
    </row>
    <row r="5461" spans="14:20" x14ac:dyDescent="0.25">
      <c r="N5461" s="362"/>
      <c r="R5461" s="210"/>
      <c r="S5461" s="232"/>
      <c r="T5461" s="270"/>
    </row>
    <row r="5462" spans="14:20" x14ac:dyDescent="0.25">
      <c r="N5462" s="362"/>
      <c r="R5462" s="210"/>
      <c r="S5462" s="232"/>
      <c r="T5462" s="270"/>
    </row>
    <row r="5463" spans="14:20" x14ac:dyDescent="0.25">
      <c r="N5463" s="362"/>
      <c r="R5463" s="210"/>
      <c r="S5463" s="232"/>
      <c r="T5463" s="270"/>
    </row>
    <row r="5464" spans="14:20" x14ac:dyDescent="0.25">
      <c r="N5464" s="362"/>
      <c r="R5464" s="210"/>
      <c r="S5464" s="232"/>
      <c r="T5464" s="270"/>
    </row>
    <row r="5465" spans="14:20" x14ac:dyDescent="0.25">
      <c r="N5465" s="362"/>
      <c r="R5465" s="210"/>
      <c r="S5465" s="232"/>
      <c r="T5465" s="270"/>
    </row>
    <row r="5466" spans="14:20" x14ac:dyDescent="0.25">
      <c r="N5466" s="362"/>
      <c r="R5466" s="210"/>
      <c r="S5466" s="232"/>
      <c r="T5466" s="270"/>
    </row>
    <row r="5467" spans="14:20" x14ac:dyDescent="0.25">
      <c r="N5467" s="362"/>
      <c r="R5467" s="210"/>
      <c r="S5467" s="232"/>
      <c r="T5467" s="270"/>
    </row>
    <row r="5468" spans="14:20" x14ac:dyDescent="0.25">
      <c r="N5468" s="362"/>
      <c r="R5468" s="210"/>
      <c r="S5468" s="232"/>
      <c r="T5468" s="270"/>
    </row>
    <row r="5469" spans="14:20" x14ac:dyDescent="0.25">
      <c r="N5469" s="362"/>
      <c r="R5469" s="210"/>
      <c r="S5469" s="232"/>
      <c r="T5469" s="270"/>
    </row>
    <row r="5470" spans="14:20" x14ac:dyDescent="0.25">
      <c r="N5470" s="362"/>
      <c r="R5470" s="210"/>
      <c r="S5470" s="232"/>
      <c r="T5470" s="270"/>
    </row>
    <row r="5471" spans="14:20" x14ac:dyDescent="0.25">
      <c r="N5471" s="362"/>
      <c r="R5471" s="210"/>
      <c r="S5471" s="232"/>
      <c r="T5471" s="270"/>
    </row>
    <row r="5472" spans="14:20" x14ac:dyDescent="0.25">
      <c r="N5472" s="362"/>
      <c r="R5472" s="210"/>
      <c r="S5472" s="232"/>
      <c r="T5472" s="270"/>
    </row>
    <row r="5473" spans="14:20" x14ac:dyDescent="0.25">
      <c r="N5473" s="362"/>
      <c r="R5473" s="210"/>
      <c r="S5473" s="232"/>
      <c r="T5473" s="270"/>
    </row>
    <row r="5474" spans="14:20" x14ac:dyDescent="0.25">
      <c r="N5474" s="362"/>
      <c r="R5474" s="210"/>
      <c r="S5474" s="232"/>
      <c r="T5474" s="270"/>
    </row>
    <row r="5475" spans="14:20" x14ac:dyDescent="0.25">
      <c r="N5475" s="362"/>
      <c r="R5475" s="210"/>
      <c r="S5475" s="232"/>
      <c r="T5475" s="270"/>
    </row>
    <row r="5476" spans="14:20" x14ac:dyDescent="0.25">
      <c r="N5476" s="362"/>
      <c r="R5476" s="210"/>
      <c r="S5476" s="232"/>
      <c r="T5476" s="270"/>
    </row>
    <row r="5477" spans="14:20" x14ac:dyDescent="0.25">
      <c r="N5477" s="362"/>
      <c r="R5477" s="210"/>
      <c r="S5477" s="232"/>
      <c r="T5477" s="270"/>
    </row>
    <row r="5478" spans="14:20" x14ac:dyDescent="0.25">
      <c r="N5478" s="362"/>
      <c r="R5478" s="210"/>
      <c r="S5478" s="232"/>
      <c r="T5478" s="270"/>
    </row>
    <row r="5479" spans="14:20" x14ac:dyDescent="0.25">
      <c r="N5479" s="362"/>
      <c r="R5479" s="210"/>
      <c r="S5479" s="232"/>
      <c r="T5479" s="270"/>
    </row>
    <row r="5480" spans="14:20" x14ac:dyDescent="0.25">
      <c r="N5480" s="362"/>
      <c r="R5480" s="210"/>
      <c r="S5480" s="232"/>
      <c r="T5480" s="270"/>
    </row>
    <row r="5481" spans="14:20" x14ac:dyDescent="0.25">
      <c r="N5481" s="362"/>
      <c r="R5481" s="210"/>
      <c r="S5481" s="232"/>
      <c r="T5481" s="270"/>
    </row>
    <row r="5482" spans="14:20" x14ac:dyDescent="0.25">
      <c r="N5482" s="362"/>
      <c r="R5482" s="210"/>
      <c r="S5482" s="232"/>
      <c r="T5482" s="270"/>
    </row>
    <row r="5483" spans="14:20" x14ac:dyDescent="0.25">
      <c r="N5483" s="362"/>
      <c r="R5483" s="210"/>
      <c r="S5483" s="232"/>
      <c r="T5483" s="270"/>
    </row>
    <row r="5484" spans="14:20" x14ac:dyDescent="0.25">
      <c r="N5484" s="362"/>
      <c r="R5484" s="210"/>
      <c r="S5484" s="232"/>
      <c r="T5484" s="270"/>
    </row>
    <row r="5485" spans="14:20" x14ac:dyDescent="0.25">
      <c r="N5485" s="362"/>
      <c r="R5485" s="210"/>
      <c r="S5485" s="232"/>
      <c r="T5485" s="270"/>
    </row>
    <row r="5486" spans="14:20" x14ac:dyDescent="0.25">
      <c r="N5486" s="362"/>
      <c r="R5486" s="210"/>
      <c r="S5486" s="232"/>
      <c r="T5486" s="270"/>
    </row>
    <row r="5487" spans="14:20" x14ac:dyDescent="0.25">
      <c r="N5487" s="362"/>
      <c r="R5487" s="210"/>
      <c r="S5487" s="232"/>
      <c r="T5487" s="270"/>
    </row>
    <row r="5488" spans="14:20" x14ac:dyDescent="0.25">
      <c r="N5488" s="362"/>
      <c r="R5488" s="210"/>
      <c r="S5488" s="232"/>
      <c r="T5488" s="270"/>
    </row>
    <row r="5489" spans="14:20" x14ac:dyDescent="0.25">
      <c r="N5489" s="362"/>
      <c r="R5489" s="210"/>
      <c r="S5489" s="232"/>
      <c r="T5489" s="270"/>
    </row>
    <row r="5490" spans="14:20" x14ac:dyDescent="0.25">
      <c r="N5490" s="362"/>
      <c r="R5490" s="210"/>
      <c r="S5490" s="232"/>
      <c r="T5490" s="270"/>
    </row>
    <row r="5491" spans="14:20" x14ac:dyDescent="0.25">
      <c r="N5491" s="362"/>
      <c r="R5491" s="210"/>
      <c r="S5491" s="232"/>
      <c r="T5491" s="270"/>
    </row>
    <row r="5492" spans="14:20" x14ac:dyDescent="0.25">
      <c r="N5492" s="362"/>
      <c r="R5492" s="210"/>
      <c r="S5492" s="232"/>
      <c r="T5492" s="270"/>
    </row>
    <row r="5493" spans="14:20" x14ac:dyDescent="0.25">
      <c r="N5493" s="362"/>
      <c r="R5493" s="210"/>
      <c r="S5493" s="232"/>
      <c r="T5493" s="270"/>
    </row>
    <row r="5494" spans="14:20" x14ac:dyDescent="0.25">
      <c r="N5494" s="362"/>
      <c r="R5494" s="210"/>
      <c r="S5494" s="232"/>
      <c r="T5494" s="270"/>
    </row>
    <row r="5495" spans="14:20" x14ac:dyDescent="0.25">
      <c r="N5495" s="362"/>
      <c r="R5495" s="210"/>
      <c r="S5495" s="232"/>
      <c r="T5495" s="270"/>
    </row>
    <row r="5496" spans="14:20" x14ac:dyDescent="0.25">
      <c r="N5496" s="362"/>
      <c r="R5496" s="210"/>
      <c r="S5496" s="232"/>
      <c r="T5496" s="270"/>
    </row>
    <row r="5497" spans="14:20" x14ac:dyDescent="0.25">
      <c r="N5497" s="362"/>
      <c r="R5497" s="210"/>
      <c r="S5497" s="232"/>
      <c r="T5497" s="270"/>
    </row>
    <row r="5498" spans="14:20" x14ac:dyDescent="0.25">
      <c r="N5498" s="362"/>
      <c r="R5498" s="210"/>
      <c r="S5498" s="232"/>
      <c r="T5498" s="270"/>
    </row>
    <row r="5499" spans="14:20" x14ac:dyDescent="0.25">
      <c r="N5499" s="362"/>
      <c r="R5499" s="210"/>
      <c r="S5499" s="232"/>
      <c r="T5499" s="270"/>
    </row>
    <row r="5500" spans="14:20" x14ac:dyDescent="0.25">
      <c r="N5500" s="362"/>
      <c r="R5500" s="210"/>
      <c r="S5500" s="232"/>
      <c r="T5500" s="270"/>
    </row>
    <row r="5501" spans="14:20" x14ac:dyDescent="0.25">
      <c r="N5501" s="362"/>
      <c r="R5501" s="210"/>
      <c r="S5501" s="232"/>
      <c r="T5501" s="270"/>
    </row>
    <row r="5502" spans="14:20" x14ac:dyDescent="0.25">
      <c r="N5502" s="362"/>
      <c r="R5502" s="210"/>
      <c r="S5502" s="232"/>
      <c r="T5502" s="270"/>
    </row>
    <row r="5503" spans="14:20" x14ac:dyDescent="0.25">
      <c r="N5503" s="362"/>
      <c r="R5503" s="210"/>
      <c r="S5503" s="232"/>
      <c r="T5503" s="270"/>
    </row>
    <row r="5504" spans="14:20" x14ac:dyDescent="0.25">
      <c r="N5504" s="362"/>
      <c r="R5504" s="210"/>
      <c r="S5504" s="232"/>
      <c r="T5504" s="270"/>
    </row>
    <row r="5505" spans="14:20" x14ac:dyDescent="0.25">
      <c r="N5505" s="362"/>
      <c r="R5505" s="210"/>
      <c r="S5505" s="232"/>
      <c r="T5505" s="270"/>
    </row>
    <row r="5506" spans="14:20" x14ac:dyDescent="0.25">
      <c r="N5506" s="362"/>
      <c r="R5506" s="210"/>
      <c r="S5506" s="232"/>
      <c r="T5506" s="270"/>
    </row>
    <row r="5507" spans="14:20" x14ac:dyDescent="0.25">
      <c r="N5507" s="362"/>
      <c r="R5507" s="210"/>
      <c r="S5507" s="232"/>
      <c r="T5507" s="270"/>
    </row>
    <row r="5508" spans="14:20" x14ac:dyDescent="0.25">
      <c r="N5508" s="362"/>
      <c r="R5508" s="210"/>
      <c r="S5508" s="232"/>
      <c r="T5508" s="270"/>
    </row>
    <row r="5509" spans="14:20" x14ac:dyDescent="0.25">
      <c r="N5509" s="362"/>
      <c r="R5509" s="210"/>
      <c r="S5509" s="232"/>
      <c r="T5509" s="270"/>
    </row>
    <row r="5510" spans="14:20" x14ac:dyDescent="0.25">
      <c r="N5510" s="362"/>
      <c r="R5510" s="210"/>
      <c r="S5510" s="232"/>
      <c r="T5510" s="270"/>
    </row>
    <row r="5511" spans="14:20" x14ac:dyDescent="0.25">
      <c r="N5511" s="362"/>
      <c r="R5511" s="210"/>
      <c r="S5511" s="232"/>
      <c r="T5511" s="270"/>
    </row>
    <row r="5512" spans="14:20" x14ac:dyDescent="0.25">
      <c r="N5512" s="362"/>
      <c r="R5512" s="210"/>
      <c r="S5512" s="232"/>
      <c r="T5512" s="270"/>
    </row>
    <row r="5513" spans="14:20" x14ac:dyDescent="0.25">
      <c r="N5513" s="362"/>
      <c r="R5513" s="210"/>
      <c r="S5513" s="232"/>
      <c r="T5513" s="270"/>
    </row>
    <row r="5514" spans="14:20" x14ac:dyDescent="0.25">
      <c r="N5514" s="362"/>
      <c r="R5514" s="210"/>
      <c r="S5514" s="232"/>
      <c r="T5514" s="270"/>
    </row>
    <row r="5515" spans="14:20" x14ac:dyDescent="0.25">
      <c r="N5515" s="362"/>
      <c r="R5515" s="210"/>
      <c r="S5515" s="232"/>
      <c r="T5515" s="270"/>
    </row>
    <row r="5516" spans="14:20" x14ac:dyDescent="0.25">
      <c r="N5516" s="362"/>
      <c r="R5516" s="210"/>
      <c r="S5516" s="232"/>
      <c r="T5516" s="270"/>
    </row>
    <row r="5517" spans="14:20" x14ac:dyDescent="0.25">
      <c r="N5517" s="362"/>
      <c r="R5517" s="210"/>
      <c r="S5517" s="232"/>
      <c r="T5517" s="270"/>
    </row>
    <row r="5518" spans="14:20" x14ac:dyDescent="0.25">
      <c r="N5518" s="362"/>
      <c r="R5518" s="210"/>
      <c r="S5518" s="232"/>
      <c r="T5518" s="270"/>
    </row>
    <row r="5519" spans="14:20" x14ac:dyDescent="0.25">
      <c r="N5519" s="362"/>
      <c r="R5519" s="210"/>
      <c r="S5519" s="232"/>
      <c r="T5519" s="270"/>
    </row>
    <row r="5520" spans="14:20" x14ac:dyDescent="0.25">
      <c r="N5520" s="362"/>
      <c r="R5520" s="210"/>
      <c r="S5520" s="232"/>
      <c r="T5520" s="270"/>
    </row>
    <row r="5521" spans="14:20" x14ac:dyDescent="0.25">
      <c r="N5521" s="362"/>
      <c r="R5521" s="210"/>
      <c r="S5521" s="232"/>
      <c r="T5521" s="270"/>
    </row>
    <row r="5522" spans="14:20" x14ac:dyDescent="0.25">
      <c r="N5522" s="362"/>
      <c r="R5522" s="210"/>
      <c r="S5522" s="232"/>
      <c r="T5522" s="270"/>
    </row>
    <row r="5523" spans="14:20" x14ac:dyDescent="0.25">
      <c r="N5523" s="362"/>
      <c r="R5523" s="210"/>
      <c r="S5523" s="232"/>
      <c r="T5523" s="270"/>
    </row>
    <row r="5524" spans="14:20" x14ac:dyDescent="0.25">
      <c r="N5524" s="362"/>
      <c r="R5524" s="210"/>
      <c r="S5524" s="232"/>
      <c r="T5524" s="270"/>
    </row>
    <row r="5525" spans="14:20" x14ac:dyDescent="0.25">
      <c r="N5525" s="362"/>
      <c r="R5525" s="210"/>
      <c r="S5525" s="232"/>
      <c r="T5525" s="270"/>
    </row>
    <row r="5526" spans="14:20" x14ac:dyDescent="0.25">
      <c r="N5526" s="362"/>
      <c r="R5526" s="210"/>
      <c r="S5526" s="232"/>
      <c r="T5526" s="270"/>
    </row>
    <row r="5527" spans="14:20" x14ac:dyDescent="0.25">
      <c r="N5527" s="362"/>
      <c r="R5527" s="210"/>
      <c r="S5527" s="232"/>
      <c r="T5527" s="270"/>
    </row>
    <row r="5528" spans="14:20" x14ac:dyDescent="0.25">
      <c r="N5528" s="362"/>
      <c r="R5528" s="210"/>
      <c r="S5528" s="232"/>
      <c r="T5528" s="270"/>
    </row>
    <row r="5529" spans="14:20" x14ac:dyDescent="0.25">
      <c r="N5529" s="362"/>
      <c r="R5529" s="210"/>
      <c r="S5529" s="232"/>
      <c r="T5529" s="270"/>
    </row>
    <row r="5530" spans="14:20" x14ac:dyDescent="0.25">
      <c r="N5530" s="362"/>
      <c r="R5530" s="210"/>
      <c r="S5530" s="232"/>
      <c r="T5530" s="270"/>
    </row>
    <row r="5531" spans="14:20" x14ac:dyDescent="0.25">
      <c r="N5531" s="362"/>
      <c r="R5531" s="210"/>
      <c r="S5531" s="232"/>
      <c r="T5531" s="270"/>
    </row>
    <row r="5532" spans="14:20" x14ac:dyDescent="0.25">
      <c r="N5532" s="362"/>
      <c r="R5532" s="210"/>
      <c r="S5532" s="232"/>
      <c r="T5532" s="270"/>
    </row>
    <row r="5533" spans="14:20" x14ac:dyDescent="0.25">
      <c r="N5533" s="362"/>
      <c r="R5533" s="210"/>
      <c r="S5533" s="232"/>
      <c r="T5533" s="270"/>
    </row>
    <row r="5534" spans="14:20" x14ac:dyDescent="0.25">
      <c r="N5534" s="362"/>
      <c r="R5534" s="210"/>
      <c r="S5534" s="232"/>
      <c r="T5534" s="270"/>
    </row>
    <row r="5535" spans="14:20" x14ac:dyDescent="0.25">
      <c r="N5535" s="362"/>
      <c r="R5535" s="210"/>
      <c r="S5535" s="232"/>
      <c r="T5535" s="270"/>
    </row>
    <row r="5536" spans="14:20" x14ac:dyDescent="0.25">
      <c r="N5536" s="362"/>
      <c r="R5536" s="210"/>
      <c r="S5536" s="232"/>
      <c r="T5536" s="270"/>
    </row>
    <row r="5537" spans="14:20" x14ac:dyDescent="0.25">
      <c r="N5537" s="362"/>
      <c r="R5537" s="210"/>
      <c r="S5537" s="232"/>
      <c r="T5537" s="270"/>
    </row>
    <row r="5538" spans="14:20" x14ac:dyDescent="0.25">
      <c r="N5538" s="362"/>
      <c r="R5538" s="210"/>
      <c r="S5538" s="232"/>
      <c r="T5538" s="270"/>
    </row>
    <row r="5539" spans="14:20" x14ac:dyDescent="0.25">
      <c r="N5539" s="362"/>
      <c r="R5539" s="210"/>
      <c r="S5539" s="232"/>
      <c r="T5539" s="270"/>
    </row>
    <row r="5540" spans="14:20" x14ac:dyDescent="0.25">
      <c r="N5540" s="362"/>
      <c r="R5540" s="210"/>
      <c r="S5540" s="232"/>
      <c r="T5540" s="270"/>
    </row>
    <row r="5541" spans="14:20" x14ac:dyDescent="0.25">
      <c r="N5541" s="362"/>
      <c r="R5541" s="210"/>
      <c r="S5541" s="232"/>
      <c r="T5541" s="270"/>
    </row>
    <row r="5542" spans="14:20" x14ac:dyDescent="0.25">
      <c r="N5542" s="362"/>
      <c r="R5542" s="210"/>
      <c r="S5542" s="232"/>
      <c r="T5542" s="270"/>
    </row>
    <row r="5543" spans="14:20" x14ac:dyDescent="0.25">
      <c r="N5543" s="362"/>
      <c r="R5543" s="210"/>
      <c r="S5543" s="232"/>
      <c r="T5543" s="270"/>
    </row>
    <row r="5544" spans="14:20" x14ac:dyDescent="0.25">
      <c r="N5544" s="362"/>
      <c r="R5544" s="210"/>
      <c r="S5544" s="232"/>
      <c r="T5544" s="270"/>
    </row>
    <row r="5545" spans="14:20" x14ac:dyDescent="0.25">
      <c r="N5545" s="362"/>
      <c r="R5545" s="210"/>
      <c r="S5545" s="232"/>
      <c r="T5545" s="270"/>
    </row>
    <row r="5546" spans="14:20" x14ac:dyDescent="0.25">
      <c r="N5546" s="362"/>
      <c r="R5546" s="210"/>
      <c r="S5546" s="232"/>
      <c r="T5546" s="270"/>
    </row>
    <row r="5547" spans="14:20" x14ac:dyDescent="0.25">
      <c r="N5547" s="362"/>
      <c r="R5547" s="210"/>
      <c r="S5547" s="232"/>
      <c r="T5547" s="270"/>
    </row>
    <row r="5548" spans="14:20" x14ac:dyDescent="0.25">
      <c r="N5548" s="362"/>
      <c r="R5548" s="210"/>
      <c r="S5548" s="232"/>
      <c r="T5548" s="270"/>
    </row>
    <row r="5549" spans="14:20" x14ac:dyDescent="0.25">
      <c r="N5549" s="362"/>
      <c r="R5549" s="210"/>
      <c r="S5549" s="232"/>
      <c r="T5549" s="270"/>
    </row>
    <row r="5550" spans="14:20" x14ac:dyDescent="0.25">
      <c r="N5550" s="362"/>
      <c r="R5550" s="210"/>
      <c r="S5550" s="232"/>
      <c r="T5550" s="270"/>
    </row>
    <row r="5551" spans="14:20" x14ac:dyDescent="0.25">
      <c r="N5551" s="362"/>
      <c r="R5551" s="210"/>
      <c r="S5551" s="232"/>
      <c r="T5551" s="270"/>
    </row>
    <row r="5552" spans="14:20" x14ac:dyDescent="0.25">
      <c r="N5552" s="362"/>
      <c r="R5552" s="210"/>
      <c r="S5552" s="232"/>
      <c r="T5552" s="270"/>
    </row>
    <row r="5553" spans="14:20" x14ac:dyDescent="0.25">
      <c r="N5553" s="362"/>
      <c r="R5553" s="210"/>
      <c r="S5553" s="232"/>
      <c r="T5553" s="270"/>
    </row>
    <row r="5554" spans="14:20" x14ac:dyDescent="0.25">
      <c r="N5554" s="362"/>
      <c r="R5554" s="210"/>
      <c r="S5554" s="232"/>
      <c r="T5554" s="270"/>
    </row>
    <row r="5555" spans="14:20" x14ac:dyDescent="0.25">
      <c r="N5555" s="362"/>
      <c r="R5555" s="210"/>
      <c r="S5555" s="232"/>
      <c r="T5555" s="270"/>
    </row>
    <row r="5556" spans="14:20" x14ac:dyDescent="0.25">
      <c r="N5556" s="362"/>
      <c r="R5556" s="210"/>
      <c r="S5556" s="232"/>
      <c r="T5556" s="270"/>
    </row>
    <row r="5557" spans="14:20" x14ac:dyDescent="0.25">
      <c r="N5557" s="362"/>
      <c r="R5557" s="210"/>
      <c r="S5557" s="232"/>
      <c r="T5557" s="270"/>
    </row>
    <row r="5558" spans="14:20" x14ac:dyDescent="0.25">
      <c r="N5558" s="362"/>
      <c r="R5558" s="210"/>
      <c r="S5558" s="232"/>
      <c r="T5558" s="270"/>
    </row>
    <row r="5559" spans="14:20" x14ac:dyDescent="0.25">
      <c r="N5559" s="362"/>
      <c r="R5559" s="210"/>
      <c r="S5559" s="232"/>
      <c r="T5559" s="270"/>
    </row>
    <row r="5560" spans="14:20" x14ac:dyDescent="0.25">
      <c r="N5560" s="362"/>
      <c r="R5560" s="210"/>
      <c r="S5560" s="232"/>
      <c r="T5560" s="270"/>
    </row>
    <row r="5561" spans="14:20" x14ac:dyDescent="0.25">
      <c r="N5561" s="362"/>
      <c r="R5561" s="210"/>
      <c r="S5561" s="232"/>
      <c r="T5561" s="270"/>
    </row>
    <row r="5562" spans="14:20" x14ac:dyDescent="0.25">
      <c r="N5562" s="362"/>
      <c r="R5562" s="210"/>
      <c r="S5562" s="232"/>
      <c r="T5562" s="270"/>
    </row>
    <row r="5563" spans="14:20" x14ac:dyDescent="0.25">
      <c r="N5563" s="362"/>
      <c r="R5563" s="210"/>
      <c r="S5563" s="232"/>
      <c r="T5563" s="270"/>
    </row>
    <row r="5564" spans="14:20" x14ac:dyDescent="0.25">
      <c r="N5564" s="362"/>
      <c r="R5564" s="210"/>
      <c r="S5564" s="232"/>
      <c r="T5564" s="270"/>
    </row>
    <row r="5565" spans="14:20" x14ac:dyDescent="0.25">
      <c r="N5565" s="362"/>
      <c r="R5565" s="210"/>
      <c r="S5565" s="232"/>
      <c r="T5565" s="270"/>
    </row>
    <row r="5566" spans="14:20" x14ac:dyDescent="0.25">
      <c r="N5566" s="362"/>
      <c r="R5566" s="210"/>
      <c r="S5566" s="232"/>
      <c r="T5566" s="270"/>
    </row>
    <row r="5567" spans="14:20" x14ac:dyDescent="0.25">
      <c r="N5567" s="362"/>
      <c r="R5567" s="210"/>
      <c r="S5567" s="232"/>
      <c r="T5567" s="270"/>
    </row>
    <row r="5568" spans="14:20" x14ac:dyDescent="0.25">
      <c r="N5568" s="362"/>
      <c r="R5568" s="210"/>
      <c r="S5568" s="232"/>
      <c r="T5568" s="270"/>
    </row>
    <row r="5569" spans="14:20" x14ac:dyDescent="0.25">
      <c r="N5569" s="362"/>
      <c r="R5569" s="210"/>
      <c r="S5569" s="232"/>
      <c r="T5569" s="270"/>
    </row>
    <row r="5570" spans="14:20" x14ac:dyDescent="0.25">
      <c r="N5570" s="362"/>
      <c r="R5570" s="210"/>
      <c r="S5570" s="232"/>
      <c r="T5570" s="270"/>
    </row>
    <row r="5571" spans="14:20" x14ac:dyDescent="0.25">
      <c r="N5571" s="362"/>
      <c r="R5571" s="210"/>
      <c r="S5571" s="232"/>
      <c r="T5571" s="270"/>
    </row>
    <row r="5572" spans="14:20" x14ac:dyDescent="0.25">
      <c r="N5572" s="362"/>
      <c r="R5572" s="210"/>
      <c r="S5572" s="232"/>
      <c r="T5572" s="270"/>
    </row>
    <row r="5573" spans="14:20" x14ac:dyDescent="0.25">
      <c r="N5573" s="362"/>
      <c r="R5573" s="210"/>
      <c r="S5573" s="232"/>
      <c r="T5573" s="270"/>
    </row>
    <row r="5574" spans="14:20" x14ac:dyDescent="0.25">
      <c r="N5574" s="362"/>
      <c r="R5574" s="210"/>
      <c r="S5574" s="232"/>
      <c r="T5574" s="270"/>
    </row>
    <row r="5575" spans="14:20" x14ac:dyDescent="0.25">
      <c r="N5575" s="362"/>
      <c r="R5575" s="210"/>
      <c r="S5575" s="232"/>
      <c r="T5575" s="270"/>
    </row>
    <row r="5576" spans="14:20" x14ac:dyDescent="0.25">
      <c r="N5576" s="362"/>
      <c r="R5576" s="210"/>
      <c r="S5576" s="232"/>
      <c r="T5576" s="270"/>
    </row>
    <row r="5577" spans="14:20" x14ac:dyDescent="0.25">
      <c r="N5577" s="362"/>
      <c r="R5577" s="210"/>
      <c r="S5577" s="232"/>
      <c r="T5577" s="270"/>
    </row>
    <row r="5578" spans="14:20" x14ac:dyDescent="0.25">
      <c r="N5578" s="362"/>
      <c r="R5578" s="210"/>
      <c r="S5578" s="232"/>
      <c r="T5578" s="270"/>
    </row>
    <row r="5579" spans="14:20" x14ac:dyDescent="0.25">
      <c r="N5579" s="362"/>
      <c r="R5579" s="210"/>
      <c r="S5579" s="232"/>
      <c r="T5579" s="270"/>
    </row>
    <row r="5580" spans="14:20" x14ac:dyDescent="0.25">
      <c r="N5580" s="362"/>
      <c r="R5580" s="210"/>
      <c r="S5580" s="232"/>
      <c r="T5580" s="270"/>
    </row>
    <row r="5581" spans="14:20" x14ac:dyDescent="0.25">
      <c r="N5581" s="362"/>
      <c r="R5581" s="210"/>
      <c r="S5581" s="232"/>
      <c r="T5581" s="270"/>
    </row>
    <row r="5582" spans="14:20" x14ac:dyDescent="0.25">
      <c r="N5582" s="362"/>
      <c r="R5582" s="210"/>
      <c r="S5582" s="232"/>
      <c r="T5582" s="270"/>
    </row>
    <row r="5583" spans="14:20" x14ac:dyDescent="0.25">
      <c r="N5583" s="362"/>
      <c r="R5583" s="210"/>
      <c r="S5583" s="232"/>
      <c r="T5583" s="270"/>
    </row>
    <row r="5584" spans="14:20" x14ac:dyDescent="0.25">
      <c r="N5584" s="362"/>
      <c r="R5584" s="210"/>
      <c r="S5584" s="232"/>
      <c r="T5584" s="270"/>
    </row>
    <row r="5585" spans="14:20" x14ac:dyDescent="0.25">
      <c r="N5585" s="362"/>
      <c r="R5585" s="210"/>
      <c r="S5585" s="232"/>
      <c r="T5585" s="270"/>
    </row>
    <row r="5586" spans="14:20" x14ac:dyDescent="0.25">
      <c r="N5586" s="362"/>
      <c r="R5586" s="210"/>
      <c r="S5586" s="232"/>
      <c r="T5586" s="270"/>
    </row>
    <row r="5587" spans="14:20" x14ac:dyDescent="0.25">
      <c r="N5587" s="362"/>
      <c r="R5587" s="210"/>
      <c r="S5587" s="232"/>
      <c r="T5587" s="270"/>
    </row>
    <row r="5588" spans="14:20" x14ac:dyDescent="0.25">
      <c r="N5588" s="362"/>
      <c r="R5588" s="210"/>
      <c r="S5588" s="232"/>
      <c r="T5588" s="270"/>
    </row>
    <row r="5589" spans="14:20" x14ac:dyDescent="0.25">
      <c r="N5589" s="362"/>
      <c r="R5589" s="210"/>
      <c r="S5589" s="232"/>
      <c r="T5589" s="270"/>
    </row>
    <row r="5590" spans="14:20" x14ac:dyDescent="0.25">
      <c r="N5590" s="362"/>
      <c r="R5590" s="210"/>
      <c r="S5590" s="232"/>
      <c r="T5590" s="270"/>
    </row>
    <row r="5591" spans="14:20" x14ac:dyDescent="0.25">
      <c r="N5591" s="362"/>
      <c r="R5591" s="210"/>
      <c r="S5591" s="232"/>
      <c r="T5591" s="270"/>
    </row>
    <row r="5592" spans="14:20" x14ac:dyDescent="0.25">
      <c r="N5592" s="362"/>
      <c r="R5592" s="210"/>
      <c r="S5592" s="232"/>
      <c r="T5592" s="270"/>
    </row>
    <row r="5593" spans="14:20" x14ac:dyDescent="0.25">
      <c r="N5593" s="362"/>
      <c r="R5593" s="210"/>
      <c r="S5593" s="232"/>
      <c r="T5593" s="270"/>
    </row>
    <row r="5594" spans="14:20" x14ac:dyDescent="0.25">
      <c r="N5594" s="362"/>
      <c r="R5594" s="210"/>
      <c r="S5594" s="232"/>
      <c r="T5594" s="270"/>
    </row>
    <row r="5595" spans="14:20" x14ac:dyDescent="0.25">
      <c r="N5595" s="362"/>
      <c r="R5595" s="210"/>
      <c r="S5595" s="232"/>
      <c r="T5595" s="270"/>
    </row>
    <row r="5596" spans="14:20" x14ac:dyDescent="0.25">
      <c r="N5596" s="362"/>
      <c r="R5596" s="210"/>
      <c r="S5596" s="232"/>
      <c r="T5596" s="270"/>
    </row>
    <row r="5597" spans="14:20" x14ac:dyDescent="0.25">
      <c r="N5597" s="362"/>
      <c r="R5597" s="210"/>
      <c r="S5597" s="232"/>
      <c r="T5597" s="270"/>
    </row>
    <row r="5598" spans="14:20" x14ac:dyDescent="0.25">
      <c r="N5598" s="362"/>
      <c r="R5598" s="210"/>
      <c r="S5598" s="232"/>
      <c r="T5598" s="270"/>
    </row>
    <row r="5599" spans="14:20" x14ac:dyDescent="0.25">
      <c r="N5599" s="362"/>
      <c r="R5599" s="210"/>
      <c r="S5599" s="232"/>
      <c r="T5599" s="270"/>
    </row>
    <row r="5600" spans="14:20" x14ac:dyDescent="0.25">
      <c r="N5600" s="362"/>
      <c r="R5600" s="210"/>
      <c r="S5600" s="232"/>
      <c r="T5600" s="270"/>
    </row>
    <row r="5601" spans="14:20" x14ac:dyDescent="0.25">
      <c r="N5601" s="362"/>
      <c r="R5601" s="210"/>
      <c r="S5601" s="232"/>
      <c r="T5601" s="270"/>
    </row>
    <row r="5602" spans="14:20" x14ac:dyDescent="0.25">
      <c r="N5602" s="362"/>
      <c r="R5602" s="210"/>
      <c r="S5602" s="232"/>
      <c r="T5602" s="270"/>
    </row>
    <row r="5603" spans="14:20" x14ac:dyDescent="0.25">
      <c r="N5603" s="362"/>
      <c r="R5603" s="210"/>
      <c r="S5603" s="232"/>
      <c r="T5603" s="270"/>
    </row>
    <row r="5604" spans="14:20" x14ac:dyDescent="0.25">
      <c r="N5604" s="362"/>
      <c r="R5604" s="210"/>
      <c r="S5604" s="232"/>
      <c r="T5604" s="270"/>
    </row>
    <row r="5605" spans="14:20" x14ac:dyDescent="0.25">
      <c r="N5605" s="362"/>
      <c r="R5605" s="210"/>
      <c r="S5605" s="232"/>
      <c r="T5605" s="270"/>
    </row>
    <row r="5606" spans="14:20" x14ac:dyDescent="0.25">
      <c r="N5606" s="362"/>
      <c r="R5606" s="210"/>
      <c r="S5606" s="232"/>
      <c r="T5606" s="270"/>
    </row>
    <row r="5607" spans="14:20" x14ac:dyDescent="0.25">
      <c r="N5607" s="362"/>
      <c r="R5607" s="210"/>
      <c r="S5607" s="232"/>
      <c r="T5607" s="270"/>
    </row>
    <row r="5608" spans="14:20" x14ac:dyDescent="0.25">
      <c r="N5608" s="362"/>
      <c r="R5608" s="210"/>
      <c r="S5608" s="232"/>
      <c r="T5608" s="270"/>
    </row>
    <row r="5609" spans="14:20" x14ac:dyDescent="0.25">
      <c r="N5609" s="362"/>
      <c r="R5609" s="210"/>
      <c r="S5609" s="232"/>
      <c r="T5609" s="270"/>
    </row>
    <row r="5610" spans="14:20" x14ac:dyDescent="0.25">
      <c r="N5610" s="362"/>
      <c r="R5610" s="210"/>
      <c r="S5610" s="232"/>
      <c r="T5610" s="270"/>
    </row>
    <row r="5611" spans="14:20" x14ac:dyDescent="0.25">
      <c r="N5611" s="362"/>
      <c r="R5611" s="210"/>
      <c r="S5611" s="232"/>
      <c r="T5611" s="270"/>
    </row>
    <row r="5612" spans="14:20" x14ac:dyDescent="0.25">
      <c r="N5612" s="362"/>
      <c r="R5612" s="210"/>
      <c r="S5612" s="232"/>
      <c r="T5612" s="270"/>
    </row>
    <row r="5613" spans="14:20" x14ac:dyDescent="0.25">
      <c r="N5613" s="362"/>
      <c r="R5613" s="210"/>
      <c r="S5613" s="232"/>
      <c r="T5613" s="270"/>
    </row>
    <row r="5614" spans="14:20" x14ac:dyDescent="0.25">
      <c r="N5614" s="362"/>
      <c r="R5614" s="210"/>
      <c r="S5614" s="232"/>
      <c r="T5614" s="270"/>
    </row>
    <row r="5615" spans="14:20" x14ac:dyDescent="0.25">
      <c r="N5615" s="362"/>
      <c r="R5615" s="210"/>
      <c r="S5615" s="232"/>
      <c r="T5615" s="270"/>
    </row>
    <row r="5616" spans="14:20" x14ac:dyDescent="0.25">
      <c r="N5616" s="362"/>
      <c r="R5616" s="210"/>
      <c r="S5616" s="232"/>
      <c r="T5616" s="270"/>
    </row>
    <row r="5617" spans="14:20" x14ac:dyDescent="0.25">
      <c r="N5617" s="362"/>
      <c r="R5617" s="210"/>
      <c r="S5617" s="232"/>
      <c r="T5617" s="270"/>
    </row>
    <row r="5618" spans="14:20" x14ac:dyDescent="0.25">
      <c r="N5618" s="362"/>
      <c r="R5618" s="210"/>
      <c r="S5618" s="232"/>
      <c r="T5618" s="270"/>
    </row>
    <row r="5619" spans="14:20" x14ac:dyDescent="0.25">
      <c r="N5619" s="362"/>
      <c r="R5619" s="210"/>
      <c r="S5619" s="232"/>
      <c r="T5619" s="270"/>
    </row>
    <row r="5620" spans="14:20" x14ac:dyDescent="0.25">
      <c r="N5620" s="362"/>
      <c r="R5620" s="210"/>
      <c r="S5620" s="232"/>
      <c r="T5620" s="270"/>
    </row>
    <row r="5621" spans="14:20" x14ac:dyDescent="0.25">
      <c r="N5621" s="362"/>
      <c r="R5621" s="210"/>
      <c r="S5621" s="232"/>
      <c r="T5621" s="270"/>
    </row>
    <row r="5622" spans="14:20" x14ac:dyDescent="0.25">
      <c r="N5622" s="362"/>
      <c r="R5622" s="210"/>
      <c r="S5622" s="232"/>
      <c r="T5622" s="270"/>
    </row>
    <row r="5623" spans="14:20" x14ac:dyDescent="0.25">
      <c r="N5623" s="362"/>
      <c r="R5623" s="210"/>
      <c r="S5623" s="232"/>
      <c r="T5623" s="270"/>
    </row>
    <row r="5624" spans="14:20" x14ac:dyDescent="0.25">
      <c r="N5624" s="362"/>
      <c r="R5624" s="210"/>
      <c r="S5624" s="232"/>
      <c r="T5624" s="270"/>
    </row>
    <row r="5625" spans="14:20" x14ac:dyDescent="0.25">
      <c r="N5625" s="362"/>
      <c r="R5625" s="210"/>
      <c r="S5625" s="232"/>
      <c r="T5625" s="270"/>
    </row>
    <row r="5626" spans="14:20" x14ac:dyDescent="0.25">
      <c r="N5626" s="362"/>
      <c r="R5626" s="210"/>
      <c r="S5626" s="232"/>
      <c r="T5626" s="270"/>
    </row>
    <row r="5627" spans="14:20" x14ac:dyDescent="0.25">
      <c r="N5627" s="362"/>
      <c r="R5627" s="210"/>
      <c r="S5627" s="232"/>
      <c r="T5627" s="270"/>
    </row>
    <row r="5628" spans="14:20" x14ac:dyDescent="0.25">
      <c r="N5628" s="362"/>
      <c r="R5628" s="210"/>
      <c r="S5628" s="232"/>
      <c r="T5628" s="270"/>
    </row>
    <row r="5629" spans="14:20" x14ac:dyDescent="0.25">
      <c r="N5629" s="362"/>
      <c r="R5629" s="210"/>
      <c r="S5629" s="232"/>
      <c r="T5629" s="270"/>
    </row>
    <row r="5630" spans="14:20" x14ac:dyDescent="0.25">
      <c r="N5630" s="362"/>
      <c r="R5630" s="210"/>
      <c r="S5630" s="232"/>
      <c r="T5630" s="270"/>
    </row>
    <row r="5631" spans="14:20" x14ac:dyDescent="0.25">
      <c r="N5631" s="362"/>
      <c r="R5631" s="210"/>
      <c r="S5631" s="232"/>
      <c r="T5631" s="270"/>
    </row>
    <row r="5632" spans="14:20" x14ac:dyDescent="0.25">
      <c r="N5632" s="362"/>
      <c r="R5632" s="210"/>
      <c r="S5632" s="232"/>
      <c r="T5632" s="270"/>
    </row>
    <row r="5633" spans="14:20" x14ac:dyDescent="0.25">
      <c r="N5633" s="362"/>
      <c r="R5633" s="210"/>
      <c r="S5633" s="232"/>
      <c r="T5633" s="270"/>
    </row>
    <row r="5634" spans="14:20" x14ac:dyDescent="0.25">
      <c r="N5634" s="362"/>
      <c r="R5634" s="210"/>
      <c r="S5634" s="232"/>
      <c r="T5634" s="270"/>
    </row>
    <row r="5635" spans="14:20" x14ac:dyDescent="0.25">
      <c r="N5635" s="362"/>
      <c r="R5635" s="210"/>
      <c r="S5635" s="232"/>
      <c r="T5635" s="270"/>
    </row>
    <row r="5636" spans="14:20" x14ac:dyDescent="0.25">
      <c r="N5636" s="362"/>
      <c r="R5636" s="210"/>
      <c r="S5636" s="232"/>
      <c r="T5636" s="270"/>
    </row>
    <row r="5637" spans="14:20" x14ac:dyDescent="0.25">
      <c r="N5637" s="362"/>
      <c r="R5637" s="210"/>
      <c r="S5637" s="232"/>
      <c r="T5637" s="270"/>
    </row>
    <row r="5638" spans="14:20" x14ac:dyDescent="0.25">
      <c r="N5638" s="362"/>
      <c r="R5638" s="210"/>
      <c r="S5638" s="232"/>
      <c r="T5638" s="270"/>
    </row>
    <row r="5639" spans="14:20" x14ac:dyDescent="0.25">
      <c r="N5639" s="362"/>
      <c r="R5639" s="210"/>
      <c r="S5639" s="232"/>
      <c r="T5639" s="270"/>
    </row>
    <row r="5640" spans="14:20" x14ac:dyDescent="0.25">
      <c r="N5640" s="362"/>
      <c r="R5640" s="210"/>
      <c r="S5640" s="232"/>
      <c r="T5640" s="270"/>
    </row>
    <row r="5641" spans="14:20" x14ac:dyDescent="0.25">
      <c r="N5641" s="362"/>
      <c r="R5641" s="210"/>
      <c r="S5641" s="232"/>
      <c r="T5641" s="270"/>
    </row>
    <row r="5642" spans="14:20" x14ac:dyDescent="0.25">
      <c r="N5642" s="362"/>
      <c r="R5642" s="210"/>
      <c r="S5642" s="232"/>
      <c r="T5642" s="270"/>
    </row>
    <row r="5643" spans="14:20" x14ac:dyDescent="0.25">
      <c r="N5643" s="362"/>
      <c r="R5643" s="210"/>
      <c r="S5643" s="232"/>
      <c r="T5643" s="270"/>
    </row>
    <row r="5644" spans="14:20" x14ac:dyDescent="0.25">
      <c r="N5644" s="362"/>
      <c r="R5644" s="210"/>
      <c r="S5644" s="232"/>
      <c r="T5644" s="270"/>
    </row>
    <row r="5645" spans="14:20" x14ac:dyDescent="0.25">
      <c r="N5645" s="362"/>
      <c r="R5645" s="210"/>
      <c r="S5645" s="232"/>
      <c r="T5645" s="270"/>
    </row>
    <row r="5646" spans="14:20" x14ac:dyDescent="0.25">
      <c r="N5646" s="362"/>
      <c r="R5646" s="210"/>
      <c r="S5646" s="232"/>
      <c r="T5646" s="270"/>
    </row>
    <row r="5647" spans="14:20" x14ac:dyDescent="0.25">
      <c r="N5647" s="362"/>
      <c r="R5647" s="210"/>
      <c r="S5647" s="232"/>
      <c r="T5647" s="270"/>
    </row>
    <row r="5648" spans="14:20" x14ac:dyDescent="0.25">
      <c r="N5648" s="362"/>
      <c r="R5648" s="210"/>
      <c r="S5648" s="232"/>
      <c r="T5648" s="270"/>
    </row>
    <row r="5649" spans="14:20" x14ac:dyDescent="0.25">
      <c r="N5649" s="362"/>
      <c r="R5649" s="210"/>
      <c r="S5649" s="232"/>
      <c r="T5649" s="270"/>
    </row>
    <row r="5650" spans="14:20" x14ac:dyDescent="0.25">
      <c r="N5650" s="362"/>
      <c r="R5650" s="210"/>
      <c r="S5650" s="232"/>
      <c r="T5650" s="270"/>
    </row>
    <row r="5651" spans="14:20" x14ac:dyDescent="0.25">
      <c r="N5651" s="362"/>
      <c r="R5651" s="210"/>
      <c r="S5651" s="232"/>
      <c r="T5651" s="270"/>
    </row>
    <row r="5652" spans="14:20" x14ac:dyDescent="0.25">
      <c r="N5652" s="362"/>
      <c r="R5652" s="210"/>
      <c r="S5652" s="232"/>
      <c r="T5652" s="270"/>
    </row>
    <row r="5653" spans="14:20" x14ac:dyDescent="0.25">
      <c r="N5653" s="362"/>
      <c r="R5653" s="210"/>
      <c r="S5653" s="232"/>
      <c r="T5653" s="270"/>
    </row>
    <row r="5654" spans="14:20" x14ac:dyDescent="0.25">
      <c r="N5654" s="362"/>
      <c r="R5654" s="210"/>
      <c r="S5654" s="232"/>
      <c r="T5654" s="270"/>
    </row>
    <row r="5655" spans="14:20" x14ac:dyDescent="0.25">
      <c r="N5655" s="362"/>
      <c r="R5655" s="210"/>
      <c r="S5655" s="232"/>
      <c r="T5655" s="270"/>
    </row>
    <row r="5656" spans="14:20" x14ac:dyDescent="0.25">
      <c r="N5656" s="362"/>
      <c r="R5656" s="210"/>
      <c r="S5656" s="232"/>
      <c r="T5656" s="270"/>
    </row>
    <row r="5657" spans="14:20" x14ac:dyDescent="0.25">
      <c r="N5657" s="362"/>
      <c r="R5657" s="210"/>
      <c r="S5657" s="232"/>
      <c r="T5657" s="270"/>
    </row>
    <row r="5658" spans="14:20" x14ac:dyDescent="0.25">
      <c r="N5658" s="362"/>
      <c r="R5658" s="210"/>
      <c r="S5658" s="232"/>
      <c r="T5658" s="270"/>
    </row>
    <row r="5659" spans="14:20" x14ac:dyDescent="0.25">
      <c r="N5659" s="362"/>
      <c r="R5659" s="210"/>
      <c r="S5659" s="232"/>
      <c r="T5659" s="270"/>
    </row>
    <row r="5660" spans="14:20" x14ac:dyDescent="0.25">
      <c r="N5660" s="362"/>
      <c r="R5660" s="210"/>
      <c r="S5660" s="232"/>
      <c r="T5660" s="270"/>
    </row>
    <row r="5661" spans="14:20" x14ac:dyDescent="0.25">
      <c r="N5661" s="362"/>
      <c r="R5661" s="210"/>
      <c r="S5661" s="232"/>
      <c r="T5661" s="270"/>
    </row>
    <row r="5662" spans="14:20" x14ac:dyDescent="0.25">
      <c r="N5662" s="362"/>
      <c r="R5662" s="210"/>
      <c r="S5662" s="232"/>
      <c r="T5662" s="270"/>
    </row>
    <row r="5663" spans="14:20" x14ac:dyDescent="0.25">
      <c r="N5663" s="362"/>
      <c r="R5663" s="210"/>
      <c r="S5663" s="232"/>
      <c r="T5663" s="270"/>
    </row>
    <row r="5664" spans="14:20" x14ac:dyDescent="0.25">
      <c r="N5664" s="362"/>
      <c r="R5664" s="210"/>
      <c r="S5664" s="232"/>
      <c r="T5664" s="270"/>
    </row>
    <row r="5665" spans="14:20" x14ac:dyDescent="0.25">
      <c r="N5665" s="362"/>
      <c r="R5665" s="210"/>
      <c r="S5665" s="232"/>
      <c r="T5665" s="270"/>
    </row>
    <row r="5666" spans="14:20" x14ac:dyDescent="0.25">
      <c r="N5666" s="362"/>
      <c r="R5666" s="210"/>
      <c r="S5666" s="232"/>
      <c r="T5666" s="270"/>
    </row>
    <row r="5667" spans="14:20" x14ac:dyDescent="0.25">
      <c r="N5667" s="362"/>
      <c r="R5667" s="210"/>
      <c r="S5667" s="232"/>
      <c r="T5667" s="270"/>
    </row>
    <row r="5668" spans="14:20" x14ac:dyDescent="0.25">
      <c r="N5668" s="362"/>
      <c r="R5668" s="210"/>
      <c r="S5668" s="232"/>
      <c r="T5668" s="270"/>
    </row>
    <row r="5669" spans="14:20" x14ac:dyDescent="0.25">
      <c r="N5669" s="362"/>
      <c r="R5669" s="210"/>
      <c r="S5669" s="232"/>
      <c r="T5669" s="270"/>
    </row>
    <row r="5670" spans="14:20" x14ac:dyDescent="0.25">
      <c r="N5670" s="362"/>
      <c r="R5670" s="210"/>
      <c r="S5670" s="232"/>
      <c r="T5670" s="270"/>
    </row>
    <row r="5671" spans="14:20" x14ac:dyDescent="0.25">
      <c r="N5671" s="362"/>
      <c r="R5671" s="210"/>
      <c r="S5671" s="232"/>
      <c r="T5671" s="270"/>
    </row>
    <row r="5672" spans="14:20" x14ac:dyDescent="0.25">
      <c r="N5672" s="362"/>
      <c r="R5672" s="210"/>
      <c r="S5672" s="232"/>
      <c r="T5672" s="270"/>
    </row>
    <row r="5673" spans="14:20" x14ac:dyDescent="0.25">
      <c r="N5673" s="362"/>
      <c r="R5673" s="210"/>
      <c r="S5673" s="232"/>
      <c r="T5673" s="270"/>
    </row>
    <row r="5674" spans="14:20" x14ac:dyDescent="0.25">
      <c r="N5674" s="362"/>
      <c r="R5674" s="210"/>
      <c r="S5674" s="232"/>
      <c r="T5674" s="270"/>
    </row>
    <row r="5675" spans="14:20" x14ac:dyDescent="0.25">
      <c r="N5675" s="362"/>
      <c r="R5675" s="210"/>
      <c r="S5675" s="232"/>
      <c r="T5675" s="270"/>
    </row>
    <row r="5676" spans="14:20" x14ac:dyDescent="0.25">
      <c r="N5676" s="362"/>
      <c r="R5676" s="210"/>
      <c r="S5676" s="232"/>
      <c r="T5676" s="270"/>
    </row>
    <row r="5677" spans="14:20" x14ac:dyDescent="0.25">
      <c r="N5677" s="362"/>
      <c r="R5677" s="210"/>
      <c r="S5677" s="232"/>
      <c r="T5677" s="270"/>
    </row>
    <row r="5678" spans="14:20" x14ac:dyDescent="0.25">
      <c r="N5678" s="362"/>
      <c r="R5678" s="210"/>
      <c r="S5678" s="232"/>
      <c r="T5678" s="270"/>
    </row>
    <row r="5679" spans="14:20" x14ac:dyDescent="0.25">
      <c r="N5679" s="362"/>
      <c r="R5679" s="210"/>
      <c r="S5679" s="232"/>
      <c r="T5679" s="270"/>
    </row>
    <row r="5680" spans="14:20" x14ac:dyDescent="0.25">
      <c r="N5680" s="362"/>
      <c r="R5680" s="210"/>
      <c r="S5680" s="232"/>
      <c r="T5680" s="270"/>
    </row>
    <row r="5681" spans="14:20" x14ac:dyDescent="0.25">
      <c r="N5681" s="362"/>
      <c r="R5681" s="210"/>
      <c r="S5681" s="232"/>
      <c r="T5681" s="270"/>
    </row>
    <row r="5682" spans="14:20" x14ac:dyDescent="0.25">
      <c r="N5682" s="362"/>
      <c r="R5682" s="210"/>
      <c r="S5682" s="232"/>
      <c r="T5682" s="270"/>
    </row>
    <row r="5683" spans="14:20" x14ac:dyDescent="0.25">
      <c r="N5683" s="362"/>
      <c r="R5683" s="210"/>
      <c r="S5683" s="232"/>
      <c r="T5683" s="270"/>
    </row>
    <row r="5684" spans="14:20" x14ac:dyDescent="0.25">
      <c r="N5684" s="362"/>
      <c r="R5684" s="210"/>
      <c r="S5684" s="232"/>
      <c r="T5684" s="270"/>
    </row>
    <row r="5685" spans="14:20" x14ac:dyDescent="0.25">
      <c r="N5685" s="362"/>
      <c r="R5685" s="210"/>
      <c r="S5685" s="232"/>
      <c r="T5685" s="270"/>
    </row>
    <row r="5686" spans="14:20" x14ac:dyDescent="0.25">
      <c r="N5686" s="362"/>
      <c r="R5686" s="210"/>
      <c r="S5686" s="232"/>
      <c r="T5686" s="270"/>
    </row>
    <row r="5687" spans="14:20" x14ac:dyDescent="0.25">
      <c r="N5687" s="362"/>
      <c r="R5687" s="210"/>
      <c r="S5687" s="232"/>
      <c r="T5687" s="270"/>
    </row>
    <row r="5688" spans="14:20" x14ac:dyDescent="0.25">
      <c r="N5688" s="362"/>
      <c r="R5688" s="210"/>
      <c r="S5688" s="232"/>
      <c r="T5688" s="270"/>
    </row>
    <row r="5689" spans="14:20" x14ac:dyDescent="0.25">
      <c r="N5689" s="362"/>
      <c r="R5689" s="210"/>
      <c r="S5689" s="232"/>
      <c r="T5689" s="270"/>
    </row>
    <row r="5690" spans="14:20" x14ac:dyDescent="0.25">
      <c r="N5690" s="362"/>
      <c r="R5690" s="210"/>
      <c r="S5690" s="232"/>
      <c r="T5690" s="270"/>
    </row>
    <row r="5691" spans="14:20" x14ac:dyDescent="0.25">
      <c r="N5691" s="362"/>
      <c r="R5691" s="210"/>
      <c r="S5691" s="232"/>
      <c r="T5691" s="270"/>
    </row>
    <row r="5692" spans="14:20" x14ac:dyDescent="0.25">
      <c r="N5692" s="362"/>
      <c r="R5692" s="210"/>
      <c r="S5692" s="232"/>
      <c r="T5692" s="270"/>
    </row>
    <row r="5693" spans="14:20" x14ac:dyDescent="0.25">
      <c r="N5693" s="362"/>
      <c r="R5693" s="210"/>
      <c r="S5693" s="232"/>
      <c r="T5693" s="270"/>
    </row>
    <row r="5694" spans="14:20" x14ac:dyDescent="0.25">
      <c r="N5694" s="362"/>
      <c r="R5694" s="210"/>
      <c r="S5694" s="232"/>
      <c r="T5694" s="270"/>
    </row>
    <row r="5695" spans="14:20" x14ac:dyDescent="0.25">
      <c r="N5695" s="362"/>
      <c r="R5695" s="210"/>
      <c r="S5695" s="232"/>
      <c r="T5695" s="270"/>
    </row>
    <row r="5696" spans="14:20" x14ac:dyDescent="0.25">
      <c r="N5696" s="362"/>
      <c r="R5696" s="210"/>
      <c r="S5696" s="232"/>
      <c r="T5696" s="270"/>
    </row>
    <row r="5697" spans="14:20" x14ac:dyDescent="0.25">
      <c r="N5697" s="362"/>
      <c r="R5697" s="210"/>
      <c r="S5697" s="232"/>
      <c r="T5697" s="270"/>
    </row>
    <row r="5698" spans="14:20" x14ac:dyDescent="0.25">
      <c r="N5698" s="362"/>
      <c r="R5698" s="210"/>
      <c r="S5698" s="232"/>
      <c r="T5698" s="270"/>
    </row>
    <row r="5699" spans="14:20" x14ac:dyDescent="0.25">
      <c r="N5699" s="362"/>
      <c r="R5699" s="210"/>
      <c r="S5699" s="232"/>
      <c r="T5699" s="270"/>
    </row>
    <row r="5700" spans="14:20" x14ac:dyDescent="0.25">
      <c r="N5700" s="362"/>
      <c r="R5700" s="210"/>
      <c r="S5700" s="232"/>
      <c r="T5700" s="270"/>
    </row>
    <row r="5701" spans="14:20" x14ac:dyDescent="0.25">
      <c r="N5701" s="362"/>
      <c r="R5701" s="210"/>
      <c r="S5701" s="232"/>
      <c r="T5701" s="270"/>
    </row>
    <row r="5702" spans="14:20" x14ac:dyDescent="0.25">
      <c r="N5702" s="362"/>
      <c r="R5702" s="210"/>
      <c r="S5702" s="232"/>
      <c r="T5702" s="270"/>
    </row>
    <row r="5703" spans="14:20" x14ac:dyDescent="0.25">
      <c r="N5703" s="362"/>
      <c r="R5703" s="210"/>
      <c r="S5703" s="232"/>
      <c r="T5703" s="270"/>
    </row>
    <row r="5704" spans="14:20" x14ac:dyDescent="0.25">
      <c r="N5704" s="362"/>
      <c r="R5704" s="210"/>
      <c r="S5704" s="232"/>
      <c r="T5704" s="270"/>
    </row>
    <row r="5705" spans="14:20" x14ac:dyDescent="0.25">
      <c r="N5705" s="362"/>
      <c r="R5705" s="210"/>
      <c r="S5705" s="232"/>
      <c r="T5705" s="270"/>
    </row>
    <row r="5706" spans="14:20" x14ac:dyDescent="0.25">
      <c r="N5706" s="362"/>
      <c r="R5706" s="210"/>
      <c r="S5706" s="232"/>
      <c r="T5706" s="270"/>
    </row>
    <row r="5707" spans="14:20" x14ac:dyDescent="0.25">
      <c r="N5707" s="362"/>
      <c r="R5707" s="210"/>
      <c r="S5707" s="232"/>
      <c r="T5707" s="270"/>
    </row>
    <row r="5708" spans="14:20" x14ac:dyDescent="0.25">
      <c r="N5708" s="362"/>
      <c r="R5708" s="210"/>
      <c r="S5708" s="232"/>
      <c r="T5708" s="270"/>
    </row>
    <row r="5709" spans="14:20" x14ac:dyDescent="0.25">
      <c r="N5709" s="362"/>
      <c r="R5709" s="210"/>
      <c r="S5709" s="232"/>
      <c r="T5709" s="270"/>
    </row>
    <row r="5710" spans="14:20" x14ac:dyDescent="0.25">
      <c r="N5710" s="362"/>
      <c r="R5710" s="210"/>
      <c r="S5710" s="232"/>
      <c r="T5710" s="270"/>
    </row>
    <row r="5711" spans="14:20" x14ac:dyDescent="0.25">
      <c r="N5711" s="362"/>
      <c r="R5711" s="210"/>
      <c r="S5711" s="232"/>
      <c r="T5711" s="270"/>
    </row>
    <row r="5712" spans="14:20" x14ac:dyDescent="0.25">
      <c r="N5712" s="362"/>
      <c r="R5712" s="210"/>
      <c r="S5712" s="232"/>
      <c r="T5712" s="270"/>
    </row>
    <row r="5713" spans="14:20" x14ac:dyDescent="0.25">
      <c r="N5713" s="362"/>
      <c r="R5713" s="210"/>
      <c r="S5713" s="232"/>
      <c r="T5713" s="270"/>
    </row>
    <row r="5714" spans="14:20" x14ac:dyDescent="0.25">
      <c r="N5714" s="362"/>
      <c r="R5714" s="210"/>
      <c r="S5714" s="232"/>
      <c r="T5714" s="270"/>
    </row>
    <row r="5715" spans="14:20" x14ac:dyDescent="0.25">
      <c r="N5715" s="362"/>
      <c r="R5715" s="210"/>
      <c r="S5715" s="232"/>
      <c r="T5715" s="270"/>
    </row>
    <row r="5716" spans="14:20" x14ac:dyDescent="0.25">
      <c r="N5716" s="362"/>
      <c r="R5716" s="210"/>
      <c r="S5716" s="232"/>
      <c r="T5716" s="270"/>
    </row>
    <row r="5717" spans="14:20" x14ac:dyDescent="0.25">
      <c r="N5717" s="362"/>
      <c r="R5717" s="210"/>
      <c r="S5717" s="232"/>
      <c r="T5717" s="270"/>
    </row>
    <row r="5718" spans="14:20" x14ac:dyDescent="0.25">
      <c r="N5718" s="362"/>
      <c r="R5718" s="210"/>
      <c r="S5718" s="232"/>
      <c r="T5718" s="270"/>
    </row>
    <row r="5719" spans="14:20" x14ac:dyDescent="0.25">
      <c r="N5719" s="362"/>
      <c r="R5719" s="210"/>
      <c r="S5719" s="232"/>
      <c r="T5719" s="270"/>
    </row>
    <row r="5720" spans="14:20" x14ac:dyDescent="0.25">
      <c r="N5720" s="362"/>
      <c r="R5720" s="210"/>
      <c r="S5720" s="232"/>
      <c r="T5720" s="270"/>
    </row>
    <row r="5721" spans="14:20" x14ac:dyDescent="0.25">
      <c r="N5721" s="362"/>
      <c r="R5721" s="210"/>
      <c r="S5721" s="232"/>
      <c r="T5721" s="270"/>
    </row>
    <row r="5722" spans="14:20" x14ac:dyDescent="0.25">
      <c r="N5722" s="362"/>
      <c r="R5722" s="210"/>
      <c r="S5722" s="232"/>
      <c r="T5722" s="270"/>
    </row>
    <row r="5723" spans="14:20" x14ac:dyDescent="0.25">
      <c r="N5723" s="362"/>
      <c r="R5723" s="210"/>
      <c r="S5723" s="232"/>
      <c r="T5723" s="270"/>
    </row>
    <row r="5724" spans="14:20" x14ac:dyDescent="0.25">
      <c r="N5724" s="362"/>
      <c r="R5724" s="210"/>
      <c r="S5724" s="232"/>
      <c r="T5724" s="270"/>
    </row>
    <row r="5725" spans="14:20" x14ac:dyDescent="0.25">
      <c r="N5725" s="362"/>
      <c r="R5725" s="210"/>
      <c r="S5725" s="232"/>
      <c r="T5725" s="270"/>
    </row>
    <row r="5726" spans="14:20" x14ac:dyDescent="0.25">
      <c r="N5726" s="362"/>
      <c r="R5726" s="210"/>
      <c r="S5726" s="232"/>
      <c r="T5726" s="270"/>
    </row>
    <row r="5727" spans="14:20" x14ac:dyDescent="0.25">
      <c r="N5727" s="362"/>
      <c r="R5727" s="210"/>
      <c r="S5727" s="232"/>
      <c r="T5727" s="270"/>
    </row>
    <row r="5728" spans="14:20" x14ac:dyDescent="0.25">
      <c r="N5728" s="362"/>
      <c r="R5728" s="210"/>
      <c r="S5728" s="232"/>
      <c r="T5728" s="270"/>
    </row>
    <row r="5729" spans="14:20" x14ac:dyDescent="0.25">
      <c r="N5729" s="362"/>
      <c r="R5729" s="210"/>
      <c r="S5729" s="232"/>
      <c r="T5729" s="270"/>
    </row>
    <row r="5730" spans="14:20" x14ac:dyDescent="0.25">
      <c r="N5730" s="362"/>
      <c r="R5730" s="210"/>
      <c r="S5730" s="232"/>
      <c r="T5730" s="270"/>
    </row>
    <row r="5731" spans="14:20" x14ac:dyDescent="0.25">
      <c r="N5731" s="362"/>
      <c r="R5731" s="210"/>
      <c r="S5731" s="232"/>
      <c r="T5731" s="270"/>
    </row>
    <row r="5732" spans="14:20" x14ac:dyDescent="0.25">
      <c r="N5732" s="362"/>
      <c r="R5732" s="210"/>
      <c r="S5732" s="232"/>
      <c r="T5732" s="270"/>
    </row>
    <row r="5733" spans="14:20" x14ac:dyDescent="0.25">
      <c r="N5733" s="362"/>
      <c r="R5733" s="210"/>
      <c r="S5733" s="232"/>
      <c r="T5733" s="270"/>
    </row>
    <row r="5734" spans="14:20" x14ac:dyDescent="0.25">
      <c r="N5734" s="362"/>
      <c r="R5734" s="210"/>
      <c r="S5734" s="232"/>
      <c r="T5734" s="270"/>
    </row>
    <row r="5735" spans="14:20" x14ac:dyDescent="0.25">
      <c r="N5735" s="362"/>
      <c r="R5735" s="210"/>
      <c r="S5735" s="232"/>
      <c r="T5735" s="270"/>
    </row>
    <row r="5736" spans="14:20" x14ac:dyDescent="0.25">
      <c r="N5736" s="362"/>
      <c r="R5736" s="210"/>
      <c r="S5736" s="232"/>
      <c r="T5736" s="270"/>
    </row>
    <row r="5737" spans="14:20" x14ac:dyDescent="0.25">
      <c r="N5737" s="362"/>
      <c r="R5737" s="210"/>
      <c r="S5737" s="232"/>
      <c r="T5737" s="270"/>
    </row>
    <row r="5738" spans="14:20" x14ac:dyDescent="0.25">
      <c r="N5738" s="362"/>
      <c r="R5738" s="210"/>
      <c r="S5738" s="232"/>
      <c r="T5738" s="270"/>
    </row>
    <row r="5739" spans="14:20" x14ac:dyDescent="0.25">
      <c r="N5739" s="362"/>
      <c r="R5739" s="210"/>
      <c r="S5739" s="232"/>
      <c r="T5739" s="270"/>
    </row>
    <row r="5740" spans="14:20" x14ac:dyDescent="0.25">
      <c r="N5740" s="362"/>
      <c r="R5740" s="210"/>
      <c r="S5740" s="232"/>
      <c r="T5740" s="270"/>
    </row>
    <row r="5741" spans="14:20" x14ac:dyDescent="0.25">
      <c r="N5741" s="362"/>
      <c r="R5741" s="210"/>
      <c r="S5741" s="232"/>
      <c r="T5741" s="270"/>
    </row>
    <row r="5742" spans="14:20" x14ac:dyDescent="0.25">
      <c r="N5742" s="362"/>
      <c r="R5742" s="210"/>
      <c r="S5742" s="232"/>
      <c r="T5742" s="270"/>
    </row>
    <row r="5743" spans="14:20" x14ac:dyDescent="0.25">
      <c r="N5743" s="362"/>
      <c r="R5743" s="210"/>
      <c r="S5743" s="232"/>
      <c r="T5743" s="270"/>
    </row>
    <row r="5744" spans="14:20" x14ac:dyDescent="0.25">
      <c r="N5744" s="362"/>
      <c r="R5744" s="210"/>
      <c r="S5744" s="232"/>
      <c r="T5744" s="270"/>
    </row>
    <row r="5745" spans="14:20" x14ac:dyDescent="0.25">
      <c r="N5745" s="362"/>
      <c r="R5745" s="210"/>
      <c r="S5745" s="232"/>
      <c r="T5745" s="270"/>
    </row>
    <row r="5746" spans="14:20" x14ac:dyDescent="0.25">
      <c r="N5746" s="362"/>
      <c r="R5746" s="210"/>
      <c r="S5746" s="232"/>
      <c r="T5746" s="270"/>
    </row>
    <row r="5747" spans="14:20" x14ac:dyDescent="0.25">
      <c r="N5747" s="362"/>
      <c r="R5747" s="210"/>
      <c r="S5747" s="232"/>
      <c r="T5747" s="270"/>
    </row>
    <row r="5748" spans="14:20" x14ac:dyDescent="0.25">
      <c r="N5748" s="362"/>
      <c r="R5748" s="210"/>
      <c r="S5748" s="232"/>
      <c r="T5748" s="270"/>
    </row>
    <row r="5749" spans="14:20" x14ac:dyDescent="0.25">
      <c r="N5749" s="362"/>
      <c r="R5749" s="210"/>
      <c r="S5749" s="232"/>
      <c r="T5749" s="270"/>
    </row>
    <row r="5750" spans="14:20" x14ac:dyDescent="0.25">
      <c r="N5750" s="362"/>
      <c r="R5750" s="210"/>
      <c r="S5750" s="232"/>
      <c r="T5750" s="270"/>
    </row>
    <row r="5751" spans="14:20" x14ac:dyDescent="0.25">
      <c r="N5751" s="362"/>
      <c r="R5751" s="210"/>
      <c r="S5751" s="232"/>
      <c r="T5751" s="270"/>
    </row>
    <row r="5752" spans="14:20" x14ac:dyDescent="0.25">
      <c r="N5752" s="362"/>
      <c r="R5752" s="210"/>
      <c r="S5752" s="232"/>
      <c r="T5752" s="270"/>
    </row>
    <row r="5753" spans="14:20" x14ac:dyDescent="0.25">
      <c r="N5753" s="362"/>
      <c r="R5753" s="210"/>
      <c r="S5753" s="232"/>
      <c r="T5753" s="270"/>
    </row>
    <row r="5754" spans="14:20" x14ac:dyDescent="0.25">
      <c r="N5754" s="362"/>
      <c r="R5754" s="210"/>
      <c r="S5754" s="232"/>
      <c r="T5754" s="270"/>
    </row>
    <row r="5755" spans="14:20" x14ac:dyDescent="0.25">
      <c r="N5755" s="362"/>
      <c r="R5755" s="210"/>
      <c r="S5755" s="232"/>
      <c r="T5755" s="270"/>
    </row>
    <row r="5756" spans="14:20" x14ac:dyDescent="0.25">
      <c r="N5756" s="362"/>
      <c r="R5756" s="210"/>
      <c r="S5756" s="232"/>
      <c r="T5756" s="270"/>
    </row>
    <row r="5757" spans="14:20" x14ac:dyDescent="0.25">
      <c r="N5757" s="362"/>
      <c r="R5757" s="210"/>
      <c r="S5757" s="232"/>
      <c r="T5757" s="270"/>
    </row>
    <row r="5758" spans="14:20" x14ac:dyDescent="0.25">
      <c r="N5758" s="362"/>
      <c r="R5758" s="210"/>
      <c r="S5758" s="232"/>
      <c r="T5758" s="270"/>
    </row>
    <row r="5759" spans="14:20" x14ac:dyDescent="0.25">
      <c r="N5759" s="362"/>
      <c r="R5759" s="210"/>
      <c r="S5759" s="232"/>
      <c r="T5759" s="270"/>
    </row>
    <row r="5760" spans="14:20" x14ac:dyDescent="0.25">
      <c r="N5760" s="362"/>
      <c r="R5760" s="210"/>
      <c r="S5760" s="232"/>
      <c r="T5760" s="270"/>
    </row>
    <row r="5761" spans="14:20" x14ac:dyDescent="0.25">
      <c r="N5761" s="362"/>
      <c r="R5761" s="210"/>
      <c r="S5761" s="232"/>
      <c r="T5761" s="270"/>
    </row>
    <row r="5762" spans="14:20" x14ac:dyDescent="0.25">
      <c r="N5762" s="362"/>
      <c r="R5762" s="210"/>
      <c r="S5762" s="232"/>
      <c r="T5762" s="270"/>
    </row>
    <row r="5763" spans="14:20" x14ac:dyDescent="0.25">
      <c r="N5763" s="362"/>
      <c r="R5763" s="210"/>
      <c r="S5763" s="232"/>
      <c r="T5763" s="270"/>
    </row>
    <row r="5764" spans="14:20" x14ac:dyDescent="0.25">
      <c r="N5764" s="362"/>
      <c r="R5764" s="210"/>
      <c r="S5764" s="232"/>
      <c r="T5764" s="270"/>
    </row>
    <row r="5765" spans="14:20" x14ac:dyDescent="0.25">
      <c r="N5765" s="362"/>
      <c r="R5765" s="210"/>
      <c r="S5765" s="232"/>
      <c r="T5765" s="270"/>
    </row>
    <row r="5766" spans="14:20" x14ac:dyDescent="0.25">
      <c r="N5766" s="362"/>
      <c r="R5766" s="210"/>
      <c r="S5766" s="232"/>
      <c r="T5766" s="270"/>
    </row>
    <row r="5767" spans="14:20" x14ac:dyDescent="0.25">
      <c r="N5767" s="362"/>
      <c r="R5767" s="210"/>
      <c r="S5767" s="232"/>
      <c r="T5767" s="270"/>
    </row>
    <row r="5768" spans="14:20" x14ac:dyDescent="0.25">
      <c r="N5768" s="362"/>
      <c r="R5768" s="210"/>
      <c r="S5768" s="232"/>
      <c r="T5768" s="270"/>
    </row>
    <row r="5769" spans="14:20" x14ac:dyDescent="0.25">
      <c r="N5769" s="362"/>
      <c r="R5769" s="210"/>
      <c r="S5769" s="232"/>
      <c r="T5769" s="270"/>
    </row>
    <row r="5770" spans="14:20" x14ac:dyDescent="0.25">
      <c r="N5770" s="362"/>
      <c r="R5770" s="210"/>
      <c r="S5770" s="232"/>
      <c r="T5770" s="270"/>
    </row>
    <row r="5771" spans="14:20" x14ac:dyDescent="0.25">
      <c r="N5771" s="362"/>
      <c r="R5771" s="210"/>
      <c r="S5771" s="232"/>
      <c r="T5771" s="270"/>
    </row>
    <row r="5772" spans="14:20" x14ac:dyDescent="0.25">
      <c r="N5772" s="362"/>
      <c r="R5772" s="210"/>
      <c r="S5772" s="232"/>
      <c r="T5772" s="270"/>
    </row>
    <row r="5773" spans="14:20" x14ac:dyDescent="0.25">
      <c r="N5773" s="362"/>
      <c r="R5773" s="210"/>
      <c r="S5773" s="232"/>
      <c r="T5773" s="270"/>
    </row>
    <row r="5774" spans="14:20" x14ac:dyDescent="0.25">
      <c r="N5774" s="362"/>
      <c r="R5774" s="210"/>
      <c r="S5774" s="232"/>
      <c r="T5774" s="270"/>
    </row>
    <row r="5775" spans="14:20" x14ac:dyDescent="0.25">
      <c r="N5775" s="362"/>
      <c r="R5775" s="210"/>
      <c r="S5775" s="232"/>
      <c r="T5775" s="270"/>
    </row>
    <row r="5776" spans="14:20" x14ac:dyDescent="0.25">
      <c r="N5776" s="362"/>
      <c r="R5776" s="210"/>
      <c r="S5776" s="232"/>
      <c r="T5776" s="270"/>
    </row>
    <row r="5777" spans="14:20" x14ac:dyDescent="0.25">
      <c r="N5777" s="362"/>
      <c r="R5777" s="210"/>
      <c r="S5777" s="232"/>
      <c r="T5777" s="270"/>
    </row>
    <row r="5778" spans="14:20" x14ac:dyDescent="0.25">
      <c r="N5778" s="362"/>
      <c r="R5778" s="210"/>
      <c r="S5778" s="232"/>
      <c r="T5778" s="270"/>
    </row>
    <row r="5779" spans="14:20" x14ac:dyDescent="0.25">
      <c r="N5779" s="362"/>
      <c r="R5779" s="210"/>
      <c r="S5779" s="232"/>
      <c r="T5779" s="270"/>
    </row>
    <row r="5780" spans="14:20" x14ac:dyDescent="0.25">
      <c r="N5780" s="362"/>
      <c r="R5780" s="210"/>
      <c r="S5780" s="232"/>
      <c r="T5780" s="270"/>
    </row>
    <row r="5781" spans="14:20" x14ac:dyDescent="0.25">
      <c r="N5781" s="362"/>
      <c r="R5781" s="210"/>
      <c r="S5781" s="232"/>
      <c r="T5781" s="270"/>
    </row>
    <row r="5782" spans="14:20" x14ac:dyDescent="0.25">
      <c r="N5782" s="362"/>
      <c r="R5782" s="210"/>
      <c r="S5782" s="232"/>
      <c r="T5782" s="270"/>
    </row>
    <row r="5783" spans="14:20" x14ac:dyDescent="0.25">
      <c r="N5783" s="362"/>
      <c r="R5783" s="210"/>
      <c r="S5783" s="232"/>
      <c r="T5783" s="270"/>
    </row>
    <row r="5784" spans="14:20" x14ac:dyDescent="0.25">
      <c r="N5784" s="362"/>
      <c r="R5784" s="210"/>
      <c r="S5784" s="232"/>
      <c r="T5784" s="270"/>
    </row>
    <row r="5785" spans="14:20" x14ac:dyDescent="0.25">
      <c r="N5785" s="362"/>
      <c r="R5785" s="210"/>
      <c r="S5785" s="232"/>
      <c r="T5785" s="270"/>
    </row>
    <row r="5786" spans="14:20" x14ac:dyDescent="0.25">
      <c r="N5786" s="362"/>
      <c r="R5786" s="210"/>
      <c r="S5786" s="232"/>
      <c r="T5786" s="270"/>
    </row>
    <row r="5787" spans="14:20" x14ac:dyDescent="0.25">
      <c r="N5787" s="362"/>
      <c r="R5787" s="210"/>
      <c r="S5787" s="232"/>
      <c r="T5787" s="270"/>
    </row>
    <row r="5788" spans="14:20" x14ac:dyDescent="0.25">
      <c r="N5788" s="362"/>
      <c r="R5788" s="210"/>
      <c r="S5788" s="232"/>
      <c r="T5788" s="270"/>
    </row>
    <row r="5789" spans="14:20" x14ac:dyDescent="0.25">
      <c r="N5789" s="362"/>
      <c r="R5789" s="210"/>
      <c r="S5789" s="232"/>
      <c r="T5789" s="270"/>
    </row>
    <row r="5790" spans="14:20" x14ac:dyDescent="0.25">
      <c r="N5790" s="362"/>
      <c r="R5790" s="210"/>
      <c r="S5790" s="232"/>
      <c r="T5790" s="270"/>
    </row>
    <row r="5791" spans="14:20" x14ac:dyDescent="0.25">
      <c r="N5791" s="362"/>
      <c r="R5791" s="210"/>
      <c r="S5791" s="232"/>
      <c r="T5791" s="270"/>
    </row>
    <row r="5792" spans="14:20" x14ac:dyDescent="0.25">
      <c r="N5792" s="362"/>
      <c r="R5792" s="210"/>
      <c r="S5792" s="232"/>
      <c r="T5792" s="270"/>
    </row>
    <row r="5793" spans="14:20" x14ac:dyDescent="0.25">
      <c r="N5793" s="362"/>
      <c r="R5793" s="210"/>
      <c r="S5793" s="232"/>
      <c r="T5793" s="270"/>
    </row>
    <row r="5794" spans="14:20" x14ac:dyDescent="0.25">
      <c r="N5794" s="362"/>
      <c r="R5794" s="210"/>
      <c r="S5794" s="232"/>
      <c r="T5794" s="270"/>
    </row>
    <row r="5795" spans="14:20" x14ac:dyDescent="0.25">
      <c r="N5795" s="362"/>
      <c r="R5795" s="210"/>
      <c r="S5795" s="232"/>
      <c r="T5795" s="270"/>
    </row>
    <row r="5796" spans="14:20" x14ac:dyDescent="0.25">
      <c r="N5796" s="362"/>
      <c r="R5796" s="210"/>
      <c r="S5796" s="232"/>
      <c r="T5796" s="270"/>
    </row>
    <row r="5797" spans="14:20" x14ac:dyDescent="0.25">
      <c r="N5797" s="362"/>
      <c r="R5797" s="210"/>
      <c r="S5797" s="232"/>
      <c r="T5797" s="270"/>
    </row>
    <row r="5798" spans="14:20" x14ac:dyDescent="0.25">
      <c r="N5798" s="362"/>
      <c r="R5798" s="210"/>
      <c r="S5798" s="232"/>
      <c r="T5798" s="270"/>
    </row>
    <row r="5799" spans="14:20" x14ac:dyDescent="0.25">
      <c r="N5799" s="362"/>
      <c r="R5799" s="210"/>
      <c r="S5799" s="232"/>
      <c r="T5799" s="270"/>
    </row>
    <row r="5800" spans="14:20" x14ac:dyDescent="0.25">
      <c r="N5800" s="362"/>
      <c r="R5800" s="210"/>
      <c r="S5800" s="232"/>
      <c r="T5800" s="270"/>
    </row>
    <row r="5801" spans="14:20" x14ac:dyDescent="0.25">
      <c r="N5801" s="362"/>
      <c r="R5801" s="210"/>
      <c r="S5801" s="232"/>
      <c r="T5801" s="270"/>
    </row>
    <row r="5802" spans="14:20" x14ac:dyDescent="0.25">
      <c r="N5802" s="362"/>
      <c r="R5802" s="210"/>
      <c r="S5802" s="232"/>
      <c r="T5802" s="270"/>
    </row>
    <row r="5803" spans="14:20" x14ac:dyDescent="0.25">
      <c r="N5803" s="362"/>
      <c r="R5803" s="210"/>
      <c r="S5803" s="232"/>
      <c r="T5803" s="270"/>
    </row>
    <row r="5804" spans="14:20" x14ac:dyDescent="0.25">
      <c r="N5804" s="362"/>
      <c r="R5804" s="210"/>
      <c r="S5804" s="232"/>
      <c r="T5804" s="270"/>
    </row>
    <row r="5805" spans="14:20" x14ac:dyDescent="0.25">
      <c r="N5805" s="362"/>
      <c r="R5805" s="210"/>
      <c r="S5805" s="232"/>
      <c r="T5805" s="270"/>
    </row>
    <row r="5806" spans="14:20" x14ac:dyDescent="0.25">
      <c r="N5806" s="362"/>
      <c r="R5806" s="210"/>
      <c r="S5806" s="232"/>
      <c r="T5806" s="270"/>
    </row>
    <row r="5807" spans="14:20" x14ac:dyDescent="0.25">
      <c r="N5807" s="362"/>
      <c r="R5807" s="210"/>
      <c r="S5807" s="232"/>
      <c r="T5807" s="270"/>
    </row>
    <row r="5808" spans="14:20" x14ac:dyDescent="0.25">
      <c r="N5808" s="362"/>
      <c r="R5808" s="210"/>
      <c r="S5808" s="232"/>
      <c r="T5808" s="270"/>
    </row>
    <row r="5809" spans="14:20" x14ac:dyDescent="0.25">
      <c r="N5809" s="362"/>
      <c r="R5809" s="210"/>
      <c r="S5809" s="232"/>
      <c r="T5809" s="270"/>
    </row>
    <row r="5810" spans="14:20" x14ac:dyDescent="0.25">
      <c r="N5810" s="362"/>
      <c r="R5810" s="210"/>
      <c r="S5810" s="232"/>
      <c r="T5810" s="270"/>
    </row>
    <row r="5811" spans="14:20" x14ac:dyDescent="0.25">
      <c r="N5811" s="362"/>
      <c r="R5811" s="210"/>
      <c r="S5811" s="232"/>
      <c r="T5811" s="270"/>
    </row>
    <row r="5812" spans="14:20" x14ac:dyDescent="0.25">
      <c r="N5812" s="362"/>
      <c r="R5812" s="210"/>
      <c r="S5812" s="232"/>
      <c r="T5812" s="270"/>
    </row>
    <row r="5813" spans="14:20" x14ac:dyDescent="0.25">
      <c r="N5813" s="362"/>
      <c r="R5813" s="210"/>
      <c r="S5813" s="232"/>
      <c r="T5813" s="270"/>
    </row>
    <row r="5814" spans="14:20" x14ac:dyDescent="0.25">
      <c r="N5814" s="362"/>
      <c r="R5814" s="210"/>
      <c r="S5814" s="232"/>
      <c r="T5814" s="270"/>
    </row>
    <row r="5815" spans="14:20" x14ac:dyDescent="0.25">
      <c r="N5815" s="362"/>
      <c r="R5815" s="210"/>
      <c r="S5815" s="232"/>
      <c r="T5815" s="270"/>
    </row>
    <row r="5816" spans="14:20" x14ac:dyDescent="0.25">
      <c r="N5816" s="362"/>
      <c r="R5816" s="210"/>
      <c r="S5816" s="232"/>
      <c r="T5816" s="270"/>
    </row>
    <row r="5817" spans="14:20" x14ac:dyDescent="0.25">
      <c r="N5817" s="362"/>
      <c r="R5817" s="210"/>
      <c r="S5817" s="232"/>
      <c r="T5817" s="270"/>
    </row>
    <row r="5818" spans="14:20" x14ac:dyDescent="0.25">
      <c r="N5818" s="362"/>
      <c r="R5818" s="210"/>
      <c r="S5818" s="232"/>
      <c r="T5818" s="270"/>
    </row>
    <row r="5819" spans="14:20" x14ac:dyDescent="0.25">
      <c r="N5819" s="362"/>
      <c r="R5819" s="210"/>
      <c r="S5819" s="232"/>
      <c r="T5819" s="270"/>
    </row>
    <row r="5820" spans="14:20" x14ac:dyDescent="0.25">
      <c r="N5820" s="362"/>
      <c r="R5820" s="210"/>
      <c r="S5820" s="232"/>
      <c r="T5820" s="270"/>
    </row>
    <row r="5821" spans="14:20" x14ac:dyDescent="0.25">
      <c r="N5821" s="362"/>
      <c r="R5821" s="210"/>
      <c r="S5821" s="232"/>
      <c r="T5821" s="270"/>
    </row>
    <row r="5822" spans="14:20" x14ac:dyDescent="0.25">
      <c r="N5822" s="362"/>
      <c r="R5822" s="210"/>
      <c r="S5822" s="232"/>
      <c r="T5822" s="270"/>
    </row>
    <row r="5823" spans="14:20" x14ac:dyDescent="0.25">
      <c r="N5823" s="362"/>
      <c r="R5823" s="210"/>
      <c r="S5823" s="232"/>
      <c r="T5823" s="270"/>
    </row>
    <row r="5824" spans="14:20" x14ac:dyDescent="0.25">
      <c r="N5824" s="362"/>
      <c r="R5824" s="210"/>
      <c r="S5824" s="232"/>
      <c r="T5824" s="270"/>
    </row>
    <row r="5825" spans="14:20" x14ac:dyDescent="0.25">
      <c r="N5825" s="362"/>
      <c r="R5825" s="210"/>
      <c r="S5825" s="232"/>
      <c r="T5825" s="270"/>
    </row>
    <row r="5826" spans="14:20" x14ac:dyDescent="0.25">
      <c r="N5826" s="362"/>
      <c r="R5826" s="210"/>
      <c r="S5826" s="232"/>
      <c r="T5826" s="270"/>
    </row>
    <row r="5827" spans="14:20" x14ac:dyDescent="0.25">
      <c r="N5827" s="362"/>
      <c r="R5827" s="210"/>
      <c r="S5827" s="232"/>
      <c r="T5827" s="270"/>
    </row>
    <row r="5828" spans="14:20" x14ac:dyDescent="0.25">
      <c r="N5828" s="362"/>
      <c r="R5828" s="210"/>
      <c r="S5828" s="232"/>
      <c r="T5828" s="270"/>
    </row>
    <row r="5829" spans="14:20" x14ac:dyDescent="0.25">
      <c r="N5829" s="362"/>
      <c r="R5829" s="210"/>
      <c r="S5829" s="232"/>
      <c r="T5829" s="270"/>
    </row>
    <row r="5830" spans="14:20" x14ac:dyDescent="0.25">
      <c r="N5830" s="362"/>
      <c r="R5830" s="210"/>
      <c r="S5830" s="232"/>
      <c r="T5830" s="270"/>
    </row>
    <row r="5831" spans="14:20" x14ac:dyDescent="0.25">
      <c r="N5831" s="362"/>
      <c r="R5831" s="210"/>
      <c r="S5831" s="232"/>
      <c r="T5831" s="270"/>
    </row>
    <row r="5832" spans="14:20" x14ac:dyDescent="0.25">
      <c r="N5832" s="362"/>
      <c r="R5832" s="210"/>
      <c r="S5832" s="232"/>
      <c r="T5832" s="270"/>
    </row>
    <row r="5833" spans="14:20" x14ac:dyDescent="0.25">
      <c r="N5833" s="362"/>
      <c r="R5833" s="210"/>
      <c r="S5833" s="232"/>
      <c r="T5833" s="270"/>
    </row>
    <row r="5834" spans="14:20" x14ac:dyDescent="0.25">
      <c r="N5834" s="362"/>
      <c r="R5834" s="210"/>
      <c r="S5834" s="232"/>
      <c r="T5834" s="270"/>
    </row>
    <row r="5835" spans="14:20" x14ac:dyDescent="0.25">
      <c r="N5835" s="362"/>
      <c r="R5835" s="210"/>
      <c r="S5835" s="232"/>
      <c r="T5835" s="270"/>
    </row>
    <row r="5836" spans="14:20" x14ac:dyDescent="0.25">
      <c r="N5836" s="362"/>
      <c r="R5836" s="210"/>
      <c r="S5836" s="232"/>
      <c r="T5836" s="270"/>
    </row>
    <row r="5837" spans="14:20" x14ac:dyDescent="0.25">
      <c r="N5837" s="362"/>
      <c r="R5837" s="210"/>
      <c r="S5837" s="232"/>
      <c r="T5837" s="270"/>
    </row>
    <row r="5838" spans="14:20" x14ac:dyDescent="0.25">
      <c r="N5838" s="362"/>
      <c r="R5838" s="210"/>
      <c r="S5838" s="232"/>
      <c r="T5838" s="270"/>
    </row>
    <row r="5839" spans="14:20" x14ac:dyDescent="0.25">
      <c r="N5839" s="362"/>
      <c r="R5839" s="210"/>
      <c r="S5839" s="232"/>
      <c r="T5839" s="270"/>
    </row>
    <row r="5840" spans="14:20" x14ac:dyDescent="0.25">
      <c r="N5840" s="362"/>
      <c r="R5840" s="210"/>
      <c r="S5840" s="232"/>
      <c r="T5840" s="270"/>
    </row>
    <row r="5841" spans="14:20" x14ac:dyDescent="0.25">
      <c r="N5841" s="362"/>
      <c r="R5841" s="210"/>
      <c r="S5841" s="232"/>
      <c r="T5841" s="270"/>
    </row>
    <row r="5842" spans="14:20" x14ac:dyDescent="0.25">
      <c r="N5842" s="362"/>
      <c r="R5842" s="210"/>
      <c r="S5842" s="232"/>
      <c r="T5842" s="270"/>
    </row>
    <row r="5843" spans="14:20" x14ac:dyDescent="0.25">
      <c r="N5843" s="362"/>
      <c r="R5843" s="210"/>
      <c r="S5843" s="232"/>
      <c r="T5843" s="270"/>
    </row>
    <row r="5844" spans="14:20" x14ac:dyDescent="0.25">
      <c r="N5844" s="362"/>
      <c r="R5844" s="210"/>
      <c r="S5844" s="232"/>
      <c r="T5844" s="270"/>
    </row>
    <row r="5845" spans="14:20" x14ac:dyDescent="0.25">
      <c r="N5845" s="362"/>
      <c r="R5845" s="210"/>
      <c r="S5845" s="232"/>
      <c r="T5845" s="270"/>
    </row>
    <row r="5846" spans="14:20" x14ac:dyDescent="0.25">
      <c r="N5846" s="362"/>
      <c r="R5846" s="210"/>
      <c r="S5846" s="232"/>
      <c r="T5846" s="270"/>
    </row>
    <row r="5847" spans="14:20" x14ac:dyDescent="0.25">
      <c r="N5847" s="362"/>
      <c r="R5847" s="210"/>
      <c r="S5847" s="232"/>
      <c r="T5847" s="270"/>
    </row>
    <row r="5848" spans="14:20" x14ac:dyDescent="0.25">
      <c r="N5848" s="362"/>
      <c r="R5848" s="210"/>
      <c r="S5848" s="232"/>
      <c r="T5848" s="270"/>
    </row>
    <row r="5849" spans="14:20" x14ac:dyDescent="0.25">
      <c r="N5849" s="362"/>
      <c r="R5849" s="210"/>
      <c r="S5849" s="232"/>
      <c r="T5849" s="270"/>
    </row>
    <row r="5850" spans="14:20" x14ac:dyDescent="0.25">
      <c r="N5850" s="362"/>
      <c r="R5850" s="210"/>
      <c r="S5850" s="232"/>
      <c r="T5850" s="270"/>
    </row>
    <row r="5851" spans="14:20" x14ac:dyDescent="0.25">
      <c r="N5851" s="362"/>
      <c r="R5851" s="210"/>
      <c r="S5851" s="232"/>
      <c r="T5851" s="270"/>
    </row>
    <row r="5852" spans="14:20" x14ac:dyDescent="0.25">
      <c r="N5852" s="362"/>
      <c r="R5852" s="210"/>
      <c r="S5852" s="232"/>
      <c r="T5852" s="270"/>
    </row>
    <row r="5853" spans="14:20" x14ac:dyDescent="0.25">
      <c r="N5853" s="362"/>
      <c r="R5853" s="210"/>
      <c r="S5853" s="232"/>
      <c r="T5853" s="270"/>
    </row>
    <row r="5854" spans="14:20" x14ac:dyDescent="0.25">
      <c r="N5854" s="362"/>
      <c r="R5854" s="210"/>
      <c r="S5854" s="232"/>
      <c r="T5854" s="270"/>
    </row>
    <row r="5855" spans="14:20" x14ac:dyDescent="0.25">
      <c r="N5855" s="362"/>
      <c r="R5855" s="210"/>
      <c r="S5855" s="232"/>
      <c r="T5855" s="270"/>
    </row>
    <row r="5856" spans="14:20" x14ac:dyDescent="0.25">
      <c r="N5856" s="362"/>
      <c r="R5856" s="210"/>
      <c r="S5856" s="232"/>
      <c r="T5856" s="270"/>
    </row>
    <row r="5857" spans="14:20" x14ac:dyDescent="0.25">
      <c r="N5857" s="362"/>
      <c r="R5857" s="210"/>
      <c r="S5857" s="232"/>
      <c r="T5857" s="270"/>
    </row>
    <row r="5858" spans="14:20" x14ac:dyDescent="0.25">
      <c r="N5858" s="362"/>
      <c r="R5858" s="210"/>
      <c r="S5858" s="232"/>
      <c r="T5858" s="270"/>
    </row>
    <row r="5859" spans="14:20" x14ac:dyDescent="0.25">
      <c r="N5859" s="362"/>
      <c r="R5859" s="210"/>
      <c r="S5859" s="232"/>
      <c r="T5859" s="270"/>
    </row>
    <row r="5860" spans="14:20" x14ac:dyDescent="0.25">
      <c r="N5860" s="362"/>
      <c r="R5860" s="210"/>
      <c r="S5860" s="232"/>
      <c r="T5860" s="270"/>
    </row>
    <row r="5861" spans="14:20" x14ac:dyDescent="0.25">
      <c r="N5861" s="362"/>
      <c r="R5861" s="210"/>
      <c r="S5861" s="232"/>
      <c r="T5861" s="270"/>
    </row>
    <row r="5862" spans="14:20" x14ac:dyDescent="0.25">
      <c r="N5862" s="362"/>
      <c r="R5862" s="210"/>
      <c r="S5862" s="232"/>
      <c r="T5862" s="270"/>
    </row>
    <row r="5863" spans="14:20" x14ac:dyDescent="0.25">
      <c r="N5863" s="362"/>
      <c r="R5863" s="210"/>
      <c r="S5863" s="232"/>
      <c r="T5863" s="270"/>
    </row>
    <row r="5864" spans="14:20" x14ac:dyDescent="0.25">
      <c r="N5864" s="362"/>
      <c r="R5864" s="210"/>
      <c r="S5864" s="232"/>
      <c r="T5864" s="270"/>
    </row>
    <row r="5865" spans="14:20" x14ac:dyDescent="0.25">
      <c r="N5865" s="362"/>
      <c r="R5865" s="210"/>
      <c r="S5865" s="232"/>
      <c r="T5865" s="270"/>
    </row>
    <row r="5866" spans="14:20" x14ac:dyDescent="0.25">
      <c r="N5866" s="362"/>
      <c r="R5866" s="210"/>
      <c r="S5866" s="232"/>
      <c r="T5866" s="270"/>
    </row>
    <row r="5867" spans="14:20" x14ac:dyDescent="0.25">
      <c r="N5867" s="362"/>
      <c r="R5867" s="210"/>
      <c r="S5867" s="232"/>
      <c r="T5867" s="270"/>
    </row>
    <row r="5868" spans="14:20" x14ac:dyDescent="0.25">
      <c r="N5868" s="362"/>
      <c r="R5868" s="210"/>
      <c r="S5868" s="232"/>
      <c r="T5868" s="270"/>
    </row>
    <row r="5869" spans="14:20" x14ac:dyDescent="0.25">
      <c r="N5869" s="362"/>
      <c r="R5869" s="210"/>
      <c r="S5869" s="232"/>
      <c r="T5869" s="270"/>
    </row>
    <row r="5870" spans="14:20" x14ac:dyDescent="0.25">
      <c r="N5870" s="362"/>
      <c r="R5870" s="210"/>
      <c r="S5870" s="232"/>
      <c r="T5870" s="270"/>
    </row>
    <row r="5871" spans="14:20" x14ac:dyDescent="0.25">
      <c r="N5871" s="362"/>
      <c r="R5871" s="210"/>
      <c r="S5871" s="232"/>
      <c r="T5871" s="270"/>
    </row>
    <row r="5872" spans="14:20" x14ac:dyDescent="0.25">
      <c r="N5872" s="362"/>
      <c r="R5872" s="210"/>
      <c r="S5872" s="232"/>
      <c r="T5872" s="270"/>
    </row>
    <row r="5873" spans="14:20" x14ac:dyDescent="0.25">
      <c r="N5873" s="362"/>
      <c r="R5873" s="210"/>
      <c r="S5873" s="232"/>
      <c r="T5873" s="270"/>
    </row>
    <row r="5874" spans="14:20" x14ac:dyDescent="0.25">
      <c r="N5874" s="362"/>
      <c r="R5874" s="210"/>
      <c r="S5874" s="232"/>
      <c r="T5874" s="270"/>
    </row>
    <row r="5875" spans="14:20" x14ac:dyDescent="0.25">
      <c r="N5875" s="362"/>
      <c r="R5875" s="210"/>
      <c r="S5875" s="232"/>
      <c r="T5875" s="270"/>
    </row>
    <row r="5876" spans="14:20" x14ac:dyDescent="0.25">
      <c r="N5876" s="362"/>
      <c r="R5876" s="210"/>
      <c r="S5876" s="232"/>
      <c r="T5876" s="270"/>
    </row>
    <row r="5877" spans="14:20" x14ac:dyDescent="0.25">
      <c r="N5877" s="362"/>
      <c r="R5877" s="210"/>
      <c r="S5877" s="232"/>
      <c r="T5877" s="270"/>
    </row>
    <row r="5878" spans="14:20" x14ac:dyDescent="0.25">
      <c r="N5878" s="362"/>
      <c r="R5878" s="210"/>
      <c r="S5878" s="232"/>
      <c r="T5878" s="270"/>
    </row>
    <row r="5879" spans="14:20" x14ac:dyDescent="0.25">
      <c r="N5879" s="362"/>
      <c r="R5879" s="210"/>
      <c r="S5879" s="232"/>
      <c r="T5879" s="270"/>
    </row>
    <row r="5880" spans="14:20" x14ac:dyDescent="0.25">
      <c r="N5880" s="362"/>
      <c r="R5880" s="210"/>
      <c r="S5880" s="232"/>
      <c r="T5880" s="270"/>
    </row>
    <row r="5881" spans="14:20" x14ac:dyDescent="0.25">
      <c r="N5881" s="362"/>
      <c r="R5881" s="210"/>
      <c r="S5881" s="232"/>
      <c r="T5881" s="270"/>
    </row>
    <row r="5882" spans="14:20" x14ac:dyDescent="0.25">
      <c r="N5882" s="362"/>
      <c r="R5882" s="210"/>
      <c r="S5882" s="232"/>
      <c r="T5882" s="270"/>
    </row>
    <row r="5883" spans="14:20" x14ac:dyDescent="0.25">
      <c r="N5883" s="362"/>
      <c r="R5883" s="210"/>
      <c r="S5883" s="232"/>
      <c r="T5883" s="270"/>
    </row>
    <row r="5884" spans="14:20" x14ac:dyDescent="0.25">
      <c r="N5884" s="362"/>
      <c r="R5884" s="210"/>
      <c r="S5884" s="232"/>
      <c r="T5884" s="270"/>
    </row>
    <row r="5885" spans="14:20" x14ac:dyDescent="0.25">
      <c r="N5885" s="362"/>
      <c r="R5885" s="210"/>
      <c r="S5885" s="232"/>
      <c r="T5885" s="270"/>
    </row>
    <row r="5886" spans="14:20" x14ac:dyDescent="0.25">
      <c r="N5886" s="362"/>
      <c r="R5886" s="210"/>
      <c r="S5886" s="232"/>
      <c r="T5886" s="270"/>
    </row>
    <row r="5887" spans="14:20" x14ac:dyDescent="0.25">
      <c r="N5887" s="362"/>
      <c r="R5887" s="210"/>
      <c r="S5887" s="232"/>
      <c r="T5887" s="270"/>
    </row>
    <row r="5888" spans="14:20" x14ac:dyDescent="0.25">
      <c r="N5888" s="362"/>
      <c r="R5888" s="210"/>
      <c r="S5888" s="232"/>
      <c r="T5888" s="270"/>
    </row>
    <row r="5889" spans="14:20" x14ac:dyDescent="0.25">
      <c r="N5889" s="362"/>
      <c r="R5889" s="210"/>
      <c r="S5889" s="232"/>
      <c r="T5889" s="270"/>
    </row>
    <row r="5890" spans="14:20" x14ac:dyDescent="0.25">
      <c r="N5890" s="362"/>
      <c r="R5890" s="210"/>
      <c r="S5890" s="232"/>
      <c r="T5890" s="270"/>
    </row>
    <row r="5891" spans="14:20" x14ac:dyDescent="0.25">
      <c r="N5891" s="362"/>
      <c r="R5891" s="210"/>
      <c r="S5891" s="232"/>
      <c r="T5891" s="270"/>
    </row>
    <row r="5892" spans="14:20" x14ac:dyDescent="0.25">
      <c r="N5892" s="362"/>
      <c r="R5892" s="210"/>
      <c r="S5892" s="232"/>
      <c r="T5892" s="270"/>
    </row>
    <row r="5893" spans="14:20" x14ac:dyDescent="0.25">
      <c r="N5893" s="362"/>
      <c r="R5893" s="210"/>
      <c r="S5893" s="232"/>
      <c r="T5893" s="270"/>
    </row>
    <row r="5894" spans="14:20" x14ac:dyDescent="0.25">
      <c r="N5894" s="362"/>
      <c r="R5894" s="210"/>
      <c r="S5894" s="232"/>
      <c r="T5894" s="270"/>
    </row>
    <row r="5895" spans="14:20" x14ac:dyDescent="0.25">
      <c r="N5895" s="362"/>
      <c r="R5895" s="210"/>
      <c r="S5895" s="232"/>
      <c r="T5895" s="270"/>
    </row>
    <row r="5896" spans="14:20" x14ac:dyDescent="0.25">
      <c r="N5896" s="362"/>
      <c r="R5896" s="210"/>
      <c r="S5896" s="232"/>
      <c r="T5896" s="270"/>
    </row>
    <row r="5897" spans="14:20" x14ac:dyDescent="0.25">
      <c r="N5897" s="362"/>
      <c r="R5897" s="210"/>
      <c r="S5897" s="232"/>
      <c r="T5897" s="270"/>
    </row>
    <row r="5898" spans="14:20" x14ac:dyDescent="0.25">
      <c r="N5898" s="362"/>
      <c r="R5898" s="210"/>
      <c r="S5898" s="232"/>
      <c r="T5898" s="270"/>
    </row>
    <row r="5899" spans="14:20" x14ac:dyDescent="0.25">
      <c r="N5899" s="362"/>
      <c r="R5899" s="210"/>
      <c r="S5899" s="232"/>
      <c r="T5899" s="270"/>
    </row>
    <row r="5900" spans="14:20" x14ac:dyDescent="0.25">
      <c r="N5900" s="362"/>
      <c r="R5900" s="210"/>
      <c r="S5900" s="232"/>
      <c r="T5900" s="270"/>
    </row>
    <row r="5901" spans="14:20" x14ac:dyDescent="0.25">
      <c r="N5901" s="362"/>
      <c r="R5901" s="210"/>
      <c r="S5901" s="232"/>
      <c r="T5901" s="270"/>
    </row>
    <row r="5902" spans="14:20" x14ac:dyDescent="0.25">
      <c r="N5902" s="362"/>
      <c r="R5902" s="210"/>
      <c r="S5902" s="232"/>
      <c r="T5902" s="270"/>
    </row>
    <row r="5903" spans="14:20" x14ac:dyDescent="0.25">
      <c r="N5903" s="362"/>
      <c r="R5903" s="210"/>
      <c r="S5903" s="232"/>
      <c r="T5903" s="270"/>
    </row>
    <row r="5904" spans="14:20" x14ac:dyDescent="0.25">
      <c r="N5904" s="362"/>
      <c r="R5904" s="210"/>
      <c r="S5904" s="232"/>
      <c r="T5904" s="270"/>
    </row>
    <row r="5905" spans="14:20" x14ac:dyDescent="0.25">
      <c r="N5905" s="362"/>
      <c r="R5905" s="210"/>
      <c r="S5905" s="232"/>
      <c r="T5905" s="270"/>
    </row>
    <row r="5906" spans="14:20" x14ac:dyDescent="0.25">
      <c r="N5906" s="362"/>
      <c r="R5906" s="210"/>
      <c r="S5906" s="232"/>
      <c r="T5906" s="270"/>
    </row>
    <row r="5907" spans="14:20" x14ac:dyDescent="0.25">
      <c r="N5907" s="362"/>
      <c r="R5907" s="210"/>
      <c r="S5907" s="232"/>
      <c r="T5907" s="270"/>
    </row>
    <row r="5908" spans="14:20" x14ac:dyDescent="0.25">
      <c r="N5908" s="362"/>
      <c r="R5908" s="210"/>
      <c r="S5908" s="232"/>
      <c r="T5908" s="270"/>
    </row>
    <row r="5909" spans="14:20" x14ac:dyDescent="0.25">
      <c r="N5909" s="362"/>
      <c r="R5909" s="210"/>
      <c r="S5909" s="232"/>
      <c r="T5909" s="270"/>
    </row>
    <row r="5910" spans="14:20" x14ac:dyDescent="0.25">
      <c r="N5910" s="362"/>
      <c r="R5910" s="210"/>
      <c r="S5910" s="232"/>
      <c r="T5910" s="270"/>
    </row>
    <row r="5911" spans="14:20" x14ac:dyDescent="0.25">
      <c r="N5911" s="362"/>
      <c r="R5911" s="210"/>
      <c r="S5911" s="232"/>
      <c r="T5911" s="270"/>
    </row>
    <row r="5912" spans="14:20" x14ac:dyDescent="0.25">
      <c r="N5912" s="362"/>
      <c r="R5912" s="210"/>
      <c r="S5912" s="232"/>
      <c r="T5912" s="270"/>
    </row>
    <row r="5913" spans="14:20" x14ac:dyDescent="0.25">
      <c r="N5913" s="362"/>
      <c r="R5913" s="210"/>
      <c r="S5913" s="232"/>
      <c r="T5913" s="270"/>
    </row>
    <row r="5914" spans="14:20" x14ac:dyDescent="0.25">
      <c r="N5914" s="362"/>
      <c r="R5914" s="210"/>
      <c r="S5914" s="232"/>
      <c r="T5914" s="270"/>
    </row>
    <row r="5915" spans="14:20" x14ac:dyDescent="0.25">
      <c r="N5915" s="362"/>
      <c r="R5915" s="210"/>
      <c r="S5915" s="232"/>
      <c r="T5915" s="270"/>
    </row>
    <row r="5916" spans="14:20" x14ac:dyDescent="0.25">
      <c r="N5916" s="362"/>
      <c r="R5916" s="210"/>
      <c r="S5916" s="232"/>
      <c r="T5916" s="270"/>
    </row>
    <row r="5917" spans="14:20" x14ac:dyDescent="0.25">
      <c r="N5917" s="362"/>
      <c r="R5917" s="210"/>
      <c r="S5917" s="232"/>
      <c r="T5917" s="270"/>
    </row>
    <row r="5918" spans="14:20" x14ac:dyDescent="0.25">
      <c r="N5918" s="362"/>
      <c r="R5918" s="210"/>
      <c r="S5918" s="232"/>
      <c r="T5918" s="270"/>
    </row>
    <row r="5919" spans="14:20" x14ac:dyDescent="0.25">
      <c r="N5919" s="362"/>
      <c r="R5919" s="210"/>
      <c r="S5919" s="232"/>
      <c r="T5919" s="270"/>
    </row>
    <row r="5920" spans="14:20" x14ac:dyDescent="0.25">
      <c r="N5920" s="362"/>
      <c r="R5920" s="210"/>
      <c r="S5920" s="232"/>
      <c r="T5920" s="270"/>
    </row>
    <row r="5921" spans="14:20" x14ac:dyDescent="0.25">
      <c r="N5921" s="362"/>
      <c r="R5921" s="210"/>
      <c r="S5921" s="232"/>
      <c r="T5921" s="270"/>
    </row>
    <row r="5922" spans="14:20" x14ac:dyDescent="0.25">
      <c r="N5922" s="362"/>
      <c r="R5922" s="210"/>
      <c r="S5922" s="232"/>
      <c r="T5922" s="270"/>
    </row>
    <row r="5923" spans="14:20" x14ac:dyDescent="0.25">
      <c r="N5923" s="362"/>
      <c r="R5923" s="210"/>
      <c r="S5923" s="232"/>
      <c r="T5923" s="270"/>
    </row>
    <row r="5924" spans="14:20" x14ac:dyDescent="0.25">
      <c r="N5924" s="362"/>
      <c r="R5924" s="210"/>
      <c r="S5924" s="232"/>
      <c r="T5924" s="270"/>
    </row>
    <row r="5925" spans="14:20" x14ac:dyDescent="0.25">
      <c r="N5925" s="362"/>
      <c r="R5925" s="210"/>
      <c r="S5925" s="232"/>
      <c r="T5925" s="270"/>
    </row>
    <row r="5926" spans="14:20" x14ac:dyDescent="0.25">
      <c r="N5926" s="362"/>
      <c r="R5926" s="210"/>
      <c r="S5926" s="232"/>
      <c r="T5926" s="270"/>
    </row>
    <row r="5927" spans="14:20" x14ac:dyDescent="0.25">
      <c r="N5927" s="362"/>
      <c r="R5927" s="210"/>
      <c r="S5927" s="232"/>
      <c r="T5927" s="270"/>
    </row>
    <row r="5928" spans="14:20" x14ac:dyDescent="0.25">
      <c r="N5928" s="362"/>
      <c r="R5928" s="210"/>
      <c r="S5928" s="232"/>
      <c r="T5928" s="270"/>
    </row>
    <row r="5929" spans="14:20" x14ac:dyDescent="0.25">
      <c r="N5929" s="362"/>
      <c r="R5929" s="210"/>
      <c r="S5929" s="232"/>
      <c r="T5929" s="270"/>
    </row>
    <row r="5930" spans="14:20" x14ac:dyDescent="0.25">
      <c r="N5930" s="362"/>
      <c r="R5930" s="210"/>
      <c r="S5930" s="232"/>
      <c r="T5930" s="270"/>
    </row>
    <row r="5931" spans="14:20" x14ac:dyDescent="0.25">
      <c r="N5931" s="362"/>
      <c r="R5931" s="210"/>
      <c r="S5931" s="232"/>
      <c r="T5931" s="270"/>
    </row>
    <row r="5932" spans="14:20" x14ac:dyDescent="0.25">
      <c r="N5932" s="362"/>
      <c r="R5932" s="210"/>
      <c r="S5932" s="232"/>
      <c r="T5932" s="270"/>
    </row>
    <row r="5933" spans="14:20" x14ac:dyDescent="0.25">
      <c r="N5933" s="362"/>
      <c r="R5933" s="210"/>
      <c r="S5933" s="232"/>
      <c r="T5933" s="270"/>
    </row>
    <row r="5934" spans="14:20" x14ac:dyDescent="0.25">
      <c r="N5934" s="362"/>
      <c r="R5934" s="210"/>
      <c r="S5934" s="232"/>
      <c r="T5934" s="270"/>
    </row>
    <row r="5935" spans="14:20" x14ac:dyDescent="0.25">
      <c r="N5935" s="362"/>
      <c r="R5935" s="210"/>
      <c r="S5935" s="232"/>
      <c r="T5935" s="270"/>
    </row>
    <row r="5936" spans="14:20" x14ac:dyDescent="0.25">
      <c r="N5936" s="362"/>
      <c r="R5936" s="210"/>
      <c r="S5936" s="232"/>
      <c r="T5936" s="270"/>
    </row>
    <row r="5937" spans="14:20" x14ac:dyDescent="0.25">
      <c r="N5937" s="362"/>
      <c r="R5937" s="210"/>
      <c r="S5937" s="232"/>
      <c r="T5937" s="270"/>
    </row>
    <row r="5938" spans="14:20" x14ac:dyDescent="0.25">
      <c r="N5938" s="362"/>
      <c r="R5938" s="210"/>
      <c r="S5938" s="232"/>
      <c r="T5938" s="270"/>
    </row>
    <row r="5939" spans="14:20" x14ac:dyDescent="0.25">
      <c r="N5939" s="362"/>
      <c r="R5939" s="210"/>
      <c r="S5939" s="232"/>
      <c r="T5939" s="270"/>
    </row>
    <row r="5940" spans="14:20" x14ac:dyDescent="0.25">
      <c r="N5940" s="362"/>
      <c r="R5940" s="210"/>
      <c r="S5940" s="232"/>
      <c r="T5940" s="270"/>
    </row>
    <row r="5941" spans="14:20" x14ac:dyDescent="0.25">
      <c r="N5941" s="362"/>
      <c r="R5941" s="210"/>
      <c r="S5941" s="232"/>
      <c r="T5941" s="270"/>
    </row>
    <row r="5942" spans="14:20" x14ac:dyDescent="0.25">
      <c r="N5942" s="362"/>
      <c r="R5942" s="210"/>
      <c r="S5942" s="232"/>
      <c r="T5942" s="270"/>
    </row>
    <row r="5943" spans="14:20" x14ac:dyDescent="0.25">
      <c r="N5943" s="362"/>
      <c r="R5943" s="210"/>
      <c r="S5943" s="232"/>
      <c r="T5943" s="270"/>
    </row>
    <row r="5944" spans="14:20" x14ac:dyDescent="0.25">
      <c r="N5944" s="362"/>
      <c r="R5944" s="210"/>
      <c r="S5944" s="232"/>
      <c r="T5944" s="270"/>
    </row>
    <row r="5945" spans="14:20" x14ac:dyDescent="0.25">
      <c r="N5945" s="362"/>
      <c r="R5945" s="210"/>
      <c r="S5945" s="232"/>
      <c r="T5945" s="270"/>
    </row>
    <row r="5946" spans="14:20" x14ac:dyDescent="0.25">
      <c r="N5946" s="362"/>
      <c r="R5946" s="210"/>
      <c r="S5946" s="232"/>
      <c r="T5946" s="270"/>
    </row>
    <row r="5947" spans="14:20" x14ac:dyDescent="0.25">
      <c r="N5947" s="362"/>
      <c r="R5947" s="210"/>
      <c r="S5947" s="232"/>
      <c r="T5947" s="270"/>
    </row>
    <row r="5948" spans="14:20" x14ac:dyDescent="0.25">
      <c r="N5948" s="362"/>
      <c r="R5948" s="210"/>
      <c r="S5948" s="232"/>
      <c r="T5948" s="270"/>
    </row>
    <row r="5949" spans="14:20" x14ac:dyDescent="0.25">
      <c r="N5949" s="362"/>
      <c r="R5949" s="210"/>
      <c r="S5949" s="232"/>
      <c r="T5949" s="270"/>
    </row>
    <row r="5950" spans="14:20" x14ac:dyDescent="0.25">
      <c r="N5950" s="362"/>
      <c r="R5950" s="210"/>
      <c r="S5950" s="232"/>
      <c r="T5950" s="270"/>
    </row>
    <row r="5951" spans="14:20" x14ac:dyDescent="0.25">
      <c r="N5951" s="362"/>
      <c r="R5951" s="210"/>
      <c r="S5951" s="232"/>
      <c r="T5951" s="270"/>
    </row>
    <row r="5952" spans="14:20" x14ac:dyDescent="0.25">
      <c r="N5952" s="362"/>
      <c r="R5952" s="210"/>
      <c r="S5952" s="232"/>
      <c r="T5952" s="270"/>
    </row>
    <row r="5953" spans="14:20" x14ac:dyDescent="0.25">
      <c r="N5953" s="362"/>
      <c r="R5953" s="210"/>
      <c r="S5953" s="232"/>
      <c r="T5953" s="270"/>
    </row>
    <row r="5954" spans="14:20" x14ac:dyDescent="0.25">
      <c r="N5954" s="362"/>
      <c r="R5954" s="210"/>
      <c r="S5954" s="232"/>
      <c r="T5954" s="270"/>
    </row>
    <row r="5955" spans="14:20" x14ac:dyDescent="0.25">
      <c r="N5955" s="362"/>
      <c r="R5955" s="210"/>
      <c r="S5955" s="232"/>
      <c r="T5955" s="270"/>
    </row>
    <row r="5956" spans="14:20" x14ac:dyDescent="0.25">
      <c r="N5956" s="362"/>
      <c r="R5956" s="210"/>
      <c r="S5956" s="232"/>
      <c r="T5956" s="270"/>
    </row>
    <row r="5957" spans="14:20" x14ac:dyDescent="0.25">
      <c r="N5957" s="362"/>
      <c r="R5957" s="210"/>
      <c r="S5957" s="232"/>
      <c r="T5957" s="270"/>
    </row>
    <row r="5958" spans="14:20" x14ac:dyDescent="0.25">
      <c r="N5958" s="362"/>
      <c r="R5958" s="210"/>
      <c r="S5958" s="232"/>
      <c r="T5958" s="270"/>
    </row>
    <row r="5959" spans="14:20" x14ac:dyDescent="0.25">
      <c r="N5959" s="362"/>
      <c r="R5959" s="210"/>
      <c r="S5959" s="232"/>
      <c r="T5959" s="270"/>
    </row>
    <row r="5960" spans="14:20" x14ac:dyDescent="0.25">
      <c r="N5960" s="362"/>
      <c r="R5960" s="210"/>
      <c r="S5960" s="232"/>
      <c r="T5960" s="270"/>
    </row>
    <row r="5961" spans="14:20" x14ac:dyDescent="0.25">
      <c r="N5961" s="362"/>
      <c r="R5961" s="210"/>
      <c r="S5961" s="232"/>
      <c r="T5961" s="270"/>
    </row>
    <row r="5962" spans="14:20" x14ac:dyDescent="0.25">
      <c r="N5962" s="362"/>
      <c r="R5962" s="210"/>
      <c r="S5962" s="232"/>
      <c r="T5962" s="270"/>
    </row>
    <row r="5963" spans="14:20" x14ac:dyDescent="0.25">
      <c r="N5963" s="362"/>
      <c r="R5963" s="210"/>
      <c r="S5963" s="232"/>
      <c r="T5963" s="270"/>
    </row>
    <row r="5964" spans="14:20" x14ac:dyDescent="0.25">
      <c r="N5964" s="362"/>
      <c r="R5964" s="210"/>
      <c r="S5964" s="232"/>
      <c r="T5964" s="270"/>
    </row>
    <row r="5965" spans="14:20" x14ac:dyDescent="0.25">
      <c r="N5965" s="362"/>
      <c r="R5965" s="210"/>
      <c r="S5965" s="232"/>
      <c r="T5965" s="270"/>
    </row>
    <row r="5966" spans="14:20" x14ac:dyDescent="0.25">
      <c r="N5966" s="362"/>
      <c r="R5966" s="210"/>
      <c r="S5966" s="232"/>
      <c r="T5966" s="270"/>
    </row>
    <row r="5967" spans="14:20" x14ac:dyDescent="0.25">
      <c r="N5967" s="362"/>
      <c r="R5967" s="210"/>
      <c r="S5967" s="232"/>
      <c r="T5967" s="270"/>
    </row>
    <row r="5968" spans="14:20" x14ac:dyDescent="0.25">
      <c r="N5968" s="362"/>
      <c r="R5968" s="210"/>
      <c r="S5968" s="232"/>
      <c r="T5968" s="270"/>
    </row>
    <row r="5969" spans="14:20" x14ac:dyDescent="0.25">
      <c r="N5969" s="362"/>
      <c r="R5969" s="210"/>
      <c r="S5969" s="232"/>
      <c r="T5969" s="270"/>
    </row>
    <row r="5970" spans="14:20" x14ac:dyDescent="0.25">
      <c r="N5970" s="362"/>
      <c r="R5970" s="210"/>
      <c r="S5970" s="232"/>
      <c r="T5970" s="270"/>
    </row>
    <row r="5971" spans="14:20" x14ac:dyDescent="0.25">
      <c r="N5971" s="362"/>
      <c r="R5971" s="210"/>
      <c r="S5971" s="232"/>
      <c r="T5971" s="270"/>
    </row>
    <row r="5972" spans="14:20" x14ac:dyDescent="0.25">
      <c r="N5972" s="362"/>
      <c r="R5972" s="210"/>
      <c r="S5972" s="232"/>
      <c r="T5972" s="270"/>
    </row>
    <row r="5973" spans="14:20" x14ac:dyDescent="0.25">
      <c r="N5973" s="362"/>
      <c r="R5973" s="210"/>
      <c r="S5973" s="232"/>
      <c r="T5973" s="270"/>
    </row>
    <row r="5974" spans="14:20" x14ac:dyDescent="0.25">
      <c r="N5974" s="362"/>
      <c r="R5974" s="210"/>
      <c r="S5974" s="232"/>
      <c r="T5974" s="270"/>
    </row>
    <row r="5975" spans="14:20" x14ac:dyDescent="0.25">
      <c r="N5975" s="362"/>
      <c r="R5975" s="210"/>
      <c r="S5975" s="232"/>
      <c r="T5975" s="270"/>
    </row>
    <row r="5976" spans="14:20" x14ac:dyDescent="0.25">
      <c r="N5976" s="362"/>
      <c r="R5976" s="210"/>
      <c r="S5976" s="232"/>
      <c r="T5976" s="270"/>
    </row>
    <row r="5977" spans="14:20" x14ac:dyDescent="0.25">
      <c r="N5977" s="362"/>
      <c r="R5977" s="210"/>
      <c r="S5977" s="232"/>
      <c r="T5977" s="270"/>
    </row>
    <row r="5978" spans="14:20" x14ac:dyDescent="0.25">
      <c r="N5978" s="362"/>
      <c r="R5978" s="210"/>
      <c r="S5978" s="232"/>
      <c r="T5978" s="270"/>
    </row>
    <row r="5979" spans="14:20" x14ac:dyDescent="0.25">
      <c r="N5979" s="362"/>
      <c r="R5979" s="210"/>
      <c r="S5979" s="232"/>
      <c r="T5979" s="270"/>
    </row>
    <row r="5980" spans="14:20" x14ac:dyDescent="0.25">
      <c r="N5980" s="362"/>
      <c r="R5980" s="210"/>
      <c r="S5980" s="232"/>
      <c r="T5980" s="270"/>
    </row>
    <row r="5981" spans="14:20" x14ac:dyDescent="0.25">
      <c r="N5981" s="362"/>
      <c r="R5981" s="210"/>
      <c r="S5981" s="232"/>
      <c r="T5981" s="270"/>
    </row>
    <row r="5982" spans="14:20" x14ac:dyDescent="0.25">
      <c r="N5982" s="362"/>
      <c r="R5982" s="210"/>
      <c r="S5982" s="232"/>
      <c r="T5982" s="270"/>
    </row>
    <row r="5983" spans="14:20" x14ac:dyDescent="0.25">
      <c r="N5983" s="362"/>
      <c r="R5983" s="210"/>
      <c r="S5983" s="232"/>
      <c r="T5983" s="270"/>
    </row>
    <row r="5984" spans="14:20" x14ac:dyDescent="0.25">
      <c r="N5984" s="362"/>
      <c r="R5984" s="210"/>
      <c r="S5984" s="232"/>
      <c r="T5984" s="270"/>
    </row>
    <row r="5985" spans="14:20" x14ac:dyDescent="0.25">
      <c r="N5985" s="362"/>
      <c r="R5985" s="210"/>
      <c r="S5985" s="232"/>
      <c r="T5985" s="270"/>
    </row>
    <row r="5986" spans="14:20" x14ac:dyDescent="0.25">
      <c r="N5986" s="362"/>
      <c r="R5986" s="210"/>
      <c r="S5986" s="232"/>
      <c r="T5986" s="270"/>
    </row>
    <row r="5987" spans="14:20" x14ac:dyDescent="0.25">
      <c r="N5987" s="362"/>
      <c r="R5987" s="210"/>
      <c r="S5987" s="232"/>
      <c r="T5987" s="270"/>
    </row>
    <row r="5988" spans="14:20" x14ac:dyDescent="0.25">
      <c r="N5988" s="362"/>
      <c r="R5988" s="210"/>
      <c r="S5988" s="232"/>
      <c r="T5988" s="270"/>
    </row>
    <row r="5989" spans="14:20" x14ac:dyDescent="0.25">
      <c r="N5989" s="362"/>
      <c r="R5989" s="210"/>
      <c r="S5989" s="232"/>
      <c r="T5989" s="270"/>
    </row>
    <row r="5990" spans="14:20" x14ac:dyDescent="0.25">
      <c r="N5990" s="362"/>
      <c r="R5990" s="210"/>
      <c r="S5990" s="232"/>
      <c r="T5990" s="270"/>
    </row>
    <row r="5991" spans="14:20" x14ac:dyDescent="0.25">
      <c r="N5991" s="362"/>
      <c r="R5991" s="210"/>
      <c r="S5991" s="232"/>
      <c r="T5991" s="270"/>
    </row>
    <row r="5992" spans="14:20" x14ac:dyDescent="0.25">
      <c r="N5992" s="362"/>
      <c r="R5992" s="210"/>
      <c r="S5992" s="232"/>
      <c r="T5992" s="270"/>
    </row>
    <row r="5993" spans="14:20" x14ac:dyDescent="0.25">
      <c r="N5993" s="362"/>
      <c r="R5993" s="210"/>
      <c r="S5993" s="232"/>
      <c r="T5993" s="270"/>
    </row>
    <row r="5994" spans="14:20" x14ac:dyDescent="0.25">
      <c r="N5994" s="362"/>
      <c r="R5994" s="210"/>
      <c r="S5994" s="232"/>
      <c r="T5994" s="270"/>
    </row>
    <row r="5995" spans="14:20" x14ac:dyDescent="0.25">
      <c r="N5995" s="362"/>
      <c r="R5995" s="210"/>
      <c r="S5995" s="232"/>
      <c r="T5995" s="270"/>
    </row>
    <row r="5996" spans="14:20" x14ac:dyDescent="0.25">
      <c r="N5996" s="362"/>
      <c r="R5996" s="210"/>
      <c r="S5996" s="232"/>
      <c r="T5996" s="270"/>
    </row>
    <row r="5997" spans="14:20" x14ac:dyDescent="0.25">
      <c r="N5997" s="362"/>
      <c r="R5997" s="210"/>
      <c r="S5997" s="232"/>
      <c r="T5997" s="270"/>
    </row>
    <row r="5998" spans="14:20" x14ac:dyDescent="0.25">
      <c r="N5998" s="362"/>
      <c r="R5998" s="210"/>
      <c r="S5998" s="232"/>
      <c r="T5998" s="270"/>
    </row>
    <row r="5999" spans="14:20" x14ac:dyDescent="0.25">
      <c r="N5999" s="362"/>
      <c r="R5999" s="210"/>
      <c r="S5999" s="232"/>
      <c r="T5999" s="270"/>
    </row>
    <row r="6000" spans="14:20" x14ac:dyDescent="0.25">
      <c r="N6000" s="362"/>
      <c r="R6000" s="210"/>
      <c r="S6000" s="232"/>
      <c r="T6000" s="270"/>
    </row>
    <row r="6001" spans="14:20" x14ac:dyDescent="0.25">
      <c r="N6001" s="362"/>
      <c r="R6001" s="210"/>
      <c r="S6001" s="232"/>
      <c r="T6001" s="270"/>
    </row>
    <row r="6002" spans="14:20" x14ac:dyDescent="0.25">
      <c r="N6002" s="362"/>
      <c r="R6002" s="210"/>
      <c r="S6002" s="232"/>
      <c r="T6002" s="270"/>
    </row>
    <row r="6003" spans="14:20" x14ac:dyDescent="0.25">
      <c r="N6003" s="362"/>
      <c r="R6003" s="210"/>
      <c r="S6003" s="232"/>
      <c r="T6003" s="270"/>
    </row>
    <row r="6004" spans="14:20" x14ac:dyDescent="0.25">
      <c r="N6004" s="362"/>
      <c r="R6004" s="210"/>
      <c r="S6004" s="232"/>
      <c r="T6004" s="270"/>
    </row>
    <row r="6005" spans="14:20" x14ac:dyDescent="0.25">
      <c r="N6005" s="362"/>
      <c r="R6005" s="210"/>
      <c r="S6005" s="232"/>
      <c r="T6005" s="270"/>
    </row>
    <row r="6006" spans="14:20" x14ac:dyDescent="0.25">
      <c r="N6006" s="362"/>
      <c r="R6006" s="210"/>
      <c r="S6006" s="232"/>
      <c r="T6006" s="270"/>
    </row>
    <row r="6007" spans="14:20" x14ac:dyDescent="0.25">
      <c r="N6007" s="362"/>
      <c r="R6007" s="210"/>
      <c r="S6007" s="232"/>
      <c r="T6007" s="270"/>
    </row>
    <row r="6008" spans="14:20" x14ac:dyDescent="0.25">
      <c r="N6008" s="362"/>
      <c r="R6008" s="210"/>
      <c r="S6008" s="232"/>
      <c r="T6008" s="270"/>
    </row>
    <row r="6009" spans="14:20" x14ac:dyDescent="0.25">
      <c r="N6009" s="362"/>
      <c r="R6009" s="210"/>
      <c r="S6009" s="232"/>
      <c r="T6009" s="270"/>
    </row>
    <row r="6010" spans="14:20" x14ac:dyDescent="0.25">
      <c r="N6010" s="362"/>
      <c r="R6010" s="210"/>
      <c r="S6010" s="232"/>
      <c r="T6010" s="270"/>
    </row>
    <row r="6011" spans="14:20" x14ac:dyDescent="0.25">
      <c r="N6011" s="362"/>
      <c r="R6011" s="210"/>
      <c r="S6011" s="232"/>
      <c r="T6011" s="270"/>
    </row>
    <row r="6012" spans="14:20" x14ac:dyDescent="0.25">
      <c r="N6012" s="362"/>
      <c r="R6012" s="210"/>
      <c r="S6012" s="232"/>
      <c r="T6012" s="270"/>
    </row>
    <row r="6013" spans="14:20" x14ac:dyDescent="0.25">
      <c r="N6013" s="362"/>
      <c r="R6013" s="210"/>
      <c r="S6013" s="232"/>
      <c r="T6013" s="270"/>
    </row>
    <row r="6014" spans="14:20" x14ac:dyDescent="0.25">
      <c r="N6014" s="362"/>
      <c r="R6014" s="210"/>
      <c r="S6014" s="232"/>
      <c r="T6014" s="270"/>
    </row>
    <row r="6015" spans="14:20" x14ac:dyDescent="0.25">
      <c r="N6015" s="362"/>
      <c r="R6015" s="210"/>
      <c r="S6015" s="232"/>
      <c r="T6015" s="270"/>
    </row>
    <row r="6016" spans="14:20" x14ac:dyDescent="0.25">
      <c r="N6016" s="362"/>
      <c r="R6016" s="210"/>
      <c r="S6016" s="232"/>
      <c r="T6016" s="270"/>
    </row>
    <row r="6017" spans="14:20" x14ac:dyDescent="0.25">
      <c r="N6017" s="362"/>
      <c r="R6017" s="210"/>
      <c r="S6017" s="232"/>
      <c r="T6017" s="270"/>
    </row>
    <row r="6018" spans="14:20" x14ac:dyDescent="0.25">
      <c r="N6018" s="362"/>
      <c r="R6018" s="210"/>
      <c r="S6018" s="232"/>
      <c r="T6018" s="270"/>
    </row>
    <row r="6019" spans="14:20" x14ac:dyDescent="0.25">
      <c r="N6019" s="362"/>
      <c r="R6019" s="210"/>
      <c r="S6019" s="232"/>
      <c r="T6019" s="270"/>
    </row>
    <row r="6020" spans="14:20" x14ac:dyDescent="0.25">
      <c r="N6020" s="362"/>
      <c r="R6020" s="210"/>
      <c r="S6020" s="232"/>
      <c r="T6020" s="270"/>
    </row>
    <row r="6021" spans="14:20" x14ac:dyDescent="0.25">
      <c r="N6021" s="362"/>
      <c r="R6021" s="210"/>
      <c r="S6021" s="232"/>
      <c r="T6021" s="270"/>
    </row>
    <row r="6022" spans="14:20" x14ac:dyDescent="0.25">
      <c r="N6022" s="362"/>
      <c r="R6022" s="210"/>
      <c r="S6022" s="232"/>
      <c r="T6022" s="270"/>
    </row>
    <row r="6023" spans="14:20" x14ac:dyDescent="0.25">
      <c r="N6023" s="362"/>
      <c r="R6023" s="210"/>
      <c r="S6023" s="232"/>
      <c r="T6023" s="270"/>
    </row>
    <row r="6024" spans="14:20" x14ac:dyDescent="0.25">
      <c r="N6024" s="362"/>
      <c r="R6024" s="210"/>
      <c r="S6024" s="232"/>
      <c r="T6024" s="270"/>
    </row>
    <row r="6025" spans="14:20" x14ac:dyDescent="0.25">
      <c r="N6025" s="362"/>
      <c r="R6025" s="210"/>
      <c r="S6025" s="232"/>
      <c r="T6025" s="270"/>
    </row>
    <row r="6026" spans="14:20" x14ac:dyDescent="0.25">
      <c r="N6026" s="362"/>
      <c r="R6026" s="210"/>
      <c r="S6026" s="232"/>
      <c r="T6026" s="270"/>
    </row>
    <row r="6027" spans="14:20" x14ac:dyDescent="0.25">
      <c r="N6027" s="362"/>
      <c r="R6027" s="210"/>
      <c r="S6027" s="232"/>
      <c r="T6027" s="270"/>
    </row>
    <row r="6028" spans="14:20" x14ac:dyDescent="0.25">
      <c r="N6028" s="362"/>
      <c r="R6028" s="210"/>
      <c r="S6028" s="232"/>
      <c r="T6028" s="270"/>
    </row>
    <row r="6029" spans="14:20" x14ac:dyDescent="0.25">
      <c r="N6029" s="362"/>
      <c r="R6029" s="210"/>
      <c r="S6029" s="232"/>
      <c r="T6029" s="270"/>
    </row>
    <row r="6030" spans="14:20" x14ac:dyDescent="0.25">
      <c r="N6030" s="362"/>
      <c r="R6030" s="210"/>
      <c r="S6030" s="232"/>
      <c r="T6030" s="270"/>
    </row>
    <row r="6031" spans="14:20" x14ac:dyDescent="0.25">
      <c r="N6031" s="362"/>
      <c r="R6031" s="210"/>
      <c r="S6031" s="232"/>
      <c r="T6031" s="270"/>
    </row>
    <row r="6032" spans="14:20" x14ac:dyDescent="0.25">
      <c r="N6032" s="362"/>
      <c r="R6032" s="210"/>
      <c r="S6032" s="232"/>
      <c r="T6032" s="270"/>
    </row>
    <row r="6033" spans="14:20" x14ac:dyDescent="0.25">
      <c r="N6033" s="362"/>
      <c r="R6033" s="210"/>
      <c r="S6033" s="232"/>
      <c r="T6033" s="270"/>
    </row>
    <row r="6034" spans="14:20" x14ac:dyDescent="0.25">
      <c r="N6034" s="362"/>
      <c r="R6034" s="210"/>
      <c r="S6034" s="232"/>
      <c r="T6034" s="270"/>
    </row>
    <row r="6035" spans="14:20" x14ac:dyDescent="0.25">
      <c r="N6035" s="362"/>
      <c r="R6035" s="210"/>
      <c r="S6035" s="232"/>
      <c r="T6035" s="270"/>
    </row>
    <row r="6036" spans="14:20" x14ac:dyDescent="0.25">
      <c r="N6036" s="362"/>
      <c r="R6036" s="210"/>
      <c r="S6036" s="232"/>
      <c r="T6036" s="270"/>
    </row>
    <row r="6037" spans="14:20" x14ac:dyDescent="0.25">
      <c r="N6037" s="362"/>
      <c r="R6037" s="210"/>
      <c r="S6037" s="232"/>
      <c r="T6037" s="270"/>
    </row>
    <row r="6038" spans="14:20" x14ac:dyDescent="0.25">
      <c r="N6038" s="362"/>
      <c r="R6038" s="210"/>
      <c r="S6038" s="232"/>
      <c r="T6038" s="270"/>
    </row>
    <row r="6039" spans="14:20" x14ac:dyDescent="0.25">
      <c r="N6039" s="362"/>
      <c r="R6039" s="210"/>
      <c r="S6039" s="232"/>
      <c r="T6039" s="270"/>
    </row>
    <row r="6040" spans="14:20" x14ac:dyDescent="0.25">
      <c r="N6040" s="362"/>
      <c r="R6040" s="210"/>
      <c r="S6040" s="232"/>
      <c r="T6040" s="270"/>
    </row>
    <row r="6041" spans="14:20" x14ac:dyDescent="0.25">
      <c r="N6041" s="362"/>
      <c r="R6041" s="210"/>
      <c r="S6041" s="232"/>
      <c r="T6041" s="270"/>
    </row>
    <row r="6042" spans="14:20" x14ac:dyDescent="0.25">
      <c r="N6042" s="362"/>
      <c r="R6042" s="210"/>
      <c r="S6042" s="232"/>
      <c r="T6042" s="270"/>
    </row>
    <row r="6043" spans="14:20" x14ac:dyDescent="0.25">
      <c r="N6043" s="362"/>
      <c r="R6043" s="210"/>
      <c r="S6043" s="232"/>
      <c r="T6043" s="270"/>
    </row>
    <row r="6044" spans="14:20" x14ac:dyDescent="0.25">
      <c r="N6044" s="362"/>
      <c r="R6044" s="210"/>
      <c r="S6044" s="232"/>
      <c r="T6044" s="270"/>
    </row>
    <row r="6045" spans="14:20" x14ac:dyDescent="0.25">
      <c r="N6045" s="362"/>
      <c r="R6045" s="210"/>
      <c r="S6045" s="232"/>
      <c r="T6045" s="270"/>
    </row>
    <row r="6046" spans="14:20" x14ac:dyDescent="0.25">
      <c r="N6046" s="362"/>
      <c r="R6046" s="210"/>
      <c r="S6046" s="232"/>
      <c r="T6046" s="270"/>
    </row>
    <row r="6047" spans="14:20" x14ac:dyDescent="0.25">
      <c r="N6047" s="362"/>
      <c r="R6047" s="210"/>
      <c r="S6047" s="232"/>
      <c r="T6047" s="270"/>
    </row>
    <row r="6048" spans="14:20" x14ac:dyDescent="0.25">
      <c r="N6048" s="362"/>
      <c r="R6048" s="210"/>
      <c r="S6048" s="232"/>
      <c r="T6048" s="270"/>
    </row>
    <row r="6049" spans="14:20" x14ac:dyDescent="0.25">
      <c r="N6049" s="362"/>
      <c r="R6049" s="210"/>
      <c r="S6049" s="232"/>
      <c r="T6049" s="270"/>
    </row>
    <row r="6050" spans="14:20" x14ac:dyDescent="0.25">
      <c r="N6050" s="362"/>
      <c r="R6050" s="210"/>
      <c r="S6050" s="232"/>
      <c r="T6050" s="270"/>
    </row>
    <row r="6051" spans="14:20" x14ac:dyDescent="0.25">
      <c r="N6051" s="362"/>
      <c r="R6051" s="210"/>
      <c r="S6051" s="232"/>
      <c r="T6051" s="270"/>
    </row>
    <row r="6052" spans="14:20" x14ac:dyDescent="0.25">
      <c r="N6052" s="362"/>
      <c r="R6052" s="210"/>
      <c r="S6052" s="232"/>
      <c r="T6052" s="270"/>
    </row>
    <row r="6053" spans="14:20" x14ac:dyDescent="0.25">
      <c r="N6053" s="362"/>
      <c r="R6053" s="210"/>
      <c r="S6053" s="232"/>
      <c r="T6053" s="270"/>
    </row>
    <row r="6054" spans="14:20" x14ac:dyDescent="0.25">
      <c r="N6054" s="362"/>
      <c r="R6054" s="210"/>
      <c r="S6054" s="232"/>
      <c r="T6054" s="270"/>
    </row>
    <row r="6055" spans="14:20" x14ac:dyDescent="0.25">
      <c r="N6055" s="362"/>
      <c r="R6055" s="210"/>
      <c r="S6055" s="232"/>
      <c r="T6055" s="270"/>
    </row>
    <row r="6056" spans="14:20" x14ac:dyDescent="0.25">
      <c r="N6056" s="362"/>
      <c r="R6056" s="210"/>
      <c r="S6056" s="232"/>
      <c r="T6056" s="270"/>
    </row>
    <row r="6057" spans="14:20" x14ac:dyDescent="0.25">
      <c r="N6057" s="362"/>
      <c r="R6057" s="210"/>
      <c r="S6057" s="232"/>
      <c r="T6057" s="270"/>
    </row>
    <row r="6058" spans="14:20" x14ac:dyDescent="0.25">
      <c r="N6058" s="362"/>
      <c r="R6058" s="210"/>
      <c r="S6058" s="232"/>
      <c r="T6058" s="270"/>
    </row>
    <row r="6059" spans="14:20" x14ac:dyDescent="0.25">
      <c r="N6059" s="362"/>
      <c r="R6059" s="210"/>
      <c r="S6059" s="232"/>
      <c r="T6059" s="270"/>
    </row>
    <row r="6060" spans="14:20" x14ac:dyDescent="0.25">
      <c r="N6060" s="362"/>
      <c r="R6060" s="210"/>
      <c r="S6060" s="232"/>
      <c r="T6060" s="270"/>
    </row>
    <row r="6061" spans="14:20" x14ac:dyDescent="0.25">
      <c r="N6061" s="362"/>
      <c r="R6061" s="210"/>
      <c r="S6061" s="232"/>
      <c r="T6061" s="270"/>
    </row>
    <row r="6062" spans="14:20" x14ac:dyDescent="0.25">
      <c r="N6062" s="362"/>
      <c r="R6062" s="210"/>
      <c r="S6062" s="232"/>
      <c r="T6062" s="270"/>
    </row>
    <row r="6063" spans="14:20" x14ac:dyDescent="0.25">
      <c r="N6063" s="362"/>
      <c r="R6063" s="210"/>
      <c r="S6063" s="232"/>
      <c r="T6063" s="270"/>
    </row>
    <row r="6064" spans="14:20" x14ac:dyDescent="0.25">
      <c r="N6064" s="362"/>
      <c r="R6064" s="210"/>
      <c r="S6064" s="232"/>
      <c r="T6064" s="270"/>
    </row>
    <row r="6065" spans="14:20" x14ac:dyDescent="0.25">
      <c r="N6065" s="362"/>
      <c r="R6065" s="210"/>
      <c r="S6065" s="232"/>
      <c r="T6065" s="270"/>
    </row>
    <row r="6066" spans="14:20" x14ac:dyDescent="0.25">
      <c r="N6066" s="362"/>
      <c r="R6066" s="210"/>
      <c r="S6066" s="232"/>
      <c r="T6066" s="270"/>
    </row>
    <row r="6067" spans="14:20" x14ac:dyDescent="0.25">
      <c r="N6067" s="362"/>
      <c r="R6067" s="210"/>
      <c r="S6067" s="232"/>
      <c r="T6067" s="270"/>
    </row>
    <row r="6068" spans="14:20" x14ac:dyDescent="0.25">
      <c r="N6068" s="362"/>
      <c r="R6068" s="210"/>
      <c r="S6068" s="232"/>
      <c r="T6068" s="270"/>
    </row>
    <row r="6069" spans="14:20" x14ac:dyDescent="0.25">
      <c r="N6069" s="362"/>
      <c r="R6069" s="210"/>
      <c r="S6069" s="232"/>
      <c r="T6069" s="270"/>
    </row>
    <row r="6070" spans="14:20" x14ac:dyDescent="0.25">
      <c r="N6070" s="362"/>
      <c r="R6070" s="210"/>
      <c r="S6070" s="232"/>
      <c r="T6070" s="270"/>
    </row>
    <row r="6071" spans="14:20" x14ac:dyDescent="0.25">
      <c r="N6071" s="362"/>
      <c r="R6071" s="210"/>
      <c r="S6071" s="232"/>
      <c r="T6071" s="270"/>
    </row>
    <row r="6072" spans="14:20" x14ac:dyDescent="0.25">
      <c r="N6072" s="362"/>
      <c r="R6072" s="210"/>
      <c r="S6072" s="232"/>
      <c r="T6072" s="270"/>
    </row>
    <row r="6073" spans="14:20" x14ac:dyDescent="0.25">
      <c r="N6073" s="362"/>
      <c r="R6073" s="210"/>
      <c r="S6073" s="232"/>
      <c r="T6073" s="270"/>
    </row>
    <row r="6074" spans="14:20" x14ac:dyDescent="0.25">
      <c r="N6074" s="362"/>
      <c r="R6074" s="210"/>
      <c r="S6074" s="232"/>
      <c r="T6074" s="270"/>
    </row>
    <row r="6075" spans="14:20" x14ac:dyDescent="0.25">
      <c r="N6075" s="362"/>
      <c r="R6075" s="210"/>
      <c r="S6075" s="232"/>
      <c r="T6075" s="270"/>
    </row>
    <row r="6076" spans="14:20" x14ac:dyDescent="0.25">
      <c r="N6076" s="362"/>
      <c r="R6076" s="210"/>
      <c r="S6076" s="232"/>
      <c r="T6076" s="270"/>
    </row>
    <row r="6077" spans="14:20" x14ac:dyDescent="0.25">
      <c r="N6077" s="362"/>
      <c r="R6077" s="210"/>
      <c r="S6077" s="232"/>
      <c r="T6077" s="270"/>
    </row>
    <row r="6078" spans="14:20" x14ac:dyDescent="0.25">
      <c r="N6078" s="362"/>
      <c r="R6078" s="210"/>
      <c r="S6078" s="232"/>
      <c r="T6078" s="270"/>
    </row>
    <row r="6079" spans="14:20" x14ac:dyDescent="0.25">
      <c r="N6079" s="362"/>
      <c r="R6079" s="210"/>
      <c r="S6079" s="232"/>
      <c r="T6079" s="270"/>
    </row>
    <row r="6080" spans="14:20" x14ac:dyDescent="0.25">
      <c r="N6080" s="362"/>
      <c r="R6080" s="210"/>
      <c r="S6080" s="232"/>
      <c r="T6080" s="270"/>
    </row>
    <row r="6081" spans="14:20" x14ac:dyDescent="0.25">
      <c r="N6081" s="362"/>
      <c r="R6081" s="210"/>
      <c r="S6081" s="232"/>
      <c r="T6081" s="270"/>
    </row>
    <row r="6082" spans="14:20" x14ac:dyDescent="0.25">
      <c r="N6082" s="362"/>
      <c r="R6082" s="210"/>
      <c r="S6082" s="232"/>
      <c r="T6082" s="270"/>
    </row>
    <row r="6083" spans="14:20" x14ac:dyDescent="0.25">
      <c r="N6083" s="362"/>
      <c r="R6083" s="210"/>
      <c r="S6083" s="232"/>
      <c r="T6083" s="270"/>
    </row>
    <row r="6084" spans="14:20" x14ac:dyDescent="0.25">
      <c r="N6084" s="362"/>
      <c r="R6084" s="210"/>
      <c r="S6084" s="232"/>
      <c r="T6084" s="270"/>
    </row>
    <row r="6085" spans="14:20" x14ac:dyDescent="0.25">
      <c r="N6085" s="362"/>
      <c r="R6085" s="210"/>
      <c r="S6085" s="232"/>
      <c r="T6085" s="270"/>
    </row>
    <row r="6086" spans="14:20" x14ac:dyDescent="0.25">
      <c r="N6086" s="362"/>
      <c r="R6086" s="210"/>
      <c r="S6086" s="232"/>
      <c r="T6086" s="270"/>
    </row>
    <row r="6087" spans="14:20" x14ac:dyDescent="0.25">
      <c r="N6087" s="362"/>
      <c r="R6087" s="210"/>
      <c r="S6087" s="232"/>
      <c r="T6087" s="270"/>
    </row>
    <row r="6088" spans="14:20" x14ac:dyDescent="0.25">
      <c r="N6088" s="362"/>
      <c r="R6088" s="210"/>
      <c r="S6088" s="232"/>
      <c r="T6088" s="270"/>
    </row>
    <row r="6089" spans="14:20" x14ac:dyDescent="0.25">
      <c r="N6089" s="362"/>
      <c r="R6089" s="210"/>
      <c r="S6089" s="232"/>
      <c r="T6089" s="270"/>
    </row>
    <row r="6090" spans="14:20" x14ac:dyDescent="0.25">
      <c r="N6090" s="362"/>
      <c r="R6090" s="210"/>
      <c r="S6090" s="232"/>
      <c r="T6090" s="270"/>
    </row>
    <row r="6091" spans="14:20" x14ac:dyDescent="0.25">
      <c r="N6091" s="362"/>
      <c r="R6091" s="210"/>
      <c r="S6091" s="232"/>
      <c r="T6091" s="270"/>
    </row>
    <row r="6092" spans="14:20" x14ac:dyDescent="0.25">
      <c r="N6092" s="362"/>
      <c r="R6092" s="210"/>
      <c r="S6092" s="232"/>
      <c r="T6092" s="270"/>
    </row>
    <row r="6093" spans="14:20" x14ac:dyDescent="0.25">
      <c r="N6093" s="362"/>
      <c r="R6093" s="210"/>
      <c r="S6093" s="232"/>
      <c r="T6093" s="270"/>
    </row>
    <row r="6094" spans="14:20" x14ac:dyDescent="0.25">
      <c r="N6094" s="362"/>
      <c r="R6094" s="210"/>
      <c r="S6094" s="232"/>
      <c r="T6094" s="270"/>
    </row>
    <row r="6095" spans="14:20" x14ac:dyDescent="0.25">
      <c r="N6095" s="362"/>
      <c r="R6095" s="210"/>
      <c r="S6095" s="232"/>
      <c r="T6095" s="270"/>
    </row>
    <row r="6096" spans="14:20" x14ac:dyDescent="0.25">
      <c r="N6096" s="362"/>
      <c r="R6096" s="210"/>
      <c r="S6096" s="232"/>
      <c r="T6096" s="270"/>
    </row>
    <row r="6097" spans="14:20" x14ac:dyDescent="0.25">
      <c r="N6097" s="362"/>
      <c r="R6097" s="210"/>
      <c r="S6097" s="232"/>
      <c r="T6097" s="270"/>
    </row>
    <row r="6098" spans="14:20" x14ac:dyDescent="0.25">
      <c r="N6098" s="362"/>
      <c r="R6098" s="210"/>
      <c r="S6098" s="232"/>
      <c r="T6098" s="270"/>
    </row>
    <row r="6099" spans="14:20" x14ac:dyDescent="0.25">
      <c r="N6099" s="362"/>
      <c r="R6099" s="210"/>
      <c r="S6099" s="232"/>
      <c r="T6099" s="270"/>
    </row>
    <row r="6100" spans="14:20" x14ac:dyDescent="0.25">
      <c r="N6100" s="362"/>
      <c r="R6100" s="210"/>
      <c r="S6100" s="232"/>
      <c r="T6100" s="270"/>
    </row>
    <row r="6101" spans="14:20" x14ac:dyDescent="0.25">
      <c r="N6101" s="362"/>
      <c r="R6101" s="210"/>
      <c r="S6101" s="232"/>
      <c r="T6101" s="270"/>
    </row>
    <row r="6102" spans="14:20" x14ac:dyDescent="0.25">
      <c r="N6102" s="362"/>
      <c r="R6102" s="210"/>
      <c r="S6102" s="232"/>
      <c r="T6102" s="270"/>
    </row>
    <row r="6103" spans="14:20" x14ac:dyDescent="0.25">
      <c r="N6103" s="362"/>
      <c r="R6103" s="210"/>
      <c r="S6103" s="232"/>
      <c r="T6103" s="270"/>
    </row>
    <row r="6104" spans="14:20" x14ac:dyDescent="0.25">
      <c r="N6104" s="362"/>
      <c r="R6104" s="210"/>
      <c r="S6104" s="232"/>
      <c r="T6104" s="270"/>
    </row>
    <row r="6105" spans="14:20" x14ac:dyDescent="0.25">
      <c r="N6105" s="362"/>
      <c r="R6105" s="210"/>
      <c r="S6105" s="232"/>
      <c r="T6105" s="270"/>
    </row>
    <row r="6106" spans="14:20" x14ac:dyDescent="0.25">
      <c r="N6106" s="362"/>
      <c r="R6106" s="210"/>
      <c r="S6106" s="232"/>
      <c r="T6106" s="270"/>
    </row>
    <row r="6107" spans="14:20" x14ac:dyDescent="0.25">
      <c r="N6107" s="362"/>
      <c r="R6107" s="210"/>
      <c r="S6107" s="232"/>
      <c r="T6107" s="270"/>
    </row>
    <row r="6108" spans="14:20" x14ac:dyDescent="0.25">
      <c r="N6108" s="362"/>
      <c r="R6108" s="210"/>
      <c r="S6108" s="232"/>
      <c r="T6108" s="270"/>
    </row>
    <row r="6109" spans="14:20" x14ac:dyDescent="0.25">
      <c r="N6109" s="362"/>
      <c r="R6109" s="210"/>
      <c r="S6109" s="232"/>
      <c r="T6109" s="270"/>
    </row>
    <row r="6110" spans="14:20" x14ac:dyDescent="0.25">
      <c r="N6110" s="362"/>
      <c r="R6110" s="210"/>
      <c r="S6110" s="232"/>
      <c r="T6110" s="270"/>
    </row>
    <row r="6111" spans="14:20" x14ac:dyDescent="0.25">
      <c r="N6111" s="362"/>
      <c r="R6111" s="210"/>
      <c r="S6111" s="232"/>
      <c r="T6111" s="270"/>
    </row>
    <row r="6112" spans="14:20" x14ac:dyDescent="0.25">
      <c r="N6112" s="362"/>
      <c r="R6112" s="210"/>
      <c r="S6112" s="232"/>
      <c r="T6112" s="270"/>
    </row>
    <row r="6113" spans="14:20" x14ac:dyDescent="0.25">
      <c r="N6113" s="362"/>
      <c r="R6113" s="210"/>
      <c r="S6113" s="232"/>
      <c r="T6113" s="270"/>
    </row>
    <row r="6114" spans="14:20" x14ac:dyDescent="0.25">
      <c r="N6114" s="362"/>
      <c r="R6114" s="210"/>
      <c r="S6114" s="232"/>
      <c r="T6114" s="270"/>
    </row>
    <row r="6115" spans="14:20" x14ac:dyDescent="0.25">
      <c r="N6115" s="362"/>
      <c r="R6115" s="210"/>
      <c r="S6115" s="232"/>
      <c r="T6115" s="270"/>
    </row>
    <row r="6116" spans="14:20" x14ac:dyDescent="0.25">
      <c r="N6116" s="362"/>
      <c r="R6116" s="210"/>
      <c r="S6116" s="232"/>
      <c r="T6116" s="270"/>
    </row>
    <row r="6117" spans="14:20" x14ac:dyDescent="0.25">
      <c r="N6117" s="362"/>
      <c r="R6117" s="210"/>
      <c r="S6117" s="232"/>
      <c r="T6117" s="270"/>
    </row>
    <row r="6118" spans="14:20" x14ac:dyDescent="0.25">
      <c r="N6118" s="362"/>
      <c r="R6118" s="210"/>
      <c r="S6118" s="232"/>
      <c r="T6118" s="270"/>
    </row>
    <row r="6119" spans="14:20" x14ac:dyDescent="0.25">
      <c r="N6119" s="362"/>
      <c r="R6119" s="210"/>
      <c r="S6119" s="232"/>
      <c r="T6119" s="270"/>
    </row>
    <row r="6120" spans="14:20" x14ac:dyDescent="0.25">
      <c r="N6120" s="362"/>
      <c r="R6120" s="210"/>
      <c r="S6120" s="232"/>
      <c r="T6120" s="270"/>
    </row>
    <row r="6121" spans="14:20" x14ac:dyDescent="0.25">
      <c r="N6121" s="362"/>
      <c r="R6121" s="210"/>
      <c r="S6121" s="232"/>
      <c r="T6121" s="270"/>
    </row>
    <row r="6122" spans="14:20" x14ac:dyDescent="0.25">
      <c r="N6122" s="362"/>
      <c r="R6122" s="210"/>
      <c r="S6122" s="232"/>
      <c r="T6122" s="270"/>
    </row>
    <row r="6123" spans="14:20" x14ac:dyDescent="0.25">
      <c r="N6123" s="362"/>
      <c r="R6123" s="210"/>
      <c r="S6123" s="232"/>
      <c r="T6123" s="270"/>
    </row>
    <row r="6124" spans="14:20" x14ac:dyDescent="0.25">
      <c r="N6124" s="362"/>
      <c r="R6124" s="210"/>
      <c r="S6124" s="232"/>
      <c r="T6124" s="270"/>
    </row>
    <row r="6125" spans="14:20" x14ac:dyDescent="0.25">
      <c r="N6125" s="362"/>
      <c r="R6125" s="210"/>
      <c r="S6125" s="232"/>
      <c r="T6125" s="270"/>
    </row>
    <row r="6126" spans="14:20" x14ac:dyDescent="0.25">
      <c r="N6126" s="362"/>
      <c r="R6126" s="210"/>
      <c r="S6126" s="232"/>
      <c r="T6126" s="270"/>
    </row>
    <row r="6127" spans="14:20" x14ac:dyDescent="0.25">
      <c r="N6127" s="362"/>
      <c r="R6127" s="210"/>
      <c r="S6127" s="232"/>
      <c r="T6127" s="270"/>
    </row>
    <row r="6128" spans="14:20" x14ac:dyDescent="0.25">
      <c r="N6128" s="362"/>
      <c r="R6128" s="210"/>
      <c r="S6128" s="232"/>
      <c r="T6128" s="270"/>
    </row>
    <row r="6129" spans="14:20" x14ac:dyDescent="0.25">
      <c r="N6129" s="362"/>
      <c r="R6129" s="210"/>
      <c r="S6129" s="232"/>
      <c r="T6129" s="270"/>
    </row>
    <row r="6130" spans="14:20" x14ac:dyDescent="0.25">
      <c r="N6130" s="362"/>
      <c r="R6130" s="210"/>
      <c r="S6130" s="232"/>
      <c r="T6130" s="270"/>
    </row>
    <row r="6131" spans="14:20" x14ac:dyDescent="0.25">
      <c r="N6131" s="362"/>
      <c r="R6131" s="210"/>
      <c r="S6131" s="232"/>
      <c r="T6131" s="270"/>
    </row>
    <row r="6132" spans="14:20" x14ac:dyDescent="0.25">
      <c r="N6132" s="362"/>
      <c r="R6132" s="210"/>
      <c r="S6132" s="232"/>
      <c r="T6132" s="270"/>
    </row>
    <row r="6133" spans="14:20" x14ac:dyDescent="0.25">
      <c r="N6133" s="362"/>
      <c r="R6133" s="210"/>
      <c r="S6133" s="232"/>
      <c r="T6133" s="270"/>
    </row>
    <row r="6134" spans="14:20" x14ac:dyDescent="0.25">
      <c r="N6134" s="362"/>
      <c r="R6134" s="210"/>
      <c r="S6134" s="232"/>
      <c r="T6134" s="270"/>
    </row>
    <row r="6135" spans="14:20" x14ac:dyDescent="0.25">
      <c r="N6135" s="362"/>
      <c r="R6135" s="210"/>
      <c r="S6135" s="232"/>
      <c r="T6135" s="270"/>
    </row>
    <row r="6136" spans="14:20" x14ac:dyDescent="0.25">
      <c r="N6136" s="362"/>
      <c r="R6136" s="210"/>
      <c r="S6136" s="232"/>
      <c r="T6136" s="270"/>
    </row>
    <row r="6137" spans="14:20" x14ac:dyDescent="0.25">
      <c r="N6137" s="362"/>
      <c r="R6137" s="210"/>
      <c r="S6137" s="232"/>
      <c r="T6137" s="270"/>
    </row>
    <row r="6138" spans="14:20" x14ac:dyDescent="0.25">
      <c r="N6138" s="362"/>
      <c r="R6138" s="210"/>
      <c r="S6138" s="232"/>
      <c r="T6138" s="270"/>
    </row>
    <row r="6139" spans="14:20" x14ac:dyDescent="0.25">
      <c r="N6139" s="362"/>
      <c r="R6139" s="210"/>
      <c r="S6139" s="232"/>
      <c r="T6139" s="270"/>
    </row>
    <row r="6140" spans="14:20" x14ac:dyDescent="0.25">
      <c r="N6140" s="362"/>
      <c r="R6140" s="210"/>
      <c r="S6140" s="232"/>
      <c r="T6140" s="270"/>
    </row>
    <row r="6141" spans="14:20" x14ac:dyDescent="0.25">
      <c r="N6141" s="362"/>
      <c r="R6141" s="210"/>
      <c r="S6141" s="232"/>
      <c r="T6141" s="270"/>
    </row>
    <row r="6142" spans="14:20" x14ac:dyDescent="0.25">
      <c r="N6142" s="362"/>
      <c r="R6142" s="210"/>
      <c r="S6142" s="232"/>
      <c r="T6142" s="270"/>
    </row>
    <row r="6143" spans="14:20" x14ac:dyDescent="0.25">
      <c r="N6143" s="362"/>
      <c r="R6143" s="210"/>
      <c r="S6143" s="232"/>
      <c r="T6143" s="270"/>
    </row>
    <row r="6144" spans="14:20" x14ac:dyDescent="0.25">
      <c r="N6144" s="362"/>
      <c r="R6144" s="210"/>
      <c r="S6144" s="232"/>
      <c r="T6144" s="270"/>
    </row>
    <row r="6145" spans="14:20" x14ac:dyDescent="0.25">
      <c r="N6145" s="362"/>
      <c r="R6145" s="210"/>
      <c r="S6145" s="232"/>
      <c r="T6145" s="270"/>
    </row>
    <row r="6146" spans="14:20" x14ac:dyDescent="0.25">
      <c r="N6146" s="362"/>
      <c r="R6146" s="210"/>
      <c r="S6146" s="232"/>
      <c r="T6146" s="270"/>
    </row>
    <row r="6147" spans="14:20" x14ac:dyDescent="0.25">
      <c r="N6147" s="362"/>
      <c r="R6147" s="210"/>
      <c r="S6147" s="232"/>
      <c r="T6147" s="270"/>
    </row>
    <row r="6148" spans="14:20" x14ac:dyDescent="0.25">
      <c r="N6148" s="362"/>
      <c r="R6148" s="210"/>
      <c r="S6148" s="232"/>
      <c r="T6148" s="270"/>
    </row>
    <row r="6149" spans="14:20" x14ac:dyDescent="0.25">
      <c r="N6149" s="362"/>
      <c r="R6149" s="210"/>
      <c r="S6149" s="232"/>
      <c r="T6149" s="270"/>
    </row>
    <row r="6150" spans="14:20" x14ac:dyDescent="0.25">
      <c r="N6150" s="362"/>
      <c r="R6150" s="210"/>
      <c r="S6150" s="232"/>
      <c r="T6150" s="270"/>
    </row>
    <row r="6151" spans="14:20" x14ac:dyDescent="0.25">
      <c r="N6151" s="362"/>
      <c r="R6151" s="210"/>
      <c r="S6151" s="232"/>
      <c r="T6151" s="270"/>
    </row>
    <row r="6152" spans="14:20" x14ac:dyDescent="0.25">
      <c r="N6152" s="362"/>
      <c r="R6152" s="210"/>
      <c r="S6152" s="232"/>
      <c r="T6152" s="270"/>
    </row>
    <row r="6153" spans="14:20" x14ac:dyDescent="0.25">
      <c r="N6153" s="362"/>
      <c r="R6153" s="210"/>
      <c r="S6153" s="232"/>
      <c r="T6153" s="270"/>
    </row>
    <row r="6154" spans="14:20" x14ac:dyDescent="0.25">
      <c r="N6154" s="362"/>
      <c r="R6154" s="210"/>
      <c r="S6154" s="232"/>
      <c r="T6154" s="270"/>
    </row>
    <row r="6155" spans="14:20" x14ac:dyDescent="0.25">
      <c r="N6155" s="362"/>
      <c r="R6155" s="210"/>
      <c r="S6155" s="232"/>
      <c r="T6155" s="270"/>
    </row>
    <row r="6156" spans="14:20" x14ac:dyDescent="0.25">
      <c r="N6156" s="362"/>
      <c r="R6156" s="210"/>
      <c r="S6156" s="232"/>
      <c r="T6156" s="270"/>
    </row>
    <row r="6157" spans="14:20" x14ac:dyDescent="0.25">
      <c r="N6157" s="362"/>
      <c r="R6157" s="210"/>
      <c r="S6157" s="232"/>
      <c r="T6157" s="270"/>
    </row>
    <row r="6158" spans="14:20" x14ac:dyDescent="0.25">
      <c r="N6158" s="362"/>
      <c r="R6158" s="210"/>
      <c r="S6158" s="232"/>
      <c r="T6158" s="270"/>
    </row>
    <row r="6159" spans="14:20" x14ac:dyDescent="0.25">
      <c r="N6159" s="362"/>
      <c r="R6159" s="210"/>
      <c r="S6159" s="232"/>
      <c r="T6159" s="270"/>
    </row>
    <row r="6160" spans="14:20" x14ac:dyDescent="0.25">
      <c r="N6160" s="362"/>
      <c r="R6160" s="210"/>
      <c r="S6160" s="232"/>
      <c r="T6160" s="270"/>
    </row>
    <row r="6161" spans="14:20" x14ac:dyDescent="0.25">
      <c r="N6161" s="362"/>
      <c r="R6161" s="210"/>
      <c r="S6161" s="232"/>
      <c r="T6161" s="270"/>
    </row>
    <row r="6162" spans="14:20" x14ac:dyDescent="0.25">
      <c r="N6162" s="362"/>
      <c r="R6162" s="210"/>
      <c r="S6162" s="232"/>
      <c r="T6162" s="270"/>
    </row>
    <row r="6163" spans="14:20" x14ac:dyDescent="0.25">
      <c r="N6163" s="362"/>
      <c r="R6163" s="210"/>
      <c r="S6163" s="232"/>
      <c r="T6163" s="270"/>
    </row>
    <row r="6164" spans="14:20" x14ac:dyDescent="0.25">
      <c r="N6164" s="362"/>
      <c r="R6164" s="210"/>
      <c r="S6164" s="232"/>
      <c r="T6164" s="270"/>
    </row>
    <row r="6165" spans="14:20" x14ac:dyDescent="0.25">
      <c r="N6165" s="362"/>
      <c r="R6165" s="210"/>
      <c r="S6165" s="232"/>
      <c r="T6165" s="270"/>
    </row>
    <row r="6166" spans="14:20" x14ac:dyDescent="0.25">
      <c r="N6166" s="362"/>
      <c r="R6166" s="210"/>
      <c r="S6166" s="232"/>
      <c r="T6166" s="270"/>
    </row>
    <row r="6167" spans="14:20" x14ac:dyDescent="0.25">
      <c r="N6167" s="362"/>
      <c r="R6167" s="210"/>
      <c r="S6167" s="232"/>
      <c r="T6167" s="270"/>
    </row>
    <row r="6168" spans="14:20" x14ac:dyDescent="0.25">
      <c r="N6168" s="362"/>
      <c r="R6168" s="210"/>
      <c r="S6168" s="232"/>
      <c r="T6168" s="270"/>
    </row>
    <row r="6169" spans="14:20" x14ac:dyDescent="0.25">
      <c r="N6169" s="362"/>
      <c r="R6169" s="210"/>
      <c r="S6169" s="232"/>
      <c r="T6169" s="270"/>
    </row>
    <row r="6170" spans="14:20" x14ac:dyDescent="0.25">
      <c r="N6170" s="362"/>
      <c r="R6170" s="210"/>
      <c r="S6170" s="232"/>
      <c r="T6170" s="270"/>
    </row>
    <row r="6171" spans="14:20" x14ac:dyDescent="0.25">
      <c r="N6171" s="362"/>
      <c r="R6171" s="210"/>
      <c r="S6171" s="232"/>
      <c r="T6171" s="270"/>
    </row>
    <row r="6172" spans="14:20" x14ac:dyDescent="0.25">
      <c r="N6172" s="362"/>
      <c r="R6172" s="210"/>
      <c r="S6172" s="232"/>
      <c r="T6172" s="270"/>
    </row>
    <row r="6173" spans="14:20" x14ac:dyDescent="0.25">
      <c r="N6173" s="362"/>
      <c r="R6173" s="210"/>
      <c r="S6173" s="232"/>
      <c r="T6173" s="270"/>
    </row>
    <row r="6174" spans="14:20" x14ac:dyDescent="0.25">
      <c r="N6174" s="362"/>
      <c r="R6174" s="210"/>
      <c r="S6174" s="232"/>
      <c r="T6174" s="270"/>
    </row>
    <row r="6175" spans="14:20" x14ac:dyDescent="0.25">
      <c r="N6175" s="362"/>
      <c r="R6175" s="210"/>
      <c r="S6175" s="232"/>
      <c r="T6175" s="270"/>
    </row>
    <row r="6176" spans="14:20" x14ac:dyDescent="0.25">
      <c r="N6176" s="362"/>
      <c r="R6176" s="210"/>
      <c r="S6176" s="232"/>
      <c r="T6176" s="270"/>
    </row>
    <row r="6177" spans="14:20" x14ac:dyDescent="0.25">
      <c r="N6177" s="362"/>
      <c r="R6177" s="210"/>
      <c r="S6177" s="232"/>
      <c r="T6177" s="270"/>
    </row>
    <row r="6178" spans="14:20" x14ac:dyDescent="0.25">
      <c r="N6178" s="362"/>
      <c r="R6178" s="210"/>
      <c r="S6178" s="232"/>
      <c r="T6178" s="270"/>
    </row>
    <row r="6179" spans="14:20" x14ac:dyDescent="0.25">
      <c r="N6179" s="362"/>
      <c r="R6179" s="210"/>
      <c r="S6179" s="232"/>
      <c r="T6179" s="270"/>
    </row>
    <row r="6180" spans="14:20" x14ac:dyDescent="0.25">
      <c r="N6180" s="362"/>
      <c r="R6180" s="210"/>
      <c r="S6180" s="232"/>
      <c r="T6180" s="270"/>
    </row>
    <row r="6181" spans="14:20" x14ac:dyDescent="0.25">
      <c r="N6181" s="362"/>
      <c r="R6181" s="210"/>
      <c r="S6181" s="232"/>
      <c r="T6181" s="270"/>
    </row>
    <row r="6182" spans="14:20" x14ac:dyDescent="0.25">
      <c r="N6182" s="362"/>
      <c r="R6182" s="210"/>
      <c r="S6182" s="232"/>
      <c r="T6182" s="270"/>
    </row>
    <row r="6183" spans="14:20" x14ac:dyDescent="0.25">
      <c r="N6183" s="362"/>
      <c r="R6183" s="210"/>
      <c r="S6183" s="232"/>
      <c r="T6183" s="270"/>
    </row>
    <row r="6184" spans="14:20" x14ac:dyDescent="0.25">
      <c r="N6184" s="362"/>
      <c r="R6184" s="210"/>
      <c r="S6184" s="232"/>
      <c r="T6184" s="270"/>
    </row>
    <row r="6185" spans="14:20" x14ac:dyDescent="0.25">
      <c r="N6185" s="362"/>
      <c r="R6185" s="210"/>
      <c r="S6185" s="232"/>
      <c r="T6185" s="270"/>
    </row>
    <row r="6186" spans="14:20" x14ac:dyDescent="0.25">
      <c r="N6186" s="362"/>
      <c r="R6186" s="210"/>
      <c r="S6186" s="232"/>
      <c r="T6186" s="270"/>
    </row>
    <row r="6187" spans="14:20" x14ac:dyDescent="0.25">
      <c r="N6187" s="362"/>
      <c r="R6187" s="210"/>
      <c r="S6187" s="232"/>
      <c r="T6187" s="270"/>
    </row>
    <row r="6188" spans="14:20" x14ac:dyDescent="0.25">
      <c r="N6188" s="362"/>
      <c r="R6188" s="210"/>
      <c r="S6188" s="232"/>
      <c r="T6188" s="270"/>
    </row>
    <row r="6189" spans="14:20" x14ac:dyDescent="0.25">
      <c r="N6189" s="362"/>
      <c r="R6189" s="210"/>
      <c r="S6189" s="232"/>
      <c r="T6189" s="270"/>
    </row>
    <row r="6190" spans="14:20" x14ac:dyDescent="0.25">
      <c r="N6190" s="362"/>
      <c r="R6190" s="210"/>
      <c r="S6190" s="232"/>
      <c r="T6190" s="270"/>
    </row>
    <row r="6191" spans="14:20" x14ac:dyDescent="0.25">
      <c r="N6191" s="362"/>
      <c r="R6191" s="210"/>
      <c r="S6191" s="232"/>
      <c r="T6191" s="270"/>
    </row>
    <row r="6192" spans="14:20" x14ac:dyDescent="0.25">
      <c r="N6192" s="362"/>
      <c r="R6192" s="210"/>
      <c r="S6192" s="232"/>
      <c r="T6192" s="270"/>
    </row>
    <row r="6193" spans="14:20" x14ac:dyDescent="0.25">
      <c r="N6193" s="362"/>
      <c r="R6193" s="210"/>
      <c r="S6193" s="232"/>
      <c r="T6193" s="270"/>
    </row>
    <row r="6194" spans="14:20" x14ac:dyDescent="0.25">
      <c r="N6194" s="362"/>
      <c r="R6194" s="210"/>
      <c r="S6194" s="232"/>
      <c r="T6194" s="270"/>
    </row>
    <row r="6195" spans="14:20" x14ac:dyDescent="0.25">
      <c r="N6195" s="362"/>
      <c r="R6195" s="210"/>
      <c r="S6195" s="232"/>
      <c r="T6195" s="270"/>
    </row>
    <row r="6196" spans="14:20" x14ac:dyDescent="0.25">
      <c r="N6196" s="362"/>
      <c r="R6196" s="210"/>
      <c r="S6196" s="232"/>
      <c r="T6196" s="270"/>
    </row>
    <row r="6197" spans="14:20" x14ac:dyDescent="0.25">
      <c r="N6197" s="362"/>
      <c r="R6197" s="210"/>
      <c r="S6197" s="232"/>
      <c r="T6197" s="270"/>
    </row>
    <row r="6198" spans="14:20" x14ac:dyDescent="0.25">
      <c r="N6198" s="362"/>
      <c r="R6198" s="210"/>
      <c r="S6198" s="232"/>
      <c r="T6198" s="270"/>
    </row>
    <row r="6199" spans="14:20" x14ac:dyDescent="0.25">
      <c r="N6199" s="362"/>
      <c r="R6199" s="210"/>
      <c r="S6199" s="232"/>
      <c r="T6199" s="270"/>
    </row>
    <row r="6200" spans="14:20" x14ac:dyDescent="0.25">
      <c r="N6200" s="362"/>
      <c r="R6200" s="210"/>
      <c r="S6200" s="232"/>
      <c r="T6200" s="270"/>
    </row>
    <row r="6201" spans="14:20" x14ac:dyDescent="0.25">
      <c r="N6201" s="362"/>
      <c r="R6201" s="210"/>
      <c r="S6201" s="232"/>
      <c r="T6201" s="270"/>
    </row>
    <row r="6202" spans="14:20" x14ac:dyDescent="0.25">
      <c r="N6202" s="362"/>
      <c r="R6202" s="210"/>
      <c r="S6202" s="232"/>
      <c r="T6202" s="270"/>
    </row>
    <row r="6203" spans="14:20" x14ac:dyDescent="0.25">
      <c r="N6203" s="362"/>
      <c r="R6203" s="210"/>
      <c r="S6203" s="232"/>
      <c r="T6203" s="270"/>
    </row>
    <row r="6204" spans="14:20" x14ac:dyDescent="0.25">
      <c r="N6204" s="362"/>
      <c r="R6204" s="210"/>
      <c r="S6204" s="232"/>
      <c r="T6204" s="270"/>
    </row>
    <row r="6205" spans="14:20" x14ac:dyDescent="0.25">
      <c r="N6205" s="362"/>
      <c r="R6205" s="210"/>
      <c r="S6205" s="232"/>
      <c r="T6205" s="270"/>
    </row>
    <row r="6206" spans="14:20" x14ac:dyDescent="0.25">
      <c r="N6206" s="362"/>
      <c r="R6206" s="210"/>
      <c r="S6206" s="232"/>
      <c r="T6206" s="270"/>
    </row>
    <row r="6207" spans="14:20" x14ac:dyDescent="0.25">
      <c r="N6207" s="362"/>
      <c r="R6207" s="210"/>
      <c r="S6207" s="232"/>
      <c r="T6207" s="270"/>
    </row>
    <row r="6208" spans="14:20" x14ac:dyDescent="0.25">
      <c r="N6208" s="362"/>
      <c r="R6208" s="210"/>
      <c r="S6208" s="232"/>
      <c r="T6208" s="270"/>
    </row>
    <row r="6209" spans="14:20" x14ac:dyDescent="0.25">
      <c r="N6209" s="362"/>
      <c r="R6209" s="210"/>
      <c r="S6209" s="232"/>
      <c r="T6209" s="270"/>
    </row>
    <row r="6210" spans="14:20" x14ac:dyDescent="0.25">
      <c r="N6210" s="362"/>
      <c r="R6210" s="210"/>
      <c r="S6210" s="232"/>
      <c r="T6210" s="270"/>
    </row>
    <row r="6211" spans="14:20" x14ac:dyDescent="0.25">
      <c r="N6211" s="362"/>
      <c r="R6211" s="210"/>
      <c r="S6211" s="232"/>
      <c r="T6211" s="270"/>
    </row>
    <row r="6212" spans="14:20" x14ac:dyDescent="0.25">
      <c r="N6212" s="362"/>
      <c r="R6212" s="210"/>
      <c r="S6212" s="232"/>
      <c r="T6212" s="270"/>
    </row>
    <row r="6213" spans="14:20" x14ac:dyDescent="0.25">
      <c r="N6213" s="362"/>
      <c r="R6213" s="210"/>
      <c r="S6213" s="232"/>
      <c r="T6213" s="270"/>
    </row>
    <row r="6214" spans="14:20" x14ac:dyDescent="0.25">
      <c r="N6214" s="362"/>
      <c r="R6214" s="210"/>
      <c r="S6214" s="232"/>
      <c r="T6214" s="270"/>
    </row>
    <row r="6215" spans="14:20" x14ac:dyDescent="0.25">
      <c r="N6215" s="362"/>
      <c r="R6215" s="210"/>
      <c r="S6215" s="232"/>
      <c r="T6215" s="270"/>
    </row>
    <row r="6216" spans="14:20" x14ac:dyDescent="0.25">
      <c r="N6216" s="362"/>
      <c r="R6216" s="210"/>
      <c r="S6216" s="232"/>
      <c r="T6216" s="270"/>
    </row>
    <row r="6217" spans="14:20" x14ac:dyDescent="0.25">
      <c r="N6217" s="362"/>
      <c r="R6217" s="210"/>
      <c r="S6217" s="232"/>
      <c r="T6217" s="270"/>
    </row>
    <row r="6218" spans="14:20" x14ac:dyDescent="0.25">
      <c r="N6218" s="362"/>
      <c r="R6218" s="210"/>
      <c r="S6218" s="232"/>
      <c r="T6218" s="270"/>
    </row>
    <row r="6219" spans="14:20" x14ac:dyDescent="0.25">
      <c r="N6219" s="362"/>
      <c r="R6219" s="210"/>
      <c r="S6219" s="232"/>
      <c r="T6219" s="270"/>
    </row>
    <row r="6220" spans="14:20" x14ac:dyDescent="0.25">
      <c r="N6220" s="362"/>
      <c r="R6220" s="210"/>
      <c r="S6220" s="232"/>
      <c r="T6220" s="270"/>
    </row>
    <row r="6221" spans="14:20" x14ac:dyDescent="0.25">
      <c r="N6221" s="362"/>
      <c r="R6221" s="210"/>
      <c r="S6221" s="232"/>
      <c r="T6221" s="270"/>
    </row>
    <row r="6222" spans="14:20" x14ac:dyDescent="0.25">
      <c r="N6222" s="362"/>
      <c r="R6222" s="210"/>
      <c r="S6222" s="232"/>
      <c r="T6222" s="270"/>
    </row>
    <row r="6223" spans="14:20" x14ac:dyDescent="0.25">
      <c r="N6223" s="362"/>
      <c r="R6223" s="210"/>
      <c r="S6223" s="232"/>
      <c r="T6223" s="270"/>
    </row>
    <row r="6224" spans="14:20" x14ac:dyDescent="0.25">
      <c r="N6224" s="362"/>
      <c r="R6224" s="210"/>
      <c r="S6224" s="232"/>
      <c r="T6224" s="270"/>
    </row>
    <row r="6225" spans="14:20" x14ac:dyDescent="0.25">
      <c r="N6225" s="362"/>
      <c r="R6225" s="210"/>
      <c r="S6225" s="232"/>
      <c r="T6225" s="270"/>
    </row>
    <row r="6226" spans="14:20" x14ac:dyDescent="0.25">
      <c r="N6226" s="362"/>
      <c r="R6226" s="210"/>
      <c r="S6226" s="232"/>
      <c r="T6226" s="270"/>
    </row>
    <row r="6227" spans="14:20" x14ac:dyDescent="0.25">
      <c r="N6227" s="362"/>
      <c r="R6227" s="210"/>
      <c r="S6227" s="232"/>
      <c r="T6227" s="270"/>
    </row>
    <row r="6228" spans="14:20" x14ac:dyDescent="0.25">
      <c r="N6228" s="362"/>
      <c r="R6228" s="210"/>
      <c r="S6228" s="232"/>
      <c r="T6228" s="270"/>
    </row>
    <row r="6229" spans="14:20" x14ac:dyDescent="0.25">
      <c r="N6229" s="362"/>
      <c r="R6229" s="210"/>
      <c r="S6229" s="232"/>
      <c r="T6229" s="270"/>
    </row>
    <row r="6230" spans="14:20" x14ac:dyDescent="0.25">
      <c r="N6230" s="362"/>
      <c r="R6230" s="210"/>
      <c r="S6230" s="232"/>
      <c r="T6230" s="270"/>
    </row>
    <row r="6231" spans="14:20" x14ac:dyDescent="0.25">
      <c r="N6231" s="362"/>
      <c r="R6231" s="210"/>
      <c r="S6231" s="232"/>
      <c r="T6231" s="270"/>
    </row>
    <row r="6232" spans="14:20" x14ac:dyDescent="0.25">
      <c r="N6232" s="362"/>
      <c r="R6232" s="210"/>
      <c r="S6232" s="232"/>
      <c r="T6232" s="270"/>
    </row>
    <row r="6233" spans="14:20" x14ac:dyDescent="0.25">
      <c r="N6233" s="362"/>
      <c r="R6233" s="210"/>
      <c r="S6233" s="232"/>
      <c r="T6233" s="270"/>
    </row>
    <row r="6234" spans="14:20" x14ac:dyDescent="0.25">
      <c r="N6234" s="362"/>
      <c r="R6234" s="210"/>
      <c r="S6234" s="232"/>
      <c r="T6234" s="270"/>
    </row>
    <row r="6235" spans="14:20" x14ac:dyDescent="0.25">
      <c r="N6235" s="362"/>
      <c r="R6235" s="210"/>
      <c r="S6235" s="232"/>
      <c r="T6235" s="270"/>
    </row>
    <row r="6236" spans="14:20" x14ac:dyDescent="0.25">
      <c r="N6236" s="362"/>
      <c r="R6236" s="210"/>
      <c r="S6236" s="232"/>
      <c r="T6236" s="270"/>
    </row>
    <row r="6237" spans="14:20" x14ac:dyDescent="0.25">
      <c r="N6237" s="362"/>
      <c r="R6237" s="210"/>
      <c r="S6237" s="232"/>
      <c r="T6237" s="270"/>
    </row>
    <row r="6238" spans="14:20" x14ac:dyDescent="0.25">
      <c r="N6238" s="362"/>
      <c r="R6238" s="210"/>
      <c r="S6238" s="232"/>
      <c r="T6238" s="270"/>
    </row>
    <row r="6239" spans="14:20" x14ac:dyDescent="0.25">
      <c r="N6239" s="362"/>
      <c r="R6239" s="210"/>
      <c r="S6239" s="232"/>
      <c r="T6239" s="270"/>
    </row>
    <row r="6240" spans="14:20" x14ac:dyDescent="0.25">
      <c r="N6240" s="362"/>
      <c r="R6240" s="210"/>
      <c r="S6240" s="232"/>
      <c r="T6240" s="270"/>
    </row>
    <row r="6241" spans="14:20" x14ac:dyDescent="0.25">
      <c r="N6241" s="362"/>
      <c r="R6241" s="210"/>
      <c r="S6241" s="232"/>
      <c r="T6241" s="270"/>
    </row>
    <row r="6242" spans="14:20" x14ac:dyDescent="0.25">
      <c r="N6242" s="362"/>
      <c r="R6242" s="210"/>
      <c r="S6242" s="232"/>
      <c r="T6242" s="270"/>
    </row>
    <row r="6243" spans="14:20" x14ac:dyDescent="0.25">
      <c r="N6243" s="362"/>
      <c r="R6243" s="210"/>
      <c r="S6243" s="232"/>
      <c r="T6243" s="270"/>
    </row>
    <row r="6244" spans="14:20" x14ac:dyDescent="0.25">
      <c r="N6244" s="362"/>
      <c r="R6244" s="210"/>
      <c r="S6244" s="232"/>
      <c r="T6244" s="270"/>
    </row>
    <row r="6245" spans="14:20" x14ac:dyDescent="0.25">
      <c r="N6245" s="362"/>
      <c r="R6245" s="210"/>
      <c r="S6245" s="232"/>
      <c r="T6245" s="270"/>
    </row>
    <row r="6246" spans="14:20" x14ac:dyDescent="0.25">
      <c r="N6246" s="362"/>
      <c r="R6246" s="210"/>
      <c r="S6246" s="232"/>
      <c r="T6246" s="270"/>
    </row>
    <row r="6247" spans="14:20" x14ac:dyDescent="0.25">
      <c r="N6247" s="362"/>
      <c r="R6247" s="210"/>
      <c r="S6247" s="232"/>
      <c r="T6247" s="270"/>
    </row>
    <row r="6248" spans="14:20" x14ac:dyDescent="0.25">
      <c r="N6248" s="362"/>
      <c r="R6248" s="210"/>
      <c r="S6248" s="232"/>
      <c r="T6248" s="270"/>
    </row>
    <row r="6249" spans="14:20" x14ac:dyDescent="0.25">
      <c r="N6249" s="362"/>
      <c r="R6249" s="210"/>
      <c r="S6249" s="232"/>
      <c r="T6249" s="270"/>
    </row>
    <row r="6250" spans="14:20" x14ac:dyDescent="0.25">
      <c r="N6250" s="362"/>
      <c r="R6250" s="210"/>
      <c r="S6250" s="232"/>
      <c r="T6250" s="270"/>
    </row>
    <row r="6251" spans="14:20" x14ac:dyDescent="0.25">
      <c r="N6251" s="362"/>
      <c r="R6251" s="210"/>
      <c r="S6251" s="232"/>
      <c r="T6251" s="270"/>
    </row>
    <row r="6252" spans="14:20" x14ac:dyDescent="0.25">
      <c r="N6252" s="362"/>
      <c r="R6252" s="210"/>
      <c r="S6252" s="232"/>
      <c r="T6252" s="270"/>
    </row>
    <row r="6253" spans="14:20" x14ac:dyDescent="0.25">
      <c r="N6253" s="362"/>
      <c r="R6253" s="210"/>
      <c r="S6253" s="232"/>
      <c r="T6253" s="270"/>
    </row>
    <row r="6254" spans="14:20" x14ac:dyDescent="0.25">
      <c r="N6254" s="362"/>
      <c r="R6254" s="210"/>
      <c r="S6254" s="232"/>
      <c r="T6254" s="270"/>
    </row>
    <row r="6255" spans="14:20" x14ac:dyDescent="0.25">
      <c r="N6255" s="362"/>
      <c r="R6255" s="210"/>
      <c r="S6255" s="232"/>
      <c r="T6255" s="270"/>
    </row>
    <row r="6256" spans="14:20" x14ac:dyDescent="0.25">
      <c r="N6256" s="362"/>
      <c r="R6256" s="210"/>
      <c r="S6256" s="232"/>
      <c r="T6256" s="270"/>
    </row>
    <row r="6257" spans="14:20" x14ac:dyDescent="0.25">
      <c r="N6257" s="362"/>
      <c r="R6257" s="210"/>
      <c r="S6257" s="232"/>
      <c r="T6257" s="270"/>
    </row>
    <row r="6258" spans="14:20" x14ac:dyDescent="0.25">
      <c r="N6258" s="362"/>
      <c r="R6258" s="210"/>
      <c r="S6258" s="232"/>
      <c r="T6258" s="270"/>
    </row>
    <row r="6259" spans="14:20" x14ac:dyDescent="0.25">
      <c r="N6259" s="362"/>
      <c r="R6259" s="210"/>
      <c r="S6259" s="232"/>
      <c r="T6259" s="270"/>
    </row>
    <row r="6260" spans="14:20" x14ac:dyDescent="0.25">
      <c r="N6260" s="362"/>
      <c r="R6260" s="210"/>
      <c r="S6260" s="232"/>
      <c r="T6260" s="270"/>
    </row>
    <row r="6261" spans="14:20" x14ac:dyDescent="0.25">
      <c r="N6261" s="362"/>
      <c r="R6261" s="210"/>
      <c r="S6261" s="232"/>
      <c r="T6261" s="270"/>
    </row>
    <row r="6262" spans="14:20" x14ac:dyDescent="0.25">
      <c r="N6262" s="362"/>
      <c r="R6262" s="210"/>
      <c r="S6262" s="232"/>
      <c r="T6262" s="270"/>
    </row>
    <row r="6263" spans="14:20" x14ac:dyDescent="0.25">
      <c r="N6263" s="362"/>
      <c r="R6263" s="210"/>
      <c r="S6263" s="232"/>
      <c r="T6263" s="270"/>
    </row>
    <row r="6264" spans="14:20" x14ac:dyDescent="0.25">
      <c r="N6264" s="362"/>
      <c r="R6264" s="210"/>
      <c r="S6264" s="232"/>
      <c r="T6264" s="270"/>
    </row>
    <row r="6265" spans="14:20" x14ac:dyDescent="0.25">
      <c r="N6265" s="362"/>
      <c r="R6265" s="210"/>
      <c r="S6265" s="232"/>
      <c r="T6265" s="270"/>
    </row>
    <row r="6266" spans="14:20" x14ac:dyDescent="0.25">
      <c r="N6266" s="362"/>
      <c r="R6266" s="210"/>
      <c r="S6266" s="232"/>
      <c r="T6266" s="270"/>
    </row>
    <row r="6267" spans="14:20" x14ac:dyDescent="0.25">
      <c r="N6267" s="362"/>
      <c r="R6267" s="210"/>
      <c r="S6267" s="232"/>
      <c r="T6267" s="270"/>
    </row>
    <row r="6268" spans="14:20" x14ac:dyDescent="0.25">
      <c r="N6268" s="362"/>
      <c r="R6268" s="210"/>
      <c r="S6268" s="232"/>
      <c r="T6268" s="270"/>
    </row>
    <row r="6269" spans="14:20" x14ac:dyDescent="0.25">
      <c r="N6269" s="362"/>
      <c r="R6269" s="210"/>
      <c r="S6269" s="232"/>
      <c r="T6269" s="270"/>
    </row>
    <row r="6270" spans="14:20" x14ac:dyDescent="0.25">
      <c r="N6270" s="362"/>
      <c r="R6270" s="210"/>
      <c r="S6270" s="232"/>
      <c r="T6270" s="270"/>
    </row>
    <row r="6271" spans="14:20" x14ac:dyDescent="0.25">
      <c r="N6271" s="362"/>
      <c r="R6271" s="210"/>
      <c r="S6271" s="232"/>
      <c r="T6271" s="270"/>
    </row>
    <row r="6272" spans="14:20" x14ac:dyDescent="0.25">
      <c r="N6272" s="362"/>
      <c r="R6272" s="210"/>
      <c r="S6272" s="232"/>
      <c r="T6272" s="270"/>
    </row>
    <row r="6273" spans="14:20" x14ac:dyDescent="0.25">
      <c r="N6273" s="362"/>
      <c r="R6273" s="210"/>
      <c r="S6273" s="232"/>
      <c r="T6273" s="270"/>
    </row>
    <row r="6274" spans="14:20" x14ac:dyDescent="0.25">
      <c r="N6274" s="362"/>
      <c r="R6274" s="210"/>
      <c r="S6274" s="232"/>
      <c r="T6274" s="270"/>
    </row>
    <row r="6275" spans="14:20" x14ac:dyDescent="0.25">
      <c r="N6275" s="362"/>
      <c r="R6275" s="210"/>
      <c r="S6275" s="232"/>
      <c r="T6275" s="270"/>
    </row>
    <row r="6276" spans="14:20" x14ac:dyDescent="0.25">
      <c r="N6276" s="362"/>
      <c r="R6276" s="210"/>
      <c r="S6276" s="232"/>
      <c r="T6276" s="270"/>
    </row>
    <row r="6277" spans="14:20" x14ac:dyDescent="0.25">
      <c r="N6277" s="362"/>
      <c r="R6277" s="210"/>
      <c r="S6277" s="232"/>
      <c r="T6277" s="270"/>
    </row>
    <row r="6278" spans="14:20" x14ac:dyDescent="0.25">
      <c r="N6278" s="362"/>
      <c r="R6278" s="210"/>
      <c r="S6278" s="232"/>
      <c r="T6278" s="270"/>
    </row>
    <row r="6279" spans="14:20" x14ac:dyDescent="0.25">
      <c r="N6279" s="362"/>
      <c r="R6279" s="210"/>
      <c r="S6279" s="232"/>
      <c r="T6279" s="270"/>
    </row>
    <row r="6280" spans="14:20" x14ac:dyDescent="0.25">
      <c r="N6280" s="362"/>
      <c r="R6280" s="210"/>
      <c r="S6280" s="232"/>
      <c r="T6280" s="270"/>
    </row>
    <row r="6281" spans="14:20" x14ac:dyDescent="0.25">
      <c r="N6281" s="362"/>
      <c r="R6281" s="210"/>
      <c r="S6281" s="232"/>
      <c r="T6281" s="270"/>
    </row>
    <row r="6282" spans="14:20" x14ac:dyDescent="0.25">
      <c r="N6282" s="362"/>
      <c r="R6282" s="210"/>
      <c r="S6282" s="232"/>
      <c r="T6282" s="270"/>
    </row>
    <row r="6283" spans="14:20" x14ac:dyDescent="0.25">
      <c r="N6283" s="362"/>
      <c r="R6283" s="210"/>
      <c r="S6283" s="232"/>
      <c r="T6283" s="270"/>
    </row>
    <row r="6284" spans="14:20" x14ac:dyDescent="0.25">
      <c r="N6284" s="362"/>
      <c r="R6284" s="210"/>
      <c r="S6284" s="232"/>
      <c r="T6284" s="270"/>
    </row>
    <row r="6285" spans="14:20" x14ac:dyDescent="0.25">
      <c r="N6285" s="362"/>
      <c r="R6285" s="210"/>
      <c r="S6285" s="232"/>
      <c r="T6285" s="270"/>
    </row>
    <row r="6286" spans="14:20" x14ac:dyDescent="0.25">
      <c r="N6286" s="362"/>
      <c r="R6286" s="210"/>
      <c r="S6286" s="232"/>
      <c r="T6286" s="270"/>
    </row>
    <row r="6287" spans="14:20" x14ac:dyDescent="0.25">
      <c r="N6287" s="362"/>
      <c r="R6287" s="210"/>
      <c r="S6287" s="232"/>
      <c r="T6287" s="270"/>
    </row>
    <row r="6288" spans="14:20" x14ac:dyDescent="0.25">
      <c r="N6288" s="362"/>
      <c r="R6288" s="210"/>
      <c r="S6288" s="232"/>
      <c r="T6288" s="270"/>
    </row>
    <row r="6289" spans="14:20" x14ac:dyDescent="0.25">
      <c r="N6289" s="362"/>
      <c r="R6289" s="210"/>
      <c r="S6289" s="232"/>
      <c r="T6289" s="270"/>
    </row>
    <row r="6290" spans="14:20" x14ac:dyDescent="0.25">
      <c r="N6290" s="362"/>
      <c r="R6290" s="210"/>
      <c r="S6290" s="232"/>
      <c r="T6290" s="270"/>
    </row>
    <row r="6291" spans="14:20" x14ac:dyDescent="0.25">
      <c r="N6291" s="362"/>
      <c r="R6291" s="210"/>
      <c r="S6291" s="232"/>
      <c r="T6291" s="270"/>
    </row>
    <row r="6292" spans="14:20" x14ac:dyDescent="0.25">
      <c r="N6292" s="362"/>
      <c r="R6292" s="210"/>
      <c r="S6292" s="232"/>
      <c r="T6292" s="270"/>
    </row>
    <row r="6293" spans="14:20" x14ac:dyDescent="0.25">
      <c r="N6293" s="362"/>
      <c r="R6293" s="210"/>
      <c r="S6293" s="232"/>
      <c r="T6293" s="270"/>
    </row>
    <row r="6294" spans="14:20" x14ac:dyDescent="0.25">
      <c r="N6294" s="362"/>
      <c r="R6294" s="210"/>
      <c r="S6294" s="232"/>
      <c r="T6294" s="270"/>
    </row>
    <row r="6295" spans="14:20" x14ac:dyDescent="0.25">
      <c r="N6295" s="362"/>
      <c r="R6295" s="210"/>
      <c r="S6295" s="232"/>
      <c r="T6295" s="270"/>
    </row>
    <row r="6296" spans="14:20" x14ac:dyDescent="0.25">
      <c r="N6296" s="362"/>
      <c r="R6296" s="210"/>
      <c r="S6296" s="232"/>
      <c r="T6296" s="270"/>
    </row>
    <row r="6297" spans="14:20" x14ac:dyDescent="0.25">
      <c r="N6297" s="362"/>
      <c r="R6297" s="210"/>
      <c r="S6297" s="232"/>
      <c r="T6297" s="270"/>
    </row>
    <row r="6298" spans="14:20" x14ac:dyDescent="0.25">
      <c r="N6298" s="362"/>
      <c r="R6298" s="210"/>
      <c r="S6298" s="232"/>
      <c r="T6298" s="270"/>
    </row>
    <row r="6299" spans="14:20" x14ac:dyDescent="0.25">
      <c r="N6299" s="362"/>
      <c r="R6299" s="210"/>
      <c r="S6299" s="232"/>
      <c r="T6299" s="270"/>
    </row>
    <row r="6300" spans="14:20" x14ac:dyDescent="0.25">
      <c r="N6300" s="362"/>
      <c r="R6300" s="210"/>
      <c r="S6300" s="232"/>
      <c r="T6300" s="270"/>
    </row>
    <row r="6301" spans="14:20" x14ac:dyDescent="0.25">
      <c r="N6301" s="362"/>
      <c r="R6301" s="210"/>
      <c r="S6301" s="232"/>
      <c r="T6301" s="270"/>
    </row>
    <row r="6302" spans="14:20" x14ac:dyDescent="0.25">
      <c r="N6302" s="362"/>
      <c r="R6302" s="210"/>
      <c r="S6302" s="232"/>
      <c r="T6302" s="270"/>
    </row>
    <row r="6303" spans="14:20" x14ac:dyDescent="0.25">
      <c r="N6303" s="362"/>
      <c r="R6303" s="210"/>
      <c r="S6303" s="232"/>
      <c r="T6303" s="270"/>
    </row>
    <row r="6304" spans="14:20" x14ac:dyDescent="0.25">
      <c r="N6304" s="362"/>
      <c r="R6304" s="210"/>
      <c r="S6304" s="232"/>
      <c r="T6304" s="270"/>
    </row>
    <row r="6305" spans="14:20" x14ac:dyDescent="0.25">
      <c r="N6305" s="362"/>
      <c r="R6305" s="210"/>
      <c r="S6305" s="232"/>
      <c r="T6305" s="270"/>
    </row>
    <row r="6306" spans="14:20" x14ac:dyDescent="0.25">
      <c r="N6306" s="362"/>
      <c r="R6306" s="210"/>
      <c r="S6306" s="232"/>
      <c r="T6306" s="270"/>
    </row>
    <row r="6307" spans="14:20" x14ac:dyDescent="0.25">
      <c r="N6307" s="362"/>
      <c r="R6307" s="210"/>
      <c r="S6307" s="232"/>
      <c r="T6307" s="270"/>
    </row>
    <row r="6308" spans="14:20" x14ac:dyDescent="0.25">
      <c r="N6308" s="362"/>
      <c r="R6308" s="210"/>
      <c r="S6308" s="232"/>
      <c r="T6308" s="270"/>
    </row>
    <row r="6309" spans="14:20" x14ac:dyDescent="0.25">
      <c r="N6309" s="362"/>
      <c r="R6309" s="210"/>
      <c r="S6309" s="232"/>
      <c r="T6309" s="270"/>
    </row>
    <row r="6310" spans="14:20" x14ac:dyDescent="0.25">
      <c r="N6310" s="362"/>
      <c r="R6310" s="210"/>
      <c r="S6310" s="232"/>
      <c r="T6310" s="270"/>
    </row>
    <row r="6311" spans="14:20" x14ac:dyDescent="0.25">
      <c r="N6311" s="362"/>
      <c r="R6311" s="210"/>
      <c r="S6311" s="232"/>
      <c r="T6311" s="270"/>
    </row>
    <row r="6312" spans="14:20" x14ac:dyDescent="0.25">
      <c r="N6312" s="362"/>
      <c r="R6312" s="210"/>
      <c r="S6312" s="232"/>
      <c r="T6312" s="270"/>
    </row>
    <row r="6313" spans="14:20" x14ac:dyDescent="0.25">
      <c r="N6313" s="362"/>
      <c r="R6313" s="210"/>
      <c r="S6313" s="232"/>
      <c r="T6313" s="270"/>
    </row>
    <row r="6314" spans="14:20" x14ac:dyDescent="0.25">
      <c r="N6314" s="362"/>
      <c r="R6314" s="210"/>
      <c r="S6314" s="232"/>
      <c r="T6314" s="270"/>
    </row>
    <row r="6315" spans="14:20" x14ac:dyDescent="0.25">
      <c r="N6315" s="362"/>
      <c r="R6315" s="210"/>
      <c r="S6315" s="232"/>
      <c r="T6315" s="270"/>
    </row>
    <row r="6316" spans="14:20" x14ac:dyDescent="0.25">
      <c r="N6316" s="362"/>
      <c r="R6316" s="210"/>
      <c r="S6316" s="232"/>
      <c r="T6316" s="270"/>
    </row>
    <row r="6317" spans="14:20" x14ac:dyDescent="0.25">
      <c r="N6317" s="362"/>
      <c r="R6317" s="210"/>
      <c r="S6317" s="232"/>
      <c r="T6317" s="270"/>
    </row>
    <row r="6318" spans="14:20" x14ac:dyDescent="0.25">
      <c r="N6318" s="362"/>
      <c r="R6318" s="210"/>
      <c r="S6318" s="232"/>
      <c r="T6318" s="270"/>
    </row>
    <row r="6319" spans="14:20" x14ac:dyDescent="0.25">
      <c r="N6319" s="362"/>
      <c r="R6319" s="210"/>
      <c r="S6319" s="232"/>
      <c r="T6319" s="270"/>
    </row>
    <row r="6320" spans="14:20" x14ac:dyDescent="0.25">
      <c r="N6320" s="362"/>
      <c r="R6320" s="210"/>
      <c r="S6320" s="232"/>
      <c r="T6320" s="270"/>
    </row>
    <row r="6321" spans="14:20" x14ac:dyDescent="0.25">
      <c r="N6321" s="362"/>
      <c r="R6321" s="210"/>
      <c r="S6321" s="232"/>
      <c r="T6321" s="270"/>
    </row>
    <row r="6322" spans="14:20" x14ac:dyDescent="0.25">
      <c r="N6322" s="362"/>
      <c r="R6322" s="210"/>
      <c r="S6322" s="232"/>
      <c r="T6322" s="270"/>
    </row>
    <row r="6323" spans="14:20" x14ac:dyDescent="0.25">
      <c r="N6323" s="362"/>
      <c r="R6323" s="210"/>
      <c r="S6323" s="232"/>
      <c r="T6323" s="270"/>
    </row>
    <row r="6324" spans="14:20" x14ac:dyDescent="0.25">
      <c r="N6324" s="362"/>
      <c r="R6324" s="210"/>
      <c r="S6324" s="232"/>
      <c r="T6324" s="270"/>
    </row>
    <row r="6325" spans="14:20" x14ac:dyDescent="0.25">
      <c r="N6325" s="362"/>
      <c r="R6325" s="210"/>
      <c r="S6325" s="232"/>
      <c r="T6325" s="270"/>
    </row>
    <row r="6326" spans="14:20" x14ac:dyDescent="0.25">
      <c r="N6326" s="362"/>
      <c r="R6326" s="210"/>
      <c r="S6326" s="232"/>
      <c r="T6326" s="270"/>
    </row>
    <row r="6327" spans="14:20" x14ac:dyDescent="0.25">
      <c r="N6327" s="362"/>
      <c r="R6327" s="210"/>
      <c r="S6327" s="232"/>
      <c r="T6327" s="270"/>
    </row>
    <row r="6328" spans="14:20" x14ac:dyDescent="0.25">
      <c r="N6328" s="362"/>
      <c r="R6328" s="210"/>
      <c r="S6328" s="232"/>
      <c r="T6328" s="270"/>
    </row>
    <row r="6329" spans="14:20" x14ac:dyDescent="0.25">
      <c r="N6329" s="362"/>
      <c r="R6329" s="210"/>
      <c r="S6329" s="232"/>
      <c r="T6329" s="270"/>
    </row>
    <row r="6330" spans="14:20" x14ac:dyDescent="0.25">
      <c r="N6330" s="362"/>
      <c r="R6330" s="210"/>
      <c r="S6330" s="232"/>
      <c r="T6330" s="270"/>
    </row>
    <row r="6331" spans="14:20" x14ac:dyDescent="0.25">
      <c r="N6331" s="362"/>
      <c r="R6331" s="210"/>
      <c r="S6331" s="232"/>
      <c r="T6331" s="270"/>
    </row>
    <row r="6332" spans="14:20" x14ac:dyDescent="0.25">
      <c r="N6332" s="362"/>
      <c r="R6332" s="210"/>
      <c r="S6332" s="232"/>
      <c r="T6332" s="270"/>
    </row>
    <row r="6333" spans="14:20" x14ac:dyDescent="0.25">
      <c r="N6333" s="362"/>
      <c r="R6333" s="210"/>
      <c r="S6333" s="232"/>
      <c r="T6333" s="270"/>
    </row>
    <row r="6334" spans="14:20" x14ac:dyDescent="0.25">
      <c r="N6334" s="362"/>
      <c r="R6334" s="210"/>
      <c r="S6334" s="232"/>
      <c r="T6334" s="270"/>
    </row>
    <row r="6335" spans="14:20" x14ac:dyDescent="0.25">
      <c r="N6335" s="362"/>
      <c r="R6335" s="210"/>
      <c r="S6335" s="232"/>
      <c r="T6335" s="270"/>
    </row>
    <row r="6336" spans="14:20" x14ac:dyDescent="0.25">
      <c r="N6336" s="362"/>
      <c r="R6336" s="210"/>
      <c r="S6336" s="232"/>
      <c r="T6336" s="270"/>
    </row>
    <row r="6337" spans="14:20" x14ac:dyDescent="0.25">
      <c r="N6337" s="362"/>
      <c r="R6337" s="210"/>
      <c r="S6337" s="232"/>
      <c r="T6337" s="270"/>
    </row>
    <row r="6338" spans="14:20" x14ac:dyDescent="0.25">
      <c r="N6338" s="362"/>
      <c r="R6338" s="210"/>
      <c r="S6338" s="232"/>
      <c r="T6338" s="270"/>
    </row>
    <row r="6339" spans="14:20" x14ac:dyDescent="0.25">
      <c r="N6339" s="362"/>
      <c r="R6339" s="210"/>
      <c r="S6339" s="232"/>
      <c r="T6339" s="270"/>
    </row>
    <row r="6340" spans="14:20" x14ac:dyDescent="0.25">
      <c r="N6340" s="362"/>
      <c r="R6340" s="210"/>
      <c r="S6340" s="232"/>
      <c r="T6340" s="270"/>
    </row>
    <row r="6341" spans="14:20" x14ac:dyDescent="0.25">
      <c r="N6341" s="362"/>
      <c r="R6341" s="210"/>
      <c r="S6341" s="232"/>
      <c r="T6341" s="270"/>
    </row>
    <row r="6342" spans="14:20" x14ac:dyDescent="0.25">
      <c r="N6342" s="362"/>
      <c r="R6342" s="210"/>
      <c r="S6342" s="232"/>
      <c r="T6342" s="270"/>
    </row>
    <row r="6343" spans="14:20" x14ac:dyDescent="0.25">
      <c r="N6343" s="362"/>
      <c r="R6343" s="210"/>
      <c r="S6343" s="232"/>
      <c r="T6343" s="270"/>
    </row>
    <row r="6344" spans="14:20" x14ac:dyDescent="0.25">
      <c r="N6344" s="362"/>
      <c r="R6344" s="210"/>
      <c r="S6344" s="232"/>
      <c r="T6344" s="270"/>
    </row>
    <row r="6345" spans="14:20" x14ac:dyDescent="0.25">
      <c r="N6345" s="362"/>
      <c r="R6345" s="210"/>
      <c r="S6345" s="232"/>
      <c r="T6345" s="270"/>
    </row>
    <row r="6346" spans="14:20" x14ac:dyDescent="0.25">
      <c r="N6346" s="362"/>
      <c r="R6346" s="210"/>
      <c r="S6346" s="232"/>
      <c r="T6346" s="270"/>
    </row>
    <row r="6347" spans="14:20" x14ac:dyDescent="0.25">
      <c r="N6347" s="362"/>
      <c r="R6347" s="210"/>
      <c r="S6347" s="232"/>
      <c r="T6347" s="270"/>
    </row>
    <row r="6348" spans="14:20" x14ac:dyDescent="0.25">
      <c r="N6348" s="362"/>
      <c r="R6348" s="210"/>
      <c r="S6348" s="232"/>
      <c r="T6348" s="270"/>
    </row>
    <row r="6349" spans="14:20" x14ac:dyDescent="0.25">
      <c r="N6349" s="362"/>
      <c r="R6349" s="210"/>
      <c r="S6349" s="232"/>
      <c r="T6349" s="270"/>
    </row>
    <row r="6350" spans="14:20" x14ac:dyDescent="0.25">
      <c r="N6350" s="362"/>
      <c r="R6350" s="210"/>
      <c r="S6350" s="232"/>
      <c r="T6350" s="270"/>
    </row>
    <row r="6351" spans="14:20" x14ac:dyDescent="0.25">
      <c r="N6351" s="362"/>
      <c r="R6351" s="210"/>
      <c r="S6351" s="232"/>
      <c r="T6351" s="270"/>
    </row>
    <row r="6352" spans="14:20" x14ac:dyDescent="0.25">
      <c r="N6352" s="362"/>
      <c r="R6352" s="210"/>
      <c r="S6352" s="232"/>
      <c r="T6352" s="270"/>
    </row>
    <row r="6353" spans="14:20" x14ac:dyDescent="0.25">
      <c r="N6353" s="362"/>
      <c r="R6353" s="210"/>
      <c r="S6353" s="232"/>
      <c r="T6353" s="270"/>
    </row>
    <row r="6354" spans="14:20" x14ac:dyDescent="0.25">
      <c r="N6354" s="362"/>
      <c r="R6354" s="210"/>
      <c r="S6354" s="232"/>
      <c r="T6354" s="270"/>
    </row>
    <row r="6355" spans="14:20" x14ac:dyDescent="0.25">
      <c r="N6355" s="362"/>
      <c r="R6355" s="210"/>
      <c r="S6355" s="232"/>
      <c r="T6355" s="270"/>
    </row>
    <row r="6356" spans="14:20" x14ac:dyDescent="0.25">
      <c r="N6356" s="362"/>
      <c r="R6356" s="210"/>
      <c r="S6356" s="232"/>
      <c r="T6356" s="270"/>
    </row>
    <row r="6357" spans="14:20" x14ac:dyDescent="0.25">
      <c r="N6357" s="362"/>
      <c r="R6357" s="210"/>
      <c r="S6357" s="232"/>
      <c r="T6357" s="270"/>
    </row>
    <row r="6358" spans="14:20" x14ac:dyDescent="0.25">
      <c r="N6358" s="362"/>
      <c r="R6358" s="210"/>
      <c r="S6358" s="232"/>
      <c r="T6358" s="270"/>
    </row>
    <row r="6359" spans="14:20" x14ac:dyDescent="0.25">
      <c r="N6359" s="362"/>
      <c r="R6359" s="210"/>
      <c r="S6359" s="232"/>
      <c r="T6359" s="270"/>
    </row>
    <row r="6360" spans="14:20" x14ac:dyDescent="0.25">
      <c r="N6360" s="362"/>
      <c r="R6360" s="210"/>
      <c r="S6360" s="232"/>
      <c r="T6360" s="270"/>
    </row>
    <row r="6361" spans="14:20" x14ac:dyDescent="0.25">
      <c r="N6361" s="362"/>
      <c r="R6361" s="210"/>
      <c r="S6361" s="232"/>
      <c r="T6361" s="270"/>
    </row>
    <row r="6362" spans="14:20" x14ac:dyDescent="0.25">
      <c r="N6362" s="362"/>
      <c r="R6362" s="210"/>
      <c r="S6362" s="232"/>
      <c r="T6362" s="270"/>
    </row>
    <row r="6363" spans="14:20" x14ac:dyDescent="0.25">
      <c r="N6363" s="362"/>
      <c r="R6363" s="210"/>
      <c r="S6363" s="232"/>
      <c r="T6363" s="270"/>
    </row>
    <row r="6364" spans="14:20" x14ac:dyDescent="0.25">
      <c r="N6364" s="362"/>
      <c r="R6364" s="210"/>
      <c r="S6364" s="232"/>
      <c r="T6364" s="270"/>
    </row>
    <row r="6365" spans="14:20" x14ac:dyDescent="0.25">
      <c r="N6365" s="362"/>
      <c r="R6365" s="210"/>
      <c r="S6365" s="232"/>
      <c r="T6365" s="270"/>
    </row>
    <row r="6366" spans="14:20" x14ac:dyDescent="0.25">
      <c r="N6366" s="362"/>
      <c r="R6366" s="210"/>
      <c r="S6366" s="232"/>
      <c r="T6366" s="270"/>
    </row>
    <row r="6367" spans="14:20" x14ac:dyDescent="0.25">
      <c r="N6367" s="362"/>
      <c r="R6367" s="210"/>
      <c r="S6367" s="232"/>
      <c r="T6367" s="270"/>
    </row>
    <row r="6368" spans="14:20" x14ac:dyDescent="0.25">
      <c r="N6368" s="362"/>
      <c r="R6368" s="210"/>
      <c r="S6368" s="232"/>
      <c r="T6368" s="270"/>
    </row>
    <row r="6369" spans="14:20" x14ac:dyDescent="0.25">
      <c r="N6369" s="362"/>
      <c r="R6369" s="210"/>
      <c r="S6369" s="232"/>
      <c r="T6369" s="270"/>
    </row>
    <row r="6370" spans="14:20" x14ac:dyDescent="0.25">
      <c r="N6370" s="362"/>
      <c r="R6370" s="210"/>
      <c r="S6370" s="232"/>
      <c r="T6370" s="270"/>
    </row>
    <row r="6371" spans="14:20" x14ac:dyDescent="0.25">
      <c r="N6371" s="362"/>
      <c r="R6371" s="210"/>
      <c r="S6371" s="232"/>
      <c r="T6371" s="270"/>
    </row>
    <row r="6372" spans="14:20" x14ac:dyDescent="0.25">
      <c r="N6372" s="362"/>
      <c r="R6372" s="210"/>
      <c r="S6372" s="232"/>
      <c r="T6372" s="270"/>
    </row>
    <row r="6373" spans="14:20" x14ac:dyDescent="0.25">
      <c r="N6373" s="362"/>
      <c r="R6373" s="210"/>
      <c r="S6373" s="232"/>
      <c r="T6373" s="270"/>
    </row>
    <row r="6374" spans="14:20" x14ac:dyDescent="0.25">
      <c r="N6374" s="362"/>
      <c r="R6374" s="210"/>
      <c r="S6374" s="232"/>
      <c r="T6374" s="270"/>
    </row>
    <row r="6375" spans="14:20" x14ac:dyDescent="0.25">
      <c r="N6375" s="362"/>
      <c r="R6375" s="210"/>
      <c r="S6375" s="232"/>
      <c r="T6375" s="270"/>
    </row>
    <row r="6376" spans="14:20" x14ac:dyDescent="0.25">
      <c r="N6376" s="362"/>
      <c r="R6376" s="210"/>
      <c r="S6376" s="232"/>
      <c r="T6376" s="270"/>
    </row>
    <row r="6377" spans="14:20" x14ac:dyDescent="0.25">
      <c r="N6377" s="362"/>
      <c r="R6377" s="210"/>
      <c r="S6377" s="232"/>
      <c r="T6377" s="270"/>
    </row>
    <row r="6378" spans="14:20" x14ac:dyDescent="0.25">
      <c r="N6378" s="362"/>
      <c r="R6378" s="210"/>
      <c r="S6378" s="232"/>
      <c r="T6378" s="270"/>
    </row>
    <row r="6379" spans="14:20" x14ac:dyDescent="0.25">
      <c r="N6379" s="362"/>
      <c r="R6379" s="210"/>
      <c r="S6379" s="232"/>
      <c r="T6379" s="270"/>
    </row>
    <row r="6380" spans="14:20" x14ac:dyDescent="0.25">
      <c r="N6380" s="362"/>
      <c r="R6380" s="210"/>
      <c r="S6380" s="232"/>
      <c r="T6380" s="270"/>
    </row>
    <row r="6381" spans="14:20" x14ac:dyDescent="0.25">
      <c r="N6381" s="362"/>
      <c r="R6381" s="210"/>
      <c r="S6381" s="232"/>
      <c r="T6381" s="270"/>
    </row>
    <row r="6382" spans="14:20" x14ac:dyDescent="0.25">
      <c r="N6382" s="362"/>
      <c r="R6382" s="210"/>
      <c r="S6382" s="232"/>
      <c r="T6382" s="270"/>
    </row>
    <row r="6383" spans="14:20" x14ac:dyDescent="0.25">
      <c r="N6383" s="362"/>
      <c r="R6383" s="210"/>
      <c r="S6383" s="232"/>
      <c r="T6383" s="270"/>
    </row>
    <row r="6384" spans="14:20" x14ac:dyDescent="0.25">
      <c r="N6384" s="362"/>
      <c r="R6384" s="210"/>
      <c r="S6384" s="232"/>
      <c r="T6384" s="270"/>
    </row>
    <row r="6385" spans="14:20" x14ac:dyDescent="0.25">
      <c r="N6385" s="362"/>
      <c r="R6385" s="210"/>
      <c r="S6385" s="232"/>
      <c r="T6385" s="270"/>
    </row>
    <row r="6386" spans="14:20" x14ac:dyDescent="0.25">
      <c r="N6386" s="362"/>
      <c r="R6386" s="210"/>
      <c r="S6386" s="232"/>
      <c r="T6386" s="270"/>
    </row>
    <row r="6387" spans="14:20" x14ac:dyDescent="0.25">
      <c r="N6387" s="362"/>
      <c r="R6387" s="210"/>
      <c r="S6387" s="232"/>
      <c r="T6387" s="270"/>
    </row>
    <row r="6388" spans="14:20" x14ac:dyDescent="0.25">
      <c r="N6388" s="362"/>
      <c r="R6388" s="210"/>
      <c r="S6388" s="232"/>
      <c r="T6388" s="270"/>
    </row>
    <row r="6389" spans="14:20" x14ac:dyDescent="0.25">
      <c r="N6389" s="362"/>
      <c r="R6389" s="210"/>
      <c r="S6389" s="232"/>
      <c r="T6389" s="270"/>
    </row>
    <row r="6390" spans="14:20" x14ac:dyDescent="0.25">
      <c r="N6390" s="362"/>
      <c r="R6390" s="210"/>
      <c r="S6390" s="232"/>
      <c r="T6390" s="270"/>
    </row>
    <row r="6391" spans="14:20" x14ac:dyDescent="0.25">
      <c r="N6391" s="362"/>
      <c r="R6391" s="210"/>
      <c r="S6391" s="232"/>
      <c r="T6391" s="270"/>
    </row>
    <row r="6392" spans="14:20" x14ac:dyDescent="0.25">
      <c r="N6392" s="362"/>
      <c r="R6392" s="210"/>
      <c r="S6392" s="232"/>
      <c r="T6392" s="270"/>
    </row>
    <row r="6393" spans="14:20" x14ac:dyDescent="0.25">
      <c r="N6393" s="362"/>
      <c r="R6393" s="210"/>
      <c r="S6393" s="232"/>
      <c r="T6393" s="270"/>
    </row>
    <row r="6394" spans="14:20" x14ac:dyDescent="0.25">
      <c r="N6394" s="362"/>
      <c r="R6394" s="210"/>
      <c r="S6394" s="232"/>
      <c r="T6394" s="270"/>
    </row>
    <row r="6395" spans="14:20" x14ac:dyDescent="0.25">
      <c r="N6395" s="362"/>
      <c r="R6395" s="210"/>
      <c r="S6395" s="232"/>
      <c r="T6395" s="270"/>
    </row>
    <row r="6396" spans="14:20" x14ac:dyDescent="0.25">
      <c r="N6396" s="362"/>
      <c r="R6396" s="210"/>
      <c r="S6396" s="232"/>
      <c r="T6396" s="270"/>
    </row>
    <row r="6397" spans="14:20" x14ac:dyDescent="0.25">
      <c r="N6397" s="362"/>
      <c r="R6397" s="210"/>
      <c r="S6397" s="232"/>
      <c r="T6397" s="270"/>
    </row>
    <row r="6398" spans="14:20" x14ac:dyDescent="0.25">
      <c r="N6398" s="362"/>
      <c r="R6398" s="210"/>
      <c r="S6398" s="232"/>
      <c r="T6398" s="270"/>
    </row>
    <row r="6399" spans="14:20" x14ac:dyDescent="0.25">
      <c r="N6399" s="362"/>
      <c r="R6399" s="210"/>
      <c r="S6399" s="232"/>
      <c r="T6399" s="270"/>
    </row>
    <row r="6400" spans="14:20" x14ac:dyDescent="0.25">
      <c r="N6400" s="362"/>
      <c r="R6400" s="210"/>
      <c r="S6400" s="232"/>
      <c r="T6400" s="270"/>
    </row>
    <row r="6401" spans="14:20" x14ac:dyDescent="0.25">
      <c r="N6401" s="362"/>
      <c r="R6401" s="210"/>
      <c r="S6401" s="232"/>
      <c r="T6401" s="270"/>
    </row>
    <row r="6402" spans="14:20" x14ac:dyDescent="0.25">
      <c r="N6402" s="362"/>
      <c r="R6402" s="210"/>
      <c r="S6402" s="232"/>
      <c r="T6402" s="270"/>
    </row>
    <row r="6403" spans="14:20" x14ac:dyDescent="0.25">
      <c r="N6403" s="362"/>
      <c r="R6403" s="210"/>
      <c r="S6403" s="232"/>
      <c r="T6403" s="270"/>
    </row>
    <row r="6404" spans="14:20" x14ac:dyDescent="0.25">
      <c r="N6404" s="362"/>
      <c r="R6404" s="210"/>
      <c r="S6404" s="232"/>
      <c r="T6404" s="270"/>
    </row>
    <row r="6405" spans="14:20" x14ac:dyDescent="0.25">
      <c r="N6405" s="362"/>
      <c r="R6405" s="210"/>
      <c r="S6405" s="232"/>
      <c r="T6405" s="270"/>
    </row>
    <row r="6406" spans="14:20" x14ac:dyDescent="0.25">
      <c r="N6406" s="362"/>
      <c r="R6406" s="210"/>
      <c r="S6406" s="232"/>
      <c r="T6406" s="270"/>
    </row>
    <row r="6407" spans="14:20" x14ac:dyDescent="0.25">
      <c r="N6407" s="362"/>
      <c r="R6407" s="210"/>
      <c r="S6407" s="232"/>
      <c r="T6407" s="270"/>
    </row>
    <row r="6408" spans="14:20" x14ac:dyDescent="0.25">
      <c r="N6408" s="362"/>
      <c r="R6408" s="210"/>
      <c r="S6408" s="232"/>
      <c r="T6408" s="270"/>
    </row>
    <row r="6409" spans="14:20" x14ac:dyDescent="0.25">
      <c r="N6409" s="362"/>
      <c r="R6409" s="210"/>
      <c r="S6409" s="232"/>
      <c r="T6409" s="270"/>
    </row>
    <row r="6410" spans="14:20" x14ac:dyDescent="0.25">
      <c r="N6410" s="362"/>
      <c r="R6410" s="210"/>
      <c r="S6410" s="232"/>
      <c r="T6410" s="270"/>
    </row>
    <row r="6411" spans="14:20" x14ac:dyDescent="0.25">
      <c r="N6411" s="362"/>
      <c r="R6411" s="210"/>
      <c r="S6411" s="232"/>
      <c r="T6411" s="270"/>
    </row>
    <row r="6412" spans="14:20" x14ac:dyDescent="0.25">
      <c r="N6412" s="362"/>
      <c r="R6412" s="210"/>
      <c r="S6412" s="232"/>
      <c r="T6412" s="270"/>
    </row>
    <row r="6413" spans="14:20" x14ac:dyDescent="0.25">
      <c r="N6413" s="362"/>
      <c r="R6413" s="210"/>
      <c r="S6413" s="232"/>
      <c r="T6413" s="270"/>
    </row>
    <row r="6414" spans="14:20" x14ac:dyDescent="0.25">
      <c r="N6414" s="362"/>
      <c r="R6414" s="210"/>
      <c r="S6414" s="232"/>
      <c r="T6414" s="270"/>
    </row>
    <row r="6415" spans="14:20" x14ac:dyDescent="0.25">
      <c r="N6415" s="362"/>
      <c r="R6415" s="210"/>
      <c r="S6415" s="232"/>
      <c r="T6415" s="270"/>
    </row>
    <row r="6416" spans="14:20" x14ac:dyDescent="0.25">
      <c r="N6416" s="362"/>
      <c r="R6416" s="210"/>
      <c r="S6416" s="232"/>
      <c r="T6416" s="270"/>
    </row>
    <row r="6417" spans="14:20" x14ac:dyDescent="0.25">
      <c r="N6417" s="362"/>
      <c r="R6417" s="210"/>
      <c r="S6417" s="232"/>
      <c r="T6417" s="270"/>
    </row>
    <row r="6418" spans="14:20" x14ac:dyDescent="0.25">
      <c r="N6418" s="362"/>
      <c r="R6418" s="210"/>
      <c r="S6418" s="232"/>
      <c r="T6418" s="270"/>
    </row>
    <row r="6419" spans="14:20" x14ac:dyDescent="0.25">
      <c r="N6419" s="362"/>
      <c r="R6419" s="210"/>
      <c r="S6419" s="232"/>
      <c r="T6419" s="270"/>
    </row>
    <row r="6420" spans="14:20" x14ac:dyDescent="0.25">
      <c r="N6420" s="362"/>
      <c r="R6420" s="210"/>
      <c r="S6420" s="232"/>
      <c r="T6420" s="270"/>
    </row>
    <row r="6421" spans="14:20" x14ac:dyDescent="0.25">
      <c r="N6421" s="362"/>
      <c r="R6421" s="210"/>
      <c r="S6421" s="232"/>
      <c r="T6421" s="270"/>
    </row>
    <row r="6422" spans="14:20" x14ac:dyDescent="0.25">
      <c r="N6422" s="362"/>
      <c r="R6422" s="210"/>
      <c r="S6422" s="232"/>
      <c r="T6422" s="270"/>
    </row>
    <row r="6423" spans="14:20" x14ac:dyDescent="0.25">
      <c r="N6423" s="362"/>
      <c r="R6423" s="210"/>
      <c r="S6423" s="232"/>
      <c r="T6423" s="270"/>
    </row>
    <row r="6424" spans="14:20" x14ac:dyDescent="0.25">
      <c r="N6424" s="362"/>
      <c r="R6424" s="210"/>
      <c r="S6424" s="232"/>
      <c r="T6424" s="270"/>
    </row>
    <row r="6425" spans="14:20" x14ac:dyDescent="0.25">
      <c r="N6425" s="362"/>
      <c r="R6425" s="210"/>
      <c r="S6425" s="232"/>
      <c r="T6425" s="270"/>
    </row>
    <row r="6426" spans="14:20" x14ac:dyDescent="0.25">
      <c r="N6426" s="362"/>
      <c r="R6426" s="210"/>
      <c r="S6426" s="232"/>
      <c r="T6426" s="270"/>
    </row>
    <row r="6427" spans="14:20" x14ac:dyDescent="0.25">
      <c r="N6427" s="362"/>
      <c r="R6427" s="210"/>
      <c r="S6427" s="232"/>
      <c r="T6427" s="270"/>
    </row>
    <row r="6428" spans="14:20" x14ac:dyDescent="0.25">
      <c r="N6428" s="362"/>
      <c r="R6428" s="210"/>
      <c r="S6428" s="232"/>
      <c r="T6428" s="270"/>
    </row>
    <row r="6429" spans="14:20" x14ac:dyDescent="0.25">
      <c r="N6429" s="362"/>
      <c r="R6429" s="210"/>
      <c r="S6429" s="232"/>
      <c r="T6429" s="270"/>
    </row>
    <row r="6430" spans="14:20" x14ac:dyDescent="0.25">
      <c r="N6430" s="362"/>
      <c r="R6430" s="210"/>
      <c r="S6430" s="232"/>
      <c r="T6430" s="270"/>
    </row>
    <row r="6431" spans="14:20" x14ac:dyDescent="0.25">
      <c r="N6431" s="362"/>
      <c r="R6431" s="210"/>
      <c r="S6431" s="232"/>
      <c r="T6431" s="270"/>
    </row>
    <row r="6432" spans="14:20" x14ac:dyDescent="0.25">
      <c r="N6432" s="362"/>
      <c r="R6432" s="210"/>
      <c r="S6432" s="232"/>
      <c r="T6432" s="270"/>
    </row>
    <row r="6433" spans="14:20" x14ac:dyDescent="0.25">
      <c r="N6433" s="362"/>
      <c r="R6433" s="210"/>
      <c r="S6433" s="232"/>
      <c r="T6433" s="270"/>
    </row>
    <row r="6434" spans="14:20" x14ac:dyDescent="0.25">
      <c r="N6434" s="362"/>
      <c r="R6434" s="210"/>
      <c r="S6434" s="232"/>
      <c r="T6434" s="270"/>
    </row>
    <row r="6435" spans="14:20" x14ac:dyDescent="0.25">
      <c r="N6435" s="362"/>
      <c r="R6435" s="210"/>
      <c r="S6435" s="232"/>
      <c r="T6435" s="270"/>
    </row>
    <row r="6436" spans="14:20" x14ac:dyDescent="0.25">
      <c r="N6436" s="362"/>
      <c r="R6436" s="210"/>
      <c r="S6436" s="232"/>
      <c r="T6436" s="270"/>
    </row>
    <row r="6437" spans="14:20" x14ac:dyDescent="0.25">
      <c r="N6437" s="362"/>
      <c r="R6437" s="210"/>
      <c r="S6437" s="232"/>
      <c r="T6437" s="270"/>
    </row>
    <row r="6438" spans="14:20" x14ac:dyDescent="0.25">
      <c r="N6438" s="362"/>
      <c r="R6438" s="210"/>
      <c r="S6438" s="232"/>
      <c r="T6438" s="270"/>
    </row>
    <row r="6439" spans="14:20" x14ac:dyDescent="0.25">
      <c r="N6439" s="362"/>
      <c r="R6439" s="210"/>
      <c r="S6439" s="232"/>
      <c r="T6439" s="270"/>
    </row>
    <row r="6440" spans="14:20" x14ac:dyDescent="0.25">
      <c r="N6440" s="362"/>
      <c r="R6440" s="210"/>
      <c r="S6440" s="232"/>
      <c r="T6440" s="270"/>
    </row>
    <row r="6441" spans="14:20" x14ac:dyDescent="0.25">
      <c r="N6441" s="362"/>
      <c r="R6441" s="210"/>
      <c r="S6441" s="232"/>
      <c r="T6441" s="270"/>
    </row>
    <row r="6442" spans="14:20" x14ac:dyDescent="0.25">
      <c r="N6442" s="362"/>
      <c r="R6442" s="210"/>
      <c r="S6442" s="232"/>
      <c r="T6442" s="270"/>
    </row>
    <row r="6443" spans="14:20" x14ac:dyDescent="0.25">
      <c r="N6443" s="362"/>
      <c r="R6443" s="210"/>
      <c r="S6443" s="232"/>
      <c r="T6443" s="270"/>
    </row>
    <row r="6444" spans="14:20" x14ac:dyDescent="0.25">
      <c r="N6444" s="362"/>
      <c r="R6444" s="210"/>
      <c r="S6444" s="232"/>
      <c r="T6444" s="270"/>
    </row>
    <row r="6445" spans="14:20" x14ac:dyDescent="0.25">
      <c r="N6445" s="362"/>
      <c r="R6445" s="210"/>
      <c r="S6445" s="232"/>
      <c r="T6445" s="270"/>
    </row>
    <row r="6446" spans="14:20" x14ac:dyDescent="0.25">
      <c r="N6446" s="362"/>
      <c r="R6446" s="210"/>
      <c r="S6446" s="232"/>
      <c r="T6446" s="270"/>
    </row>
    <row r="6447" spans="14:20" x14ac:dyDescent="0.25">
      <c r="N6447" s="362"/>
      <c r="R6447" s="210"/>
      <c r="S6447" s="232"/>
      <c r="T6447" s="270"/>
    </row>
    <row r="6448" spans="14:20" x14ac:dyDescent="0.25">
      <c r="N6448" s="362"/>
      <c r="R6448" s="210"/>
      <c r="S6448" s="232"/>
      <c r="T6448" s="270"/>
    </row>
    <row r="6449" spans="14:20" x14ac:dyDescent="0.25">
      <c r="N6449" s="362"/>
      <c r="R6449" s="210"/>
      <c r="S6449" s="232"/>
      <c r="T6449" s="270"/>
    </row>
    <row r="6450" spans="14:20" x14ac:dyDescent="0.25">
      <c r="N6450" s="362"/>
      <c r="R6450" s="210"/>
      <c r="S6450" s="232"/>
      <c r="T6450" s="270"/>
    </row>
    <row r="6451" spans="14:20" x14ac:dyDescent="0.25">
      <c r="N6451" s="362"/>
      <c r="R6451" s="210"/>
      <c r="S6451" s="232"/>
      <c r="T6451" s="270"/>
    </row>
    <row r="6452" spans="14:20" x14ac:dyDescent="0.25">
      <c r="N6452" s="362"/>
      <c r="R6452" s="210"/>
      <c r="S6452" s="232"/>
      <c r="T6452" s="270"/>
    </row>
    <row r="6453" spans="14:20" x14ac:dyDescent="0.25">
      <c r="N6453" s="362"/>
      <c r="R6453" s="210"/>
      <c r="S6453" s="232"/>
      <c r="T6453" s="270"/>
    </row>
    <row r="6454" spans="14:20" x14ac:dyDescent="0.25">
      <c r="N6454" s="362"/>
      <c r="R6454" s="210"/>
      <c r="S6454" s="232"/>
      <c r="T6454" s="270"/>
    </row>
    <row r="6455" spans="14:20" x14ac:dyDescent="0.25">
      <c r="N6455" s="362"/>
      <c r="R6455" s="210"/>
      <c r="S6455" s="232"/>
      <c r="T6455" s="270"/>
    </row>
    <row r="6456" spans="14:20" x14ac:dyDescent="0.25">
      <c r="N6456" s="362"/>
      <c r="R6456" s="210"/>
      <c r="S6456" s="232"/>
      <c r="T6456" s="270"/>
    </row>
    <row r="6457" spans="14:20" x14ac:dyDescent="0.25">
      <c r="N6457" s="362"/>
      <c r="R6457" s="210"/>
      <c r="S6457" s="232"/>
      <c r="T6457" s="270"/>
    </row>
    <row r="6458" spans="14:20" x14ac:dyDescent="0.25">
      <c r="N6458" s="362"/>
      <c r="R6458" s="210"/>
      <c r="S6458" s="232"/>
      <c r="T6458" s="270"/>
    </row>
    <row r="6459" spans="14:20" x14ac:dyDescent="0.25">
      <c r="N6459" s="362"/>
      <c r="R6459" s="210"/>
      <c r="S6459" s="232"/>
      <c r="T6459" s="270"/>
    </row>
    <row r="6460" spans="14:20" x14ac:dyDescent="0.25">
      <c r="N6460" s="362"/>
      <c r="R6460" s="210"/>
      <c r="S6460" s="232"/>
      <c r="T6460" s="270"/>
    </row>
    <row r="6461" spans="14:20" x14ac:dyDescent="0.25">
      <c r="N6461" s="362"/>
      <c r="R6461" s="210"/>
      <c r="S6461" s="232"/>
      <c r="T6461" s="270"/>
    </row>
    <row r="6462" spans="14:20" x14ac:dyDescent="0.25">
      <c r="N6462" s="362"/>
      <c r="R6462" s="210"/>
      <c r="S6462" s="232"/>
      <c r="T6462" s="270"/>
    </row>
    <row r="6463" spans="14:20" x14ac:dyDescent="0.25">
      <c r="N6463" s="362"/>
      <c r="R6463" s="210"/>
      <c r="S6463" s="232"/>
      <c r="T6463" s="270"/>
    </row>
    <row r="6464" spans="14:20" x14ac:dyDescent="0.25">
      <c r="N6464" s="362"/>
      <c r="R6464" s="210"/>
      <c r="S6464" s="232"/>
      <c r="T6464" s="270"/>
    </row>
    <row r="6465" spans="14:20" x14ac:dyDescent="0.25">
      <c r="N6465" s="362"/>
      <c r="R6465" s="210"/>
      <c r="S6465" s="232"/>
      <c r="T6465" s="270"/>
    </row>
    <row r="6466" spans="14:20" x14ac:dyDescent="0.25">
      <c r="N6466" s="362"/>
      <c r="R6466" s="210"/>
      <c r="S6466" s="232"/>
      <c r="T6466" s="270"/>
    </row>
    <row r="6467" spans="14:20" x14ac:dyDescent="0.25">
      <c r="N6467" s="362"/>
      <c r="R6467" s="210"/>
      <c r="S6467" s="232"/>
      <c r="T6467" s="270"/>
    </row>
    <row r="6468" spans="14:20" x14ac:dyDescent="0.25">
      <c r="N6468" s="362"/>
      <c r="R6468" s="210"/>
      <c r="S6468" s="232"/>
      <c r="T6468" s="270"/>
    </row>
    <row r="6469" spans="14:20" x14ac:dyDescent="0.25">
      <c r="N6469" s="362"/>
      <c r="R6469" s="210"/>
      <c r="S6469" s="232"/>
      <c r="T6469" s="270"/>
    </row>
    <row r="6470" spans="14:20" x14ac:dyDescent="0.25">
      <c r="N6470" s="362"/>
      <c r="R6470" s="210"/>
      <c r="S6470" s="232"/>
      <c r="T6470" s="270"/>
    </row>
    <row r="6471" spans="14:20" x14ac:dyDescent="0.25">
      <c r="N6471" s="362"/>
      <c r="R6471" s="210"/>
      <c r="S6471" s="232"/>
      <c r="T6471" s="270"/>
    </row>
    <row r="6472" spans="14:20" x14ac:dyDescent="0.25">
      <c r="N6472" s="362"/>
      <c r="R6472" s="210"/>
      <c r="S6472" s="232"/>
      <c r="T6472" s="270"/>
    </row>
    <row r="6473" spans="14:20" x14ac:dyDescent="0.25">
      <c r="N6473" s="362"/>
      <c r="R6473" s="210"/>
      <c r="S6473" s="232"/>
      <c r="T6473" s="270"/>
    </row>
    <row r="6474" spans="14:20" x14ac:dyDescent="0.25">
      <c r="N6474" s="362"/>
      <c r="R6474" s="210"/>
      <c r="S6474" s="232"/>
      <c r="T6474" s="270"/>
    </row>
    <row r="6475" spans="14:20" x14ac:dyDescent="0.25">
      <c r="N6475" s="362"/>
      <c r="R6475" s="210"/>
      <c r="S6475" s="232"/>
      <c r="T6475" s="270"/>
    </row>
    <row r="6476" spans="14:20" x14ac:dyDescent="0.25">
      <c r="N6476" s="362"/>
      <c r="R6476" s="210"/>
      <c r="S6476" s="232"/>
      <c r="T6476" s="270"/>
    </row>
    <row r="6477" spans="14:20" x14ac:dyDescent="0.25">
      <c r="N6477" s="362"/>
      <c r="R6477" s="210"/>
      <c r="S6477" s="232"/>
      <c r="T6477" s="270"/>
    </row>
    <row r="6478" spans="14:20" x14ac:dyDescent="0.25">
      <c r="N6478" s="362"/>
      <c r="R6478" s="210"/>
      <c r="S6478" s="232"/>
      <c r="T6478" s="270"/>
    </row>
    <row r="6479" spans="14:20" x14ac:dyDescent="0.25">
      <c r="N6479" s="362"/>
      <c r="R6479" s="210"/>
      <c r="S6479" s="232"/>
      <c r="T6479" s="270"/>
    </row>
    <row r="6480" spans="14:20" x14ac:dyDescent="0.25">
      <c r="N6480" s="362"/>
      <c r="R6480" s="210"/>
      <c r="S6480" s="232"/>
      <c r="T6480" s="270"/>
    </row>
    <row r="6481" spans="14:20" x14ac:dyDescent="0.25">
      <c r="N6481" s="362"/>
      <c r="R6481" s="210"/>
      <c r="S6481" s="232"/>
      <c r="T6481" s="270"/>
    </row>
    <row r="6482" spans="14:20" x14ac:dyDescent="0.25">
      <c r="N6482" s="362"/>
      <c r="R6482" s="210"/>
      <c r="S6482" s="232"/>
      <c r="T6482" s="270"/>
    </row>
    <row r="6483" spans="14:20" x14ac:dyDescent="0.25">
      <c r="N6483" s="362"/>
      <c r="R6483" s="210"/>
      <c r="S6483" s="232"/>
      <c r="T6483" s="270"/>
    </row>
    <row r="6484" spans="14:20" x14ac:dyDescent="0.25">
      <c r="N6484" s="362"/>
      <c r="R6484" s="210"/>
      <c r="S6484" s="232"/>
      <c r="T6484" s="270"/>
    </row>
    <row r="6485" spans="14:20" x14ac:dyDescent="0.25">
      <c r="N6485" s="362"/>
      <c r="R6485" s="210"/>
      <c r="S6485" s="232"/>
      <c r="T6485" s="270"/>
    </row>
    <row r="6486" spans="14:20" x14ac:dyDescent="0.25">
      <c r="N6486" s="362"/>
      <c r="R6486" s="210"/>
      <c r="S6486" s="232"/>
      <c r="T6486" s="270"/>
    </row>
    <row r="6487" spans="14:20" x14ac:dyDescent="0.25">
      <c r="N6487" s="362"/>
      <c r="R6487" s="210"/>
      <c r="S6487" s="232"/>
      <c r="T6487" s="270"/>
    </row>
    <row r="6488" spans="14:20" x14ac:dyDescent="0.25">
      <c r="N6488" s="362"/>
      <c r="R6488" s="210"/>
      <c r="S6488" s="232"/>
      <c r="T6488" s="270"/>
    </row>
    <row r="6489" spans="14:20" x14ac:dyDescent="0.25">
      <c r="N6489" s="362"/>
      <c r="R6489" s="210"/>
      <c r="S6489" s="232"/>
      <c r="T6489" s="270"/>
    </row>
    <row r="6490" spans="14:20" x14ac:dyDescent="0.25">
      <c r="N6490" s="362"/>
      <c r="R6490" s="210"/>
      <c r="S6490" s="232"/>
      <c r="T6490" s="270"/>
    </row>
    <row r="6491" spans="14:20" x14ac:dyDescent="0.25">
      <c r="N6491" s="362"/>
      <c r="R6491" s="210"/>
      <c r="S6491" s="232"/>
      <c r="T6491" s="270"/>
    </row>
    <row r="6492" spans="14:20" x14ac:dyDescent="0.25">
      <c r="N6492" s="362"/>
      <c r="R6492" s="210"/>
      <c r="S6492" s="232"/>
      <c r="T6492" s="270"/>
    </row>
    <row r="6493" spans="14:20" x14ac:dyDescent="0.25">
      <c r="N6493" s="362"/>
      <c r="R6493" s="210"/>
      <c r="S6493" s="232"/>
      <c r="T6493" s="270"/>
    </row>
    <row r="6494" spans="14:20" x14ac:dyDescent="0.25">
      <c r="N6494" s="362"/>
      <c r="R6494" s="210"/>
      <c r="S6494" s="232"/>
      <c r="T6494" s="270"/>
    </row>
    <row r="6495" spans="14:20" x14ac:dyDescent="0.25">
      <c r="N6495" s="362"/>
      <c r="R6495" s="210"/>
      <c r="S6495" s="232"/>
      <c r="T6495" s="270"/>
    </row>
    <row r="6496" spans="14:20" x14ac:dyDescent="0.25">
      <c r="N6496" s="362"/>
      <c r="R6496" s="210"/>
      <c r="S6496" s="232"/>
      <c r="T6496" s="270"/>
    </row>
    <row r="6497" spans="14:20" x14ac:dyDescent="0.25">
      <c r="N6497" s="362"/>
      <c r="R6497" s="210"/>
      <c r="S6497" s="232"/>
      <c r="T6497" s="270"/>
    </row>
    <row r="6498" spans="14:20" x14ac:dyDescent="0.25">
      <c r="N6498" s="362"/>
      <c r="R6498" s="210"/>
      <c r="S6498" s="232"/>
      <c r="T6498" s="270"/>
    </row>
    <row r="6499" spans="14:20" x14ac:dyDescent="0.25">
      <c r="N6499" s="362"/>
      <c r="R6499" s="210"/>
      <c r="S6499" s="232"/>
      <c r="T6499" s="270"/>
    </row>
    <row r="6500" spans="14:20" x14ac:dyDescent="0.25">
      <c r="N6500" s="362"/>
      <c r="R6500" s="210"/>
      <c r="S6500" s="232"/>
      <c r="T6500" s="270"/>
    </row>
    <row r="6501" spans="14:20" x14ac:dyDescent="0.25">
      <c r="N6501" s="362"/>
      <c r="R6501" s="210"/>
      <c r="S6501" s="232"/>
      <c r="T6501" s="270"/>
    </row>
    <row r="6502" spans="14:20" x14ac:dyDescent="0.25">
      <c r="N6502" s="362"/>
      <c r="R6502" s="210"/>
      <c r="S6502" s="232"/>
      <c r="T6502" s="270"/>
    </row>
    <row r="6503" spans="14:20" x14ac:dyDescent="0.25">
      <c r="N6503" s="362"/>
      <c r="R6503" s="210"/>
      <c r="S6503" s="232"/>
      <c r="T6503" s="270"/>
    </row>
    <row r="6504" spans="14:20" x14ac:dyDescent="0.25">
      <c r="N6504" s="362"/>
      <c r="R6504" s="210"/>
      <c r="S6504" s="232"/>
      <c r="T6504" s="270"/>
    </row>
    <row r="6505" spans="14:20" x14ac:dyDescent="0.25">
      <c r="N6505" s="362"/>
      <c r="R6505" s="210"/>
      <c r="S6505" s="232"/>
      <c r="T6505" s="270"/>
    </row>
    <row r="6506" spans="14:20" x14ac:dyDescent="0.25">
      <c r="N6506" s="362"/>
      <c r="R6506" s="210"/>
      <c r="S6506" s="232"/>
      <c r="T6506" s="270"/>
    </row>
    <row r="6507" spans="14:20" x14ac:dyDescent="0.25">
      <c r="N6507" s="362"/>
      <c r="R6507" s="210"/>
      <c r="S6507" s="232"/>
      <c r="T6507" s="270"/>
    </row>
    <row r="6508" spans="14:20" x14ac:dyDescent="0.25">
      <c r="N6508" s="362"/>
      <c r="R6508" s="210"/>
      <c r="S6508" s="232"/>
      <c r="T6508" s="270"/>
    </row>
    <row r="6509" spans="14:20" x14ac:dyDescent="0.25">
      <c r="N6509" s="362"/>
      <c r="R6509" s="210"/>
      <c r="S6509" s="232"/>
      <c r="T6509" s="270"/>
    </row>
    <row r="6510" spans="14:20" x14ac:dyDescent="0.25">
      <c r="N6510" s="362"/>
      <c r="R6510" s="210"/>
      <c r="S6510" s="232"/>
      <c r="T6510" s="270"/>
    </row>
    <row r="6511" spans="14:20" x14ac:dyDescent="0.25">
      <c r="N6511" s="362"/>
      <c r="R6511" s="210"/>
      <c r="S6511" s="232"/>
      <c r="T6511" s="270"/>
    </row>
    <row r="6512" spans="14:20" x14ac:dyDescent="0.25">
      <c r="N6512" s="362"/>
      <c r="R6512" s="210"/>
      <c r="S6512" s="232"/>
      <c r="T6512" s="270"/>
    </row>
    <row r="6513" spans="14:20" x14ac:dyDescent="0.25">
      <c r="N6513" s="362"/>
      <c r="R6513" s="210"/>
      <c r="S6513" s="232"/>
      <c r="T6513" s="270"/>
    </row>
    <row r="6514" spans="14:20" x14ac:dyDescent="0.25">
      <c r="N6514" s="362"/>
      <c r="R6514" s="210"/>
      <c r="S6514" s="232"/>
      <c r="T6514" s="270"/>
    </row>
    <row r="6515" spans="14:20" x14ac:dyDescent="0.25">
      <c r="N6515" s="362"/>
      <c r="R6515" s="210"/>
      <c r="S6515" s="232"/>
      <c r="T6515" s="270"/>
    </row>
    <row r="6516" spans="14:20" x14ac:dyDescent="0.25">
      <c r="N6516" s="362"/>
      <c r="R6516" s="210"/>
      <c r="S6516" s="232"/>
      <c r="T6516" s="270"/>
    </row>
    <row r="6517" spans="14:20" x14ac:dyDescent="0.25">
      <c r="N6517" s="362"/>
      <c r="R6517" s="210"/>
      <c r="S6517" s="232"/>
      <c r="T6517" s="270"/>
    </row>
    <row r="6518" spans="14:20" x14ac:dyDescent="0.25">
      <c r="N6518" s="362"/>
      <c r="R6518" s="210"/>
      <c r="S6518" s="232"/>
      <c r="T6518" s="270"/>
    </row>
    <row r="6519" spans="14:20" x14ac:dyDescent="0.25">
      <c r="N6519" s="362"/>
      <c r="R6519" s="210"/>
      <c r="S6519" s="232"/>
      <c r="T6519" s="270"/>
    </row>
    <row r="6520" spans="14:20" x14ac:dyDescent="0.25">
      <c r="N6520" s="362"/>
      <c r="R6520" s="210"/>
      <c r="S6520" s="232"/>
      <c r="T6520" s="270"/>
    </row>
    <row r="6521" spans="14:20" x14ac:dyDescent="0.25">
      <c r="N6521" s="362"/>
      <c r="R6521" s="210"/>
      <c r="S6521" s="232"/>
      <c r="T6521" s="270"/>
    </row>
    <row r="6522" spans="14:20" x14ac:dyDescent="0.25">
      <c r="N6522" s="362"/>
      <c r="R6522" s="210"/>
      <c r="S6522" s="232"/>
      <c r="T6522" s="270"/>
    </row>
    <row r="6523" spans="14:20" x14ac:dyDescent="0.25">
      <c r="N6523" s="362"/>
      <c r="R6523" s="210"/>
      <c r="S6523" s="232"/>
      <c r="T6523" s="270"/>
    </row>
    <row r="6524" spans="14:20" x14ac:dyDescent="0.25">
      <c r="N6524" s="362"/>
      <c r="R6524" s="210"/>
      <c r="S6524" s="232"/>
      <c r="T6524" s="270"/>
    </row>
    <row r="6525" spans="14:20" x14ac:dyDescent="0.25">
      <c r="N6525" s="362"/>
      <c r="R6525" s="210"/>
      <c r="S6525" s="232"/>
      <c r="T6525" s="270"/>
    </row>
    <row r="6526" spans="14:20" x14ac:dyDescent="0.25">
      <c r="N6526" s="362"/>
      <c r="R6526" s="210"/>
      <c r="S6526" s="232"/>
      <c r="T6526" s="270"/>
    </row>
    <row r="6527" spans="14:20" x14ac:dyDescent="0.25">
      <c r="N6527" s="362"/>
      <c r="R6527" s="210"/>
      <c r="S6527" s="232"/>
      <c r="T6527" s="270"/>
    </row>
    <row r="6528" spans="14:20" x14ac:dyDescent="0.25">
      <c r="N6528" s="362"/>
      <c r="R6528" s="210"/>
      <c r="S6528" s="232"/>
      <c r="T6528" s="270"/>
    </row>
    <row r="6529" spans="14:20" x14ac:dyDescent="0.25">
      <c r="N6529" s="362"/>
      <c r="R6529" s="210"/>
      <c r="S6529" s="232"/>
      <c r="T6529" s="270"/>
    </row>
    <row r="6530" spans="14:20" x14ac:dyDescent="0.25">
      <c r="N6530" s="362"/>
      <c r="R6530" s="210"/>
      <c r="S6530" s="232"/>
      <c r="T6530" s="270"/>
    </row>
    <row r="6531" spans="14:20" x14ac:dyDescent="0.25">
      <c r="N6531" s="362"/>
      <c r="R6531" s="210"/>
      <c r="S6531" s="232"/>
      <c r="T6531" s="270"/>
    </row>
    <row r="6532" spans="14:20" x14ac:dyDescent="0.25">
      <c r="N6532" s="362"/>
      <c r="R6532" s="210"/>
      <c r="S6532" s="232"/>
      <c r="T6532" s="270"/>
    </row>
    <row r="6533" spans="14:20" x14ac:dyDescent="0.25">
      <c r="N6533" s="362"/>
      <c r="R6533" s="210"/>
      <c r="S6533" s="232"/>
      <c r="T6533" s="270"/>
    </row>
    <row r="6534" spans="14:20" x14ac:dyDescent="0.25">
      <c r="N6534" s="362"/>
      <c r="R6534" s="210"/>
      <c r="S6534" s="232"/>
      <c r="T6534" s="270"/>
    </row>
    <row r="6535" spans="14:20" x14ac:dyDescent="0.25">
      <c r="N6535" s="362"/>
      <c r="R6535" s="210"/>
      <c r="S6535" s="232"/>
      <c r="T6535" s="270"/>
    </row>
    <row r="6536" spans="14:20" x14ac:dyDescent="0.25">
      <c r="N6536" s="362"/>
      <c r="R6536" s="210"/>
      <c r="S6536" s="232"/>
      <c r="T6536" s="270"/>
    </row>
    <row r="6537" spans="14:20" x14ac:dyDescent="0.25">
      <c r="N6537" s="362"/>
      <c r="R6537" s="210"/>
      <c r="S6537" s="232"/>
      <c r="T6537" s="270"/>
    </row>
    <row r="6538" spans="14:20" x14ac:dyDescent="0.25">
      <c r="N6538" s="362"/>
      <c r="R6538" s="210"/>
      <c r="S6538" s="232"/>
      <c r="T6538" s="270"/>
    </row>
    <row r="6539" spans="14:20" x14ac:dyDescent="0.25">
      <c r="N6539" s="362"/>
      <c r="R6539" s="210"/>
      <c r="S6539" s="232"/>
      <c r="T6539" s="270"/>
    </row>
    <row r="6540" spans="14:20" x14ac:dyDescent="0.25">
      <c r="N6540" s="362"/>
      <c r="R6540" s="210"/>
      <c r="S6540" s="232"/>
      <c r="T6540" s="270"/>
    </row>
    <row r="6541" spans="14:20" x14ac:dyDescent="0.25">
      <c r="N6541" s="362"/>
      <c r="R6541" s="210"/>
      <c r="S6541" s="232"/>
      <c r="T6541" s="270"/>
    </row>
    <row r="6542" spans="14:20" x14ac:dyDescent="0.25">
      <c r="N6542" s="362"/>
      <c r="R6542" s="210"/>
      <c r="S6542" s="232"/>
      <c r="T6542" s="270"/>
    </row>
    <row r="6543" spans="14:20" x14ac:dyDescent="0.25">
      <c r="N6543" s="362"/>
      <c r="R6543" s="210"/>
      <c r="S6543" s="232"/>
      <c r="T6543" s="270"/>
    </row>
    <row r="6544" spans="14:20" x14ac:dyDescent="0.25">
      <c r="N6544" s="362"/>
      <c r="R6544" s="210"/>
      <c r="S6544" s="232"/>
      <c r="T6544" s="270"/>
    </row>
    <row r="6545" spans="14:20" x14ac:dyDescent="0.25">
      <c r="N6545" s="362"/>
      <c r="R6545" s="210"/>
      <c r="S6545" s="232"/>
      <c r="T6545" s="270"/>
    </row>
    <row r="6546" spans="14:20" x14ac:dyDescent="0.25">
      <c r="N6546" s="362"/>
      <c r="R6546" s="210"/>
      <c r="S6546" s="232"/>
      <c r="T6546" s="270"/>
    </row>
    <row r="6547" spans="14:20" x14ac:dyDescent="0.25">
      <c r="N6547" s="362"/>
      <c r="R6547" s="210"/>
      <c r="S6547" s="232"/>
      <c r="T6547" s="270"/>
    </row>
    <row r="6548" spans="14:20" x14ac:dyDescent="0.25">
      <c r="N6548" s="362"/>
      <c r="R6548" s="210"/>
      <c r="S6548" s="232"/>
      <c r="T6548" s="270"/>
    </row>
    <row r="6549" spans="14:20" x14ac:dyDescent="0.25">
      <c r="N6549" s="362"/>
      <c r="R6549" s="210"/>
      <c r="S6549" s="232"/>
      <c r="T6549" s="270"/>
    </row>
    <row r="6550" spans="14:20" x14ac:dyDescent="0.25">
      <c r="N6550" s="362"/>
      <c r="R6550" s="210"/>
      <c r="S6550" s="232"/>
      <c r="T6550" s="270"/>
    </row>
    <row r="6551" spans="14:20" x14ac:dyDescent="0.25">
      <c r="N6551" s="362"/>
      <c r="R6551" s="210"/>
      <c r="S6551" s="232"/>
      <c r="T6551" s="270"/>
    </row>
    <row r="6552" spans="14:20" x14ac:dyDescent="0.25">
      <c r="N6552" s="362"/>
      <c r="R6552" s="210"/>
      <c r="S6552" s="232"/>
      <c r="T6552" s="270"/>
    </row>
    <row r="6553" spans="14:20" x14ac:dyDescent="0.25">
      <c r="N6553" s="362"/>
      <c r="R6553" s="210"/>
      <c r="S6553" s="232"/>
      <c r="T6553" s="270"/>
    </row>
    <row r="6554" spans="14:20" x14ac:dyDescent="0.25">
      <c r="N6554" s="362"/>
      <c r="R6554" s="210"/>
      <c r="S6554" s="232"/>
      <c r="T6554" s="270"/>
    </row>
    <row r="6555" spans="14:20" x14ac:dyDescent="0.25">
      <c r="N6555" s="362"/>
      <c r="R6555" s="210"/>
      <c r="S6555" s="232"/>
      <c r="T6555" s="270"/>
    </row>
    <row r="6556" spans="14:20" x14ac:dyDescent="0.25">
      <c r="N6556" s="362"/>
      <c r="R6556" s="210"/>
      <c r="S6556" s="232"/>
      <c r="T6556" s="270"/>
    </row>
    <row r="6557" spans="14:20" x14ac:dyDescent="0.25">
      <c r="N6557" s="362"/>
      <c r="R6557" s="210"/>
      <c r="S6557" s="232"/>
      <c r="T6557" s="270"/>
    </row>
    <row r="6558" spans="14:20" x14ac:dyDescent="0.25">
      <c r="N6558" s="362"/>
      <c r="R6558" s="210"/>
      <c r="S6558" s="232"/>
      <c r="T6558" s="270"/>
    </row>
    <row r="6559" spans="14:20" x14ac:dyDescent="0.25">
      <c r="N6559" s="362"/>
      <c r="R6559" s="210"/>
      <c r="S6559" s="232"/>
      <c r="T6559" s="270"/>
    </row>
    <row r="6560" spans="14:20" x14ac:dyDescent="0.25">
      <c r="N6560" s="362"/>
      <c r="R6560" s="210"/>
      <c r="S6560" s="232"/>
      <c r="T6560" s="270"/>
    </row>
    <row r="6561" spans="14:20" x14ac:dyDescent="0.25">
      <c r="N6561" s="362"/>
      <c r="R6561" s="210"/>
      <c r="S6561" s="232"/>
      <c r="T6561" s="270"/>
    </row>
    <row r="6562" spans="14:20" x14ac:dyDescent="0.25">
      <c r="N6562" s="362"/>
      <c r="R6562" s="210"/>
      <c r="S6562" s="232"/>
      <c r="T6562" s="270"/>
    </row>
    <row r="6563" spans="14:20" x14ac:dyDescent="0.25">
      <c r="N6563" s="362"/>
      <c r="R6563" s="210"/>
      <c r="S6563" s="232"/>
      <c r="T6563" s="270"/>
    </row>
    <row r="6564" spans="14:20" x14ac:dyDescent="0.25">
      <c r="N6564" s="362"/>
      <c r="R6564" s="210"/>
      <c r="S6564" s="232"/>
      <c r="T6564" s="270"/>
    </row>
    <row r="6565" spans="14:20" x14ac:dyDescent="0.25">
      <c r="N6565" s="362"/>
      <c r="R6565" s="210"/>
      <c r="S6565" s="232"/>
      <c r="T6565" s="270"/>
    </row>
    <row r="6566" spans="14:20" x14ac:dyDescent="0.25">
      <c r="N6566" s="362"/>
      <c r="R6566" s="210"/>
      <c r="S6566" s="232"/>
      <c r="T6566" s="270"/>
    </row>
    <row r="6567" spans="14:20" x14ac:dyDescent="0.25">
      <c r="N6567" s="362"/>
      <c r="R6567" s="210"/>
      <c r="S6567" s="232"/>
      <c r="T6567" s="270"/>
    </row>
    <row r="6568" spans="14:20" x14ac:dyDescent="0.25">
      <c r="N6568" s="362"/>
      <c r="R6568" s="210"/>
      <c r="S6568" s="232"/>
      <c r="T6568" s="270"/>
    </row>
    <row r="6569" spans="14:20" x14ac:dyDescent="0.25">
      <c r="N6569" s="362"/>
      <c r="R6569" s="210"/>
      <c r="S6569" s="232"/>
      <c r="T6569" s="270"/>
    </row>
    <row r="6570" spans="14:20" x14ac:dyDescent="0.25">
      <c r="N6570" s="362"/>
      <c r="R6570" s="210"/>
      <c r="S6570" s="232"/>
      <c r="T6570" s="270"/>
    </row>
    <row r="6571" spans="14:20" x14ac:dyDescent="0.25">
      <c r="N6571" s="362"/>
      <c r="R6571" s="210"/>
      <c r="S6571" s="232"/>
      <c r="T6571" s="270"/>
    </row>
    <row r="6572" spans="14:20" x14ac:dyDescent="0.25">
      <c r="N6572" s="362"/>
      <c r="R6572" s="210"/>
      <c r="S6572" s="232"/>
      <c r="T6572" s="270"/>
    </row>
    <row r="6573" spans="14:20" x14ac:dyDescent="0.25">
      <c r="N6573" s="362"/>
      <c r="R6573" s="210"/>
      <c r="S6573" s="232"/>
      <c r="T6573" s="270"/>
    </row>
    <row r="6574" spans="14:20" x14ac:dyDescent="0.25">
      <c r="N6574" s="362"/>
      <c r="R6574" s="210"/>
      <c r="S6574" s="232"/>
      <c r="T6574" s="270"/>
    </row>
    <row r="6575" spans="14:20" x14ac:dyDescent="0.25">
      <c r="N6575" s="362"/>
      <c r="R6575" s="210"/>
      <c r="S6575" s="232"/>
      <c r="T6575" s="270"/>
    </row>
    <row r="6576" spans="14:20" x14ac:dyDescent="0.25">
      <c r="N6576" s="362"/>
      <c r="R6576" s="210"/>
      <c r="S6576" s="232"/>
      <c r="T6576" s="270"/>
    </row>
    <row r="6577" spans="14:20" x14ac:dyDescent="0.25">
      <c r="N6577" s="362"/>
      <c r="R6577" s="210"/>
      <c r="S6577" s="232"/>
      <c r="T6577" s="270"/>
    </row>
    <row r="6578" spans="14:20" x14ac:dyDescent="0.25">
      <c r="N6578" s="362"/>
      <c r="R6578" s="210"/>
      <c r="S6578" s="232"/>
      <c r="T6578" s="270"/>
    </row>
    <row r="6579" spans="14:20" x14ac:dyDescent="0.25">
      <c r="N6579" s="362"/>
      <c r="R6579" s="210"/>
      <c r="S6579" s="232"/>
      <c r="T6579" s="270"/>
    </row>
    <row r="6580" spans="14:20" x14ac:dyDescent="0.25">
      <c r="N6580" s="362"/>
      <c r="R6580" s="210"/>
      <c r="S6580" s="232"/>
      <c r="T6580" s="270"/>
    </row>
    <row r="6581" spans="14:20" x14ac:dyDescent="0.25">
      <c r="N6581" s="362"/>
      <c r="R6581" s="210"/>
      <c r="S6581" s="232"/>
      <c r="T6581" s="270"/>
    </row>
    <row r="6582" spans="14:20" x14ac:dyDescent="0.25">
      <c r="N6582" s="362"/>
      <c r="R6582" s="210"/>
      <c r="S6582" s="232"/>
      <c r="T6582" s="270"/>
    </row>
    <row r="6583" spans="14:20" x14ac:dyDescent="0.25">
      <c r="N6583" s="362"/>
      <c r="R6583" s="210"/>
      <c r="S6583" s="232"/>
      <c r="T6583" s="270"/>
    </row>
    <row r="6584" spans="14:20" x14ac:dyDescent="0.25">
      <c r="N6584" s="362"/>
      <c r="R6584" s="210"/>
      <c r="S6584" s="232"/>
      <c r="T6584" s="270"/>
    </row>
    <row r="6585" spans="14:20" x14ac:dyDescent="0.25">
      <c r="N6585" s="362"/>
      <c r="R6585" s="210"/>
      <c r="S6585" s="232"/>
      <c r="T6585" s="270"/>
    </row>
    <row r="6586" spans="14:20" x14ac:dyDescent="0.25">
      <c r="N6586" s="362"/>
      <c r="R6586" s="210"/>
      <c r="S6586" s="232"/>
      <c r="T6586" s="270"/>
    </row>
    <row r="6587" spans="14:20" x14ac:dyDescent="0.25">
      <c r="N6587" s="362"/>
      <c r="R6587" s="210"/>
      <c r="S6587" s="232"/>
      <c r="T6587" s="270"/>
    </row>
    <row r="6588" spans="14:20" x14ac:dyDescent="0.25">
      <c r="N6588" s="362"/>
      <c r="R6588" s="210"/>
      <c r="S6588" s="232"/>
      <c r="T6588" s="270"/>
    </row>
    <row r="6589" spans="14:20" x14ac:dyDescent="0.25">
      <c r="N6589" s="362"/>
      <c r="R6589" s="210"/>
      <c r="S6589" s="232"/>
      <c r="T6589" s="270"/>
    </row>
    <row r="6590" spans="14:20" x14ac:dyDescent="0.25">
      <c r="N6590" s="362"/>
      <c r="R6590" s="210"/>
      <c r="S6590" s="232"/>
      <c r="T6590" s="270"/>
    </row>
    <row r="6591" spans="14:20" x14ac:dyDescent="0.25">
      <c r="N6591" s="362"/>
      <c r="R6591" s="210"/>
      <c r="S6591" s="232"/>
      <c r="T6591" s="270"/>
    </row>
    <row r="6592" spans="14:20" x14ac:dyDescent="0.25">
      <c r="N6592" s="362"/>
      <c r="R6592" s="210"/>
      <c r="S6592" s="232"/>
      <c r="T6592" s="270"/>
    </row>
    <row r="6593" spans="14:20" x14ac:dyDescent="0.25">
      <c r="N6593" s="362"/>
      <c r="R6593" s="210"/>
      <c r="S6593" s="232"/>
      <c r="T6593" s="270"/>
    </row>
    <row r="6594" spans="14:20" x14ac:dyDescent="0.25">
      <c r="N6594" s="362"/>
      <c r="R6594" s="210"/>
      <c r="S6594" s="232"/>
      <c r="T6594" s="270"/>
    </row>
    <row r="6595" spans="14:20" x14ac:dyDescent="0.25">
      <c r="N6595" s="362"/>
      <c r="R6595" s="210"/>
      <c r="S6595" s="232"/>
      <c r="T6595" s="270"/>
    </row>
    <row r="6596" spans="14:20" x14ac:dyDescent="0.25">
      <c r="N6596" s="362"/>
      <c r="R6596" s="210"/>
      <c r="S6596" s="232"/>
      <c r="T6596" s="270"/>
    </row>
    <row r="6597" spans="14:20" x14ac:dyDescent="0.25">
      <c r="N6597" s="362"/>
      <c r="R6597" s="210"/>
      <c r="S6597" s="232"/>
      <c r="T6597" s="270"/>
    </row>
    <row r="6598" spans="14:20" x14ac:dyDescent="0.25">
      <c r="N6598" s="362"/>
      <c r="R6598" s="210"/>
      <c r="S6598" s="232"/>
      <c r="T6598" s="270"/>
    </row>
    <row r="6599" spans="14:20" x14ac:dyDescent="0.25">
      <c r="N6599" s="362"/>
      <c r="R6599" s="210"/>
      <c r="S6599" s="232"/>
      <c r="T6599" s="270"/>
    </row>
    <row r="6600" spans="14:20" x14ac:dyDescent="0.25">
      <c r="N6600" s="362"/>
      <c r="R6600" s="210"/>
      <c r="S6600" s="232"/>
      <c r="T6600" s="270"/>
    </row>
    <row r="6601" spans="14:20" x14ac:dyDescent="0.25">
      <c r="N6601" s="362"/>
      <c r="R6601" s="210"/>
      <c r="S6601" s="232"/>
      <c r="T6601" s="270"/>
    </row>
    <row r="6602" spans="14:20" x14ac:dyDescent="0.25">
      <c r="N6602" s="362"/>
      <c r="R6602" s="210"/>
      <c r="S6602" s="232"/>
      <c r="T6602" s="270"/>
    </row>
    <row r="6603" spans="14:20" x14ac:dyDescent="0.25">
      <c r="N6603" s="362"/>
      <c r="R6603" s="210"/>
      <c r="S6603" s="232"/>
      <c r="T6603" s="270"/>
    </row>
    <row r="6604" spans="14:20" x14ac:dyDescent="0.25">
      <c r="N6604" s="362"/>
      <c r="R6604" s="210"/>
      <c r="S6604" s="232"/>
      <c r="T6604" s="270"/>
    </row>
    <row r="6605" spans="14:20" x14ac:dyDescent="0.25">
      <c r="N6605" s="362"/>
      <c r="R6605" s="210"/>
      <c r="S6605" s="232"/>
      <c r="T6605" s="270"/>
    </row>
    <row r="6606" spans="14:20" x14ac:dyDescent="0.25">
      <c r="N6606" s="362"/>
      <c r="R6606" s="210"/>
      <c r="S6606" s="232"/>
      <c r="T6606" s="270"/>
    </row>
    <row r="6607" spans="14:20" x14ac:dyDescent="0.25">
      <c r="N6607" s="362"/>
      <c r="R6607" s="210"/>
      <c r="S6607" s="232"/>
      <c r="T6607" s="270"/>
    </row>
    <row r="6608" spans="14:20" x14ac:dyDescent="0.25">
      <c r="N6608" s="362"/>
      <c r="R6608" s="210"/>
      <c r="S6608" s="232"/>
      <c r="T6608" s="270"/>
    </row>
    <row r="6609" spans="14:20" x14ac:dyDescent="0.25">
      <c r="N6609" s="362"/>
      <c r="R6609" s="210"/>
      <c r="S6609" s="232"/>
      <c r="T6609" s="270"/>
    </row>
    <row r="6610" spans="14:20" x14ac:dyDescent="0.25">
      <c r="N6610" s="362"/>
      <c r="R6610" s="210"/>
      <c r="S6610" s="232"/>
      <c r="T6610" s="270"/>
    </row>
    <row r="6611" spans="14:20" x14ac:dyDescent="0.25">
      <c r="N6611" s="362"/>
      <c r="R6611" s="210"/>
      <c r="S6611" s="232"/>
      <c r="T6611" s="270"/>
    </row>
    <row r="6612" spans="14:20" x14ac:dyDescent="0.25">
      <c r="N6612" s="362"/>
      <c r="R6612" s="210"/>
      <c r="S6612" s="232"/>
      <c r="T6612" s="270"/>
    </row>
    <row r="6613" spans="14:20" x14ac:dyDescent="0.25">
      <c r="N6613" s="362"/>
      <c r="R6613" s="210"/>
      <c r="S6613" s="232"/>
      <c r="T6613" s="270"/>
    </row>
    <row r="6614" spans="14:20" x14ac:dyDescent="0.25">
      <c r="N6614" s="362"/>
      <c r="R6614" s="210"/>
      <c r="S6614" s="232"/>
      <c r="T6614" s="270"/>
    </row>
    <row r="6615" spans="14:20" x14ac:dyDescent="0.25">
      <c r="N6615" s="362"/>
      <c r="R6615" s="210"/>
      <c r="S6615" s="232"/>
      <c r="T6615" s="270"/>
    </row>
    <row r="6616" spans="14:20" x14ac:dyDescent="0.25">
      <c r="N6616" s="362"/>
      <c r="R6616" s="210"/>
      <c r="S6616" s="232"/>
      <c r="T6616" s="270"/>
    </row>
    <row r="6617" spans="14:20" x14ac:dyDescent="0.25">
      <c r="N6617" s="362"/>
      <c r="R6617" s="210"/>
      <c r="S6617" s="232"/>
      <c r="T6617" s="270"/>
    </row>
    <row r="6618" spans="14:20" x14ac:dyDescent="0.25">
      <c r="N6618" s="362"/>
      <c r="R6618" s="210"/>
      <c r="S6618" s="232"/>
      <c r="T6618" s="270"/>
    </row>
    <row r="6619" spans="14:20" x14ac:dyDescent="0.25">
      <c r="N6619" s="362"/>
      <c r="R6619" s="210"/>
      <c r="S6619" s="232"/>
      <c r="T6619" s="270"/>
    </row>
    <row r="6620" spans="14:20" x14ac:dyDescent="0.25">
      <c r="N6620" s="362"/>
      <c r="R6620" s="210"/>
      <c r="S6620" s="232"/>
      <c r="T6620" s="270"/>
    </row>
    <row r="6621" spans="14:20" x14ac:dyDescent="0.25">
      <c r="N6621" s="362"/>
      <c r="R6621" s="210"/>
      <c r="S6621" s="232"/>
      <c r="T6621" s="270"/>
    </row>
    <row r="6622" spans="14:20" x14ac:dyDescent="0.25">
      <c r="N6622" s="362"/>
      <c r="R6622" s="210"/>
      <c r="S6622" s="232"/>
      <c r="T6622" s="270"/>
    </row>
    <row r="6623" spans="14:20" x14ac:dyDescent="0.25">
      <c r="N6623" s="362"/>
      <c r="R6623" s="210"/>
      <c r="S6623" s="232"/>
      <c r="T6623" s="270"/>
    </row>
    <row r="6624" spans="14:20" x14ac:dyDescent="0.25">
      <c r="N6624" s="362"/>
      <c r="R6624" s="210"/>
      <c r="S6624" s="232"/>
      <c r="T6624" s="270"/>
    </row>
    <row r="6625" spans="14:20" x14ac:dyDescent="0.25">
      <c r="N6625" s="362"/>
      <c r="R6625" s="210"/>
      <c r="S6625" s="232"/>
      <c r="T6625" s="270"/>
    </row>
    <row r="6626" spans="14:20" x14ac:dyDescent="0.25">
      <c r="N6626" s="362"/>
      <c r="R6626" s="210"/>
      <c r="S6626" s="232"/>
      <c r="T6626" s="270"/>
    </row>
    <row r="6627" spans="14:20" x14ac:dyDescent="0.25">
      <c r="N6627" s="362"/>
      <c r="R6627" s="210"/>
      <c r="S6627" s="232"/>
      <c r="T6627" s="270"/>
    </row>
    <row r="6628" spans="14:20" x14ac:dyDescent="0.25">
      <c r="N6628" s="362"/>
      <c r="R6628" s="210"/>
      <c r="S6628" s="232"/>
      <c r="T6628" s="270"/>
    </row>
    <row r="6629" spans="14:20" x14ac:dyDescent="0.25">
      <c r="N6629" s="362"/>
      <c r="R6629" s="210"/>
      <c r="S6629" s="232"/>
      <c r="T6629" s="270"/>
    </row>
    <row r="6630" spans="14:20" x14ac:dyDescent="0.25">
      <c r="N6630" s="362"/>
      <c r="R6630" s="210"/>
      <c r="S6630" s="232"/>
      <c r="T6630" s="270"/>
    </row>
    <row r="6631" spans="14:20" x14ac:dyDescent="0.25">
      <c r="N6631" s="362"/>
      <c r="R6631" s="210"/>
      <c r="S6631" s="232"/>
      <c r="T6631" s="270"/>
    </row>
    <row r="6632" spans="14:20" x14ac:dyDescent="0.25">
      <c r="N6632" s="362"/>
      <c r="R6632" s="210"/>
      <c r="S6632" s="232"/>
      <c r="T6632" s="270"/>
    </row>
    <row r="6633" spans="14:20" x14ac:dyDescent="0.25">
      <c r="N6633" s="362"/>
      <c r="R6633" s="210"/>
      <c r="S6633" s="232"/>
      <c r="T6633" s="270"/>
    </row>
    <row r="6634" spans="14:20" x14ac:dyDescent="0.25">
      <c r="N6634" s="362"/>
      <c r="R6634" s="210"/>
      <c r="S6634" s="232"/>
      <c r="T6634" s="270"/>
    </row>
    <row r="6635" spans="14:20" x14ac:dyDescent="0.25">
      <c r="N6635" s="362"/>
      <c r="R6635" s="210"/>
      <c r="S6635" s="232"/>
      <c r="T6635" s="270"/>
    </row>
    <row r="6636" spans="14:20" x14ac:dyDescent="0.25">
      <c r="N6636" s="362"/>
      <c r="R6636" s="210"/>
      <c r="S6636" s="232"/>
      <c r="T6636" s="270"/>
    </row>
    <row r="6637" spans="14:20" x14ac:dyDescent="0.25">
      <c r="N6637" s="362"/>
      <c r="R6637" s="210"/>
      <c r="S6637" s="232"/>
      <c r="T6637" s="270"/>
    </row>
    <row r="6638" spans="14:20" x14ac:dyDescent="0.25">
      <c r="N6638" s="362"/>
      <c r="R6638" s="210"/>
      <c r="S6638" s="232"/>
      <c r="T6638" s="270"/>
    </row>
    <row r="6639" spans="14:20" x14ac:dyDescent="0.25">
      <c r="N6639" s="362"/>
      <c r="R6639" s="210"/>
      <c r="S6639" s="232"/>
      <c r="T6639" s="270"/>
    </row>
    <row r="6640" spans="14:20" x14ac:dyDescent="0.25">
      <c r="N6640" s="362"/>
      <c r="R6640" s="210"/>
      <c r="S6640" s="232"/>
      <c r="T6640" s="270"/>
    </row>
    <row r="6641" spans="14:20" x14ac:dyDescent="0.25">
      <c r="N6641" s="362"/>
      <c r="R6641" s="210"/>
      <c r="S6641" s="232"/>
      <c r="T6641" s="270"/>
    </row>
    <row r="6642" spans="14:20" x14ac:dyDescent="0.25">
      <c r="N6642" s="362"/>
      <c r="R6642" s="210"/>
      <c r="S6642" s="232"/>
      <c r="T6642" s="270"/>
    </row>
    <row r="6643" spans="14:20" x14ac:dyDescent="0.25">
      <c r="N6643" s="362"/>
      <c r="R6643" s="210"/>
      <c r="S6643" s="232"/>
      <c r="T6643" s="270"/>
    </row>
    <row r="6644" spans="14:20" x14ac:dyDescent="0.25">
      <c r="N6644" s="362"/>
      <c r="R6644" s="210"/>
      <c r="S6644" s="232"/>
      <c r="T6644" s="270"/>
    </row>
    <row r="6645" spans="14:20" x14ac:dyDescent="0.25">
      <c r="N6645" s="362"/>
      <c r="R6645" s="210"/>
      <c r="S6645" s="232"/>
      <c r="T6645" s="270"/>
    </row>
    <row r="6646" spans="14:20" x14ac:dyDescent="0.25">
      <c r="N6646" s="362"/>
      <c r="R6646" s="210"/>
      <c r="S6646" s="232"/>
      <c r="T6646" s="270"/>
    </row>
    <row r="6647" spans="14:20" x14ac:dyDescent="0.25">
      <c r="N6647" s="362"/>
      <c r="R6647" s="210"/>
      <c r="S6647" s="232"/>
      <c r="T6647" s="270"/>
    </row>
    <row r="6648" spans="14:20" x14ac:dyDescent="0.25">
      <c r="N6648" s="362"/>
      <c r="R6648" s="210"/>
      <c r="S6648" s="232"/>
      <c r="T6648" s="270"/>
    </row>
    <row r="6649" spans="14:20" x14ac:dyDescent="0.25">
      <c r="N6649" s="362"/>
      <c r="R6649" s="210"/>
      <c r="S6649" s="232"/>
      <c r="T6649" s="270"/>
    </row>
    <row r="6650" spans="14:20" x14ac:dyDescent="0.25">
      <c r="N6650" s="362"/>
      <c r="R6650" s="210"/>
      <c r="S6650" s="232"/>
      <c r="T6650" s="270"/>
    </row>
    <row r="6651" spans="14:20" x14ac:dyDescent="0.25">
      <c r="N6651" s="362"/>
      <c r="R6651" s="210"/>
      <c r="S6651" s="232"/>
      <c r="T6651" s="270"/>
    </row>
    <row r="6652" spans="14:20" x14ac:dyDescent="0.25">
      <c r="N6652" s="362"/>
      <c r="R6652" s="210"/>
      <c r="S6652" s="232"/>
      <c r="T6652" s="270"/>
    </row>
    <row r="6653" spans="14:20" x14ac:dyDescent="0.25">
      <c r="N6653" s="362"/>
      <c r="R6653" s="210"/>
      <c r="S6653" s="232"/>
      <c r="T6653" s="270"/>
    </row>
    <row r="6654" spans="14:20" x14ac:dyDescent="0.25">
      <c r="N6654" s="362"/>
      <c r="R6654" s="210"/>
      <c r="S6654" s="232"/>
      <c r="T6654" s="270"/>
    </row>
    <row r="6655" spans="14:20" x14ac:dyDescent="0.25">
      <c r="N6655" s="362"/>
      <c r="R6655" s="210"/>
      <c r="S6655" s="232"/>
      <c r="T6655" s="270"/>
    </row>
    <row r="6656" spans="14:20" x14ac:dyDescent="0.25">
      <c r="N6656" s="362"/>
      <c r="R6656" s="210"/>
      <c r="S6656" s="232"/>
      <c r="T6656" s="270"/>
    </row>
    <row r="6657" spans="14:20" x14ac:dyDescent="0.25">
      <c r="N6657" s="362"/>
      <c r="R6657" s="210"/>
      <c r="S6657" s="232"/>
      <c r="T6657" s="270"/>
    </row>
    <row r="6658" spans="14:20" x14ac:dyDescent="0.25">
      <c r="N6658" s="362"/>
      <c r="R6658" s="210"/>
      <c r="S6658" s="232"/>
      <c r="T6658" s="270"/>
    </row>
    <row r="6659" spans="14:20" x14ac:dyDescent="0.25">
      <c r="N6659" s="362"/>
      <c r="R6659" s="210"/>
      <c r="S6659" s="232"/>
      <c r="T6659" s="270"/>
    </row>
    <row r="6660" spans="14:20" x14ac:dyDescent="0.25">
      <c r="N6660" s="362"/>
      <c r="R6660" s="210"/>
      <c r="S6660" s="232"/>
      <c r="T6660" s="270"/>
    </row>
    <row r="6661" spans="14:20" x14ac:dyDescent="0.25">
      <c r="N6661" s="362"/>
      <c r="R6661" s="210"/>
      <c r="S6661" s="232"/>
      <c r="T6661" s="270"/>
    </row>
    <row r="6662" spans="14:20" x14ac:dyDescent="0.25">
      <c r="N6662" s="362"/>
      <c r="R6662" s="210"/>
      <c r="S6662" s="232"/>
      <c r="T6662" s="270"/>
    </row>
    <row r="6663" spans="14:20" x14ac:dyDescent="0.25">
      <c r="N6663" s="362"/>
      <c r="R6663" s="210"/>
      <c r="S6663" s="232"/>
      <c r="T6663" s="270"/>
    </row>
    <row r="6664" spans="14:20" x14ac:dyDescent="0.25">
      <c r="N6664" s="362"/>
      <c r="R6664" s="210"/>
      <c r="S6664" s="232"/>
      <c r="T6664" s="270"/>
    </row>
    <row r="6665" spans="14:20" x14ac:dyDescent="0.25">
      <c r="N6665" s="362"/>
      <c r="R6665" s="210"/>
      <c r="S6665" s="232"/>
      <c r="T6665" s="270"/>
    </row>
    <row r="6666" spans="14:20" x14ac:dyDescent="0.25">
      <c r="N6666" s="362"/>
      <c r="R6666" s="210"/>
      <c r="S6666" s="232"/>
      <c r="T6666" s="270"/>
    </row>
    <row r="6667" spans="14:20" x14ac:dyDescent="0.25">
      <c r="N6667" s="362"/>
      <c r="R6667" s="210"/>
      <c r="S6667" s="232"/>
      <c r="T6667" s="270"/>
    </row>
    <row r="6668" spans="14:20" x14ac:dyDescent="0.25">
      <c r="N6668" s="362"/>
      <c r="R6668" s="210"/>
      <c r="S6668" s="232"/>
      <c r="T6668" s="270"/>
    </row>
    <row r="6669" spans="14:20" x14ac:dyDescent="0.25">
      <c r="N6669" s="362"/>
      <c r="R6669" s="210"/>
      <c r="S6669" s="232"/>
      <c r="T6669" s="270"/>
    </row>
    <row r="6670" spans="14:20" x14ac:dyDescent="0.25">
      <c r="N6670" s="362"/>
      <c r="R6670" s="210"/>
      <c r="S6670" s="232"/>
      <c r="T6670" s="270"/>
    </row>
    <row r="6671" spans="14:20" x14ac:dyDescent="0.25">
      <c r="N6671" s="362"/>
      <c r="R6671" s="210"/>
      <c r="S6671" s="232"/>
      <c r="T6671" s="270"/>
    </row>
    <row r="6672" spans="14:20" x14ac:dyDescent="0.25">
      <c r="N6672" s="362"/>
      <c r="R6672" s="210"/>
      <c r="S6672" s="232"/>
      <c r="T6672" s="270"/>
    </row>
    <row r="6673" spans="14:20" x14ac:dyDescent="0.25">
      <c r="N6673" s="362"/>
      <c r="R6673" s="210"/>
      <c r="S6673" s="232"/>
      <c r="T6673" s="270"/>
    </row>
    <row r="6674" spans="14:20" x14ac:dyDescent="0.25">
      <c r="N6674" s="362"/>
      <c r="R6674" s="210"/>
      <c r="S6674" s="232"/>
      <c r="T6674" s="270"/>
    </row>
    <row r="6675" spans="14:20" x14ac:dyDescent="0.25">
      <c r="N6675" s="362"/>
      <c r="R6675" s="210"/>
      <c r="S6675" s="232"/>
      <c r="T6675" s="270"/>
    </row>
    <row r="6676" spans="14:20" x14ac:dyDescent="0.25">
      <c r="N6676" s="362"/>
      <c r="R6676" s="210"/>
      <c r="S6676" s="232"/>
      <c r="T6676" s="270"/>
    </row>
    <row r="6677" spans="14:20" x14ac:dyDescent="0.25">
      <c r="N6677" s="362"/>
      <c r="R6677" s="210"/>
      <c r="S6677" s="232"/>
      <c r="T6677" s="270"/>
    </row>
    <row r="6678" spans="14:20" x14ac:dyDescent="0.25">
      <c r="N6678" s="362"/>
      <c r="R6678" s="210"/>
      <c r="S6678" s="232"/>
      <c r="T6678" s="270"/>
    </row>
    <row r="6679" spans="14:20" x14ac:dyDescent="0.25">
      <c r="N6679" s="362"/>
      <c r="R6679" s="210"/>
      <c r="S6679" s="232"/>
      <c r="T6679" s="270"/>
    </row>
    <row r="6680" spans="14:20" x14ac:dyDescent="0.25">
      <c r="N6680" s="362"/>
      <c r="R6680" s="210"/>
      <c r="S6680" s="232"/>
      <c r="T6680" s="270"/>
    </row>
    <row r="6681" spans="14:20" x14ac:dyDescent="0.25">
      <c r="N6681" s="362"/>
      <c r="R6681" s="210"/>
      <c r="S6681" s="232"/>
      <c r="T6681" s="270"/>
    </row>
    <row r="6682" spans="14:20" x14ac:dyDescent="0.25">
      <c r="N6682" s="362"/>
      <c r="R6682" s="210"/>
      <c r="S6682" s="232"/>
      <c r="T6682" s="270"/>
    </row>
    <row r="6683" spans="14:20" x14ac:dyDescent="0.25">
      <c r="N6683" s="362"/>
      <c r="R6683" s="210"/>
      <c r="S6683" s="232"/>
      <c r="T6683" s="270"/>
    </row>
    <row r="6684" spans="14:20" x14ac:dyDescent="0.25">
      <c r="N6684" s="362"/>
      <c r="R6684" s="210"/>
      <c r="S6684" s="232"/>
      <c r="T6684" s="270"/>
    </row>
    <row r="6685" spans="14:20" x14ac:dyDescent="0.25">
      <c r="N6685" s="362"/>
      <c r="R6685" s="210"/>
      <c r="S6685" s="232"/>
      <c r="T6685" s="270"/>
    </row>
    <row r="6686" spans="14:20" x14ac:dyDescent="0.25">
      <c r="N6686" s="362"/>
      <c r="R6686" s="210"/>
      <c r="S6686" s="232"/>
      <c r="T6686" s="270"/>
    </row>
    <row r="6687" spans="14:20" x14ac:dyDescent="0.25">
      <c r="N6687" s="362"/>
      <c r="R6687" s="210"/>
      <c r="S6687" s="232"/>
      <c r="T6687" s="270"/>
    </row>
    <row r="6688" spans="14:20" x14ac:dyDescent="0.25">
      <c r="N6688" s="362"/>
      <c r="R6688" s="210"/>
      <c r="S6688" s="232"/>
      <c r="T6688" s="270"/>
    </row>
    <row r="6689" spans="14:20" x14ac:dyDescent="0.25">
      <c r="N6689" s="362"/>
      <c r="R6689" s="210"/>
      <c r="S6689" s="232"/>
      <c r="T6689" s="270"/>
    </row>
    <row r="6690" spans="14:20" x14ac:dyDescent="0.25">
      <c r="N6690" s="362"/>
      <c r="R6690" s="210"/>
      <c r="S6690" s="232"/>
      <c r="T6690" s="270"/>
    </row>
    <row r="6691" spans="14:20" x14ac:dyDescent="0.25">
      <c r="N6691" s="362"/>
      <c r="R6691" s="210"/>
      <c r="S6691" s="232"/>
      <c r="T6691" s="270"/>
    </row>
    <row r="6692" spans="14:20" x14ac:dyDescent="0.25">
      <c r="N6692" s="362"/>
      <c r="R6692" s="210"/>
      <c r="S6692" s="232"/>
      <c r="T6692" s="270"/>
    </row>
    <row r="6693" spans="14:20" x14ac:dyDescent="0.25">
      <c r="N6693" s="362"/>
      <c r="R6693" s="210"/>
      <c r="S6693" s="232"/>
      <c r="T6693" s="270"/>
    </row>
    <row r="6694" spans="14:20" x14ac:dyDescent="0.25">
      <c r="N6694" s="362"/>
      <c r="R6694" s="210"/>
      <c r="S6694" s="232"/>
      <c r="T6694" s="270"/>
    </row>
    <row r="6695" spans="14:20" x14ac:dyDescent="0.25">
      <c r="N6695" s="362"/>
      <c r="R6695" s="210"/>
      <c r="S6695" s="232"/>
      <c r="T6695" s="270"/>
    </row>
    <row r="6696" spans="14:20" x14ac:dyDescent="0.25">
      <c r="N6696" s="362"/>
      <c r="R6696" s="210"/>
      <c r="S6696" s="232"/>
      <c r="T6696" s="270"/>
    </row>
    <row r="6697" spans="14:20" x14ac:dyDescent="0.25">
      <c r="N6697" s="362"/>
      <c r="R6697" s="210"/>
      <c r="S6697" s="232"/>
      <c r="T6697" s="270"/>
    </row>
    <row r="6698" spans="14:20" x14ac:dyDescent="0.25">
      <c r="N6698" s="362"/>
      <c r="R6698" s="210"/>
      <c r="S6698" s="232"/>
      <c r="T6698" s="270"/>
    </row>
    <row r="6699" spans="14:20" x14ac:dyDescent="0.25">
      <c r="N6699" s="362"/>
      <c r="R6699" s="210"/>
      <c r="S6699" s="232"/>
      <c r="T6699" s="270"/>
    </row>
    <row r="6700" spans="14:20" x14ac:dyDescent="0.25">
      <c r="N6700" s="362"/>
      <c r="R6700" s="210"/>
      <c r="S6700" s="232"/>
      <c r="T6700" s="270"/>
    </row>
    <row r="6701" spans="14:20" x14ac:dyDescent="0.25">
      <c r="N6701" s="362"/>
      <c r="R6701" s="210"/>
      <c r="S6701" s="232"/>
      <c r="T6701" s="270"/>
    </row>
    <row r="6702" spans="14:20" x14ac:dyDescent="0.25">
      <c r="N6702" s="362"/>
      <c r="R6702" s="210"/>
      <c r="S6702" s="232"/>
      <c r="T6702" s="270"/>
    </row>
    <row r="6703" spans="14:20" x14ac:dyDescent="0.25">
      <c r="N6703" s="362"/>
      <c r="R6703" s="210"/>
      <c r="S6703" s="232"/>
      <c r="T6703" s="270"/>
    </row>
    <row r="6704" spans="14:20" x14ac:dyDescent="0.25">
      <c r="N6704" s="362"/>
      <c r="R6704" s="210"/>
      <c r="S6704" s="232"/>
      <c r="T6704" s="270"/>
    </row>
    <row r="6705" spans="14:20" x14ac:dyDescent="0.25">
      <c r="N6705" s="362"/>
      <c r="R6705" s="210"/>
      <c r="S6705" s="232"/>
      <c r="T6705" s="270"/>
    </row>
    <row r="6706" spans="14:20" x14ac:dyDescent="0.25">
      <c r="N6706" s="362"/>
      <c r="R6706" s="210"/>
      <c r="S6706" s="232"/>
      <c r="T6706" s="270"/>
    </row>
    <row r="6707" spans="14:20" x14ac:dyDescent="0.25">
      <c r="N6707" s="362"/>
      <c r="R6707" s="210"/>
      <c r="S6707" s="232"/>
      <c r="T6707" s="270"/>
    </row>
    <row r="6708" spans="14:20" x14ac:dyDescent="0.25">
      <c r="N6708" s="362"/>
      <c r="R6708" s="210"/>
      <c r="S6708" s="232"/>
      <c r="T6708" s="270"/>
    </row>
    <row r="6709" spans="14:20" x14ac:dyDescent="0.25">
      <c r="N6709" s="362"/>
      <c r="R6709" s="210"/>
      <c r="S6709" s="232"/>
      <c r="T6709" s="270"/>
    </row>
    <row r="6710" spans="14:20" x14ac:dyDescent="0.25">
      <c r="N6710" s="362"/>
      <c r="R6710" s="210"/>
      <c r="S6710" s="232"/>
      <c r="T6710" s="270"/>
    </row>
    <row r="6711" spans="14:20" x14ac:dyDescent="0.25">
      <c r="N6711" s="362"/>
      <c r="R6711" s="210"/>
      <c r="S6711" s="232"/>
      <c r="T6711" s="270"/>
    </row>
    <row r="6712" spans="14:20" x14ac:dyDescent="0.25">
      <c r="N6712" s="362"/>
      <c r="R6712" s="210"/>
      <c r="S6712" s="232"/>
      <c r="T6712" s="270"/>
    </row>
    <row r="6713" spans="14:20" x14ac:dyDescent="0.25">
      <c r="N6713" s="362"/>
      <c r="R6713" s="210"/>
      <c r="S6713" s="232"/>
      <c r="T6713" s="270"/>
    </row>
    <row r="6714" spans="14:20" x14ac:dyDescent="0.25">
      <c r="N6714" s="362"/>
      <c r="R6714" s="210"/>
      <c r="S6714" s="232"/>
      <c r="T6714" s="270"/>
    </row>
    <row r="6715" spans="14:20" x14ac:dyDescent="0.25">
      <c r="N6715" s="362"/>
      <c r="R6715" s="210"/>
      <c r="S6715" s="232"/>
      <c r="T6715" s="270"/>
    </row>
    <row r="6716" spans="14:20" x14ac:dyDescent="0.25">
      <c r="N6716" s="362"/>
      <c r="R6716" s="210"/>
      <c r="S6716" s="232"/>
      <c r="T6716" s="270"/>
    </row>
    <row r="6717" spans="14:20" x14ac:dyDescent="0.25">
      <c r="N6717" s="362"/>
      <c r="R6717" s="210"/>
      <c r="S6717" s="232"/>
      <c r="T6717" s="270"/>
    </row>
    <row r="6718" spans="14:20" x14ac:dyDescent="0.25">
      <c r="N6718" s="362"/>
      <c r="R6718" s="210"/>
      <c r="S6718" s="232"/>
      <c r="T6718" s="270"/>
    </row>
    <row r="6719" spans="14:20" x14ac:dyDescent="0.25">
      <c r="N6719" s="362"/>
      <c r="R6719" s="210"/>
      <c r="S6719" s="232"/>
      <c r="T6719" s="270"/>
    </row>
    <row r="6720" spans="14:20" x14ac:dyDescent="0.25">
      <c r="N6720" s="362"/>
      <c r="R6720" s="210"/>
      <c r="S6720" s="232"/>
      <c r="T6720" s="270"/>
    </row>
    <row r="6721" spans="14:20" x14ac:dyDescent="0.25">
      <c r="N6721" s="362"/>
      <c r="R6721" s="210"/>
      <c r="S6721" s="232"/>
      <c r="T6721" s="270"/>
    </row>
    <row r="6722" spans="14:20" x14ac:dyDescent="0.25">
      <c r="N6722" s="362"/>
      <c r="R6722" s="210"/>
      <c r="S6722" s="232"/>
      <c r="T6722" s="270"/>
    </row>
    <row r="6723" spans="14:20" x14ac:dyDescent="0.25">
      <c r="N6723" s="362"/>
      <c r="R6723" s="210"/>
      <c r="S6723" s="232"/>
      <c r="T6723" s="270"/>
    </row>
    <row r="6724" spans="14:20" x14ac:dyDescent="0.25">
      <c r="N6724" s="362"/>
      <c r="R6724" s="210"/>
      <c r="S6724" s="232"/>
      <c r="T6724" s="270"/>
    </row>
    <row r="6725" spans="14:20" x14ac:dyDescent="0.25">
      <c r="N6725" s="362"/>
      <c r="R6725" s="210"/>
      <c r="S6725" s="232"/>
      <c r="T6725" s="270"/>
    </row>
    <row r="6726" spans="14:20" x14ac:dyDescent="0.25">
      <c r="N6726" s="362"/>
      <c r="R6726" s="210"/>
      <c r="S6726" s="232"/>
      <c r="T6726" s="270"/>
    </row>
    <row r="6727" spans="14:20" x14ac:dyDescent="0.25">
      <c r="N6727" s="362"/>
      <c r="R6727" s="210"/>
      <c r="S6727" s="232"/>
      <c r="T6727" s="270"/>
    </row>
    <row r="6728" spans="14:20" x14ac:dyDescent="0.25">
      <c r="N6728" s="362"/>
      <c r="R6728" s="210"/>
      <c r="S6728" s="232"/>
      <c r="T6728" s="270"/>
    </row>
    <row r="6729" spans="14:20" x14ac:dyDescent="0.25">
      <c r="N6729" s="362"/>
      <c r="R6729" s="210"/>
      <c r="S6729" s="232"/>
      <c r="T6729" s="270"/>
    </row>
    <row r="6730" spans="14:20" x14ac:dyDescent="0.25">
      <c r="N6730" s="362"/>
      <c r="R6730" s="210"/>
      <c r="S6730" s="232"/>
      <c r="T6730" s="270"/>
    </row>
    <row r="6731" spans="14:20" x14ac:dyDescent="0.25">
      <c r="N6731" s="362"/>
      <c r="R6731" s="210"/>
      <c r="S6731" s="232"/>
      <c r="T6731" s="270"/>
    </row>
    <row r="6732" spans="14:20" x14ac:dyDescent="0.25">
      <c r="N6732" s="362"/>
      <c r="R6732" s="210"/>
      <c r="S6732" s="232"/>
      <c r="T6732" s="270"/>
    </row>
    <row r="6733" spans="14:20" x14ac:dyDescent="0.25">
      <c r="N6733" s="362"/>
      <c r="R6733" s="210"/>
      <c r="S6733" s="232"/>
      <c r="T6733" s="270"/>
    </row>
    <row r="6734" spans="14:20" x14ac:dyDescent="0.25">
      <c r="N6734" s="362"/>
      <c r="R6734" s="210"/>
      <c r="S6734" s="232"/>
      <c r="T6734" s="270"/>
    </row>
    <row r="6735" spans="14:20" x14ac:dyDescent="0.25">
      <c r="N6735" s="362"/>
      <c r="R6735" s="210"/>
      <c r="S6735" s="232"/>
      <c r="T6735" s="270"/>
    </row>
    <row r="6736" spans="14:20" x14ac:dyDescent="0.25">
      <c r="N6736" s="362"/>
      <c r="R6736" s="210"/>
      <c r="S6736" s="232"/>
      <c r="T6736" s="270"/>
    </row>
    <row r="6737" spans="14:20" x14ac:dyDescent="0.25">
      <c r="N6737" s="362"/>
      <c r="R6737" s="210"/>
      <c r="S6737" s="232"/>
      <c r="T6737" s="270"/>
    </row>
    <row r="6738" spans="14:20" x14ac:dyDescent="0.25">
      <c r="N6738" s="362"/>
      <c r="R6738" s="210"/>
      <c r="S6738" s="232"/>
      <c r="T6738" s="270"/>
    </row>
    <row r="6739" spans="14:20" x14ac:dyDescent="0.25">
      <c r="N6739" s="362"/>
      <c r="R6739" s="210"/>
      <c r="S6739" s="232"/>
      <c r="T6739" s="270"/>
    </row>
    <row r="6740" spans="14:20" x14ac:dyDescent="0.25">
      <c r="N6740" s="362"/>
      <c r="R6740" s="210"/>
      <c r="S6740" s="232"/>
      <c r="T6740" s="270"/>
    </row>
    <row r="6741" spans="14:20" x14ac:dyDescent="0.25">
      <c r="N6741" s="362"/>
      <c r="R6741" s="210"/>
      <c r="S6741" s="232"/>
      <c r="T6741" s="270"/>
    </row>
    <row r="6742" spans="14:20" x14ac:dyDescent="0.25">
      <c r="N6742" s="362"/>
      <c r="R6742" s="210"/>
      <c r="S6742" s="232"/>
      <c r="T6742" s="270"/>
    </row>
    <row r="6743" spans="14:20" x14ac:dyDescent="0.25">
      <c r="N6743" s="362"/>
      <c r="R6743" s="210"/>
      <c r="S6743" s="232"/>
      <c r="T6743" s="270"/>
    </row>
    <row r="6744" spans="14:20" x14ac:dyDescent="0.25">
      <c r="N6744" s="362"/>
      <c r="R6744" s="210"/>
      <c r="S6744" s="232"/>
      <c r="T6744" s="270"/>
    </row>
    <row r="6745" spans="14:20" x14ac:dyDescent="0.25">
      <c r="N6745" s="362"/>
      <c r="R6745" s="210"/>
      <c r="S6745" s="232"/>
      <c r="T6745" s="270"/>
    </row>
    <row r="6746" spans="14:20" x14ac:dyDescent="0.25">
      <c r="N6746" s="362"/>
      <c r="R6746" s="210"/>
      <c r="S6746" s="232"/>
      <c r="T6746" s="270"/>
    </row>
    <row r="6747" spans="14:20" x14ac:dyDescent="0.25">
      <c r="N6747" s="362"/>
      <c r="R6747" s="210"/>
      <c r="S6747" s="232"/>
      <c r="T6747" s="270"/>
    </row>
    <row r="6748" spans="14:20" x14ac:dyDescent="0.25">
      <c r="N6748" s="362"/>
      <c r="R6748" s="210"/>
      <c r="S6748" s="232"/>
      <c r="T6748" s="270"/>
    </row>
    <row r="6749" spans="14:20" x14ac:dyDescent="0.25">
      <c r="N6749" s="362"/>
      <c r="R6749" s="210"/>
      <c r="S6749" s="232"/>
      <c r="T6749" s="270"/>
    </row>
    <row r="6750" spans="14:20" x14ac:dyDescent="0.25">
      <c r="N6750" s="362"/>
      <c r="R6750" s="210"/>
      <c r="S6750" s="232"/>
      <c r="T6750" s="270"/>
    </row>
    <row r="6751" spans="14:20" x14ac:dyDescent="0.25">
      <c r="N6751" s="362"/>
      <c r="R6751" s="210"/>
      <c r="S6751" s="232"/>
      <c r="T6751" s="270"/>
    </row>
    <row r="6752" spans="14:20" x14ac:dyDescent="0.25">
      <c r="N6752" s="362"/>
      <c r="R6752" s="210"/>
      <c r="S6752" s="232"/>
      <c r="T6752" s="270"/>
    </row>
    <row r="6753" spans="14:20" x14ac:dyDescent="0.25">
      <c r="N6753" s="362"/>
      <c r="R6753" s="210"/>
      <c r="S6753" s="232"/>
      <c r="T6753" s="270"/>
    </row>
    <row r="6754" spans="14:20" x14ac:dyDescent="0.25">
      <c r="N6754" s="362"/>
      <c r="R6754" s="210"/>
      <c r="S6754" s="232"/>
      <c r="T6754" s="270"/>
    </row>
    <row r="6755" spans="14:20" x14ac:dyDescent="0.25">
      <c r="N6755" s="362"/>
      <c r="R6755" s="210"/>
      <c r="S6755" s="232"/>
      <c r="T6755" s="270"/>
    </row>
    <row r="6756" spans="14:20" x14ac:dyDescent="0.25">
      <c r="N6756" s="362"/>
      <c r="R6756" s="210"/>
      <c r="S6756" s="232"/>
      <c r="T6756" s="270"/>
    </row>
    <row r="6757" spans="14:20" x14ac:dyDescent="0.25">
      <c r="N6757" s="362"/>
      <c r="R6757" s="210"/>
      <c r="S6757" s="232"/>
      <c r="T6757" s="270"/>
    </row>
    <row r="6758" spans="14:20" x14ac:dyDescent="0.25">
      <c r="N6758" s="362"/>
      <c r="R6758" s="210"/>
      <c r="S6758" s="232"/>
      <c r="T6758" s="270"/>
    </row>
    <row r="6759" spans="14:20" x14ac:dyDescent="0.25">
      <c r="N6759" s="362"/>
      <c r="R6759" s="210"/>
      <c r="S6759" s="232"/>
      <c r="T6759" s="270"/>
    </row>
    <row r="6760" spans="14:20" x14ac:dyDescent="0.25">
      <c r="N6760" s="362"/>
      <c r="R6760" s="210"/>
      <c r="S6760" s="232"/>
      <c r="T6760" s="270"/>
    </row>
    <row r="6761" spans="14:20" x14ac:dyDescent="0.25">
      <c r="N6761" s="362"/>
      <c r="R6761" s="210"/>
      <c r="S6761" s="232"/>
      <c r="T6761" s="270"/>
    </row>
    <row r="6762" spans="14:20" x14ac:dyDescent="0.25">
      <c r="N6762" s="362"/>
      <c r="R6762" s="210"/>
      <c r="S6762" s="232"/>
      <c r="T6762" s="270"/>
    </row>
    <row r="6763" spans="14:20" x14ac:dyDescent="0.25">
      <c r="N6763" s="362"/>
      <c r="R6763" s="210"/>
      <c r="S6763" s="232"/>
      <c r="T6763" s="270"/>
    </row>
    <row r="6764" spans="14:20" x14ac:dyDescent="0.25">
      <c r="N6764" s="362"/>
      <c r="R6764" s="210"/>
      <c r="S6764" s="232"/>
      <c r="T6764" s="270"/>
    </row>
    <row r="6765" spans="14:20" x14ac:dyDescent="0.25">
      <c r="N6765" s="362"/>
      <c r="R6765" s="210"/>
      <c r="S6765" s="232"/>
      <c r="T6765" s="270"/>
    </row>
    <row r="6766" spans="14:20" x14ac:dyDescent="0.25">
      <c r="N6766" s="362"/>
      <c r="R6766" s="210"/>
      <c r="S6766" s="232"/>
      <c r="T6766" s="270"/>
    </row>
    <row r="6767" spans="14:20" x14ac:dyDescent="0.25">
      <c r="N6767" s="362"/>
      <c r="R6767" s="210"/>
      <c r="S6767" s="232"/>
      <c r="T6767" s="270"/>
    </row>
    <row r="6768" spans="14:20" x14ac:dyDescent="0.25">
      <c r="N6768" s="362"/>
      <c r="R6768" s="210"/>
      <c r="S6768" s="232"/>
      <c r="T6768" s="270"/>
    </row>
    <row r="6769" spans="14:20" x14ac:dyDescent="0.25">
      <c r="N6769" s="362"/>
      <c r="R6769" s="210"/>
      <c r="S6769" s="232"/>
      <c r="T6769" s="270"/>
    </row>
    <row r="6770" spans="14:20" x14ac:dyDescent="0.25">
      <c r="N6770" s="362"/>
      <c r="R6770" s="210"/>
      <c r="S6770" s="232"/>
      <c r="T6770" s="270"/>
    </row>
    <row r="6771" spans="14:20" x14ac:dyDescent="0.25">
      <c r="N6771" s="362"/>
      <c r="R6771" s="210"/>
      <c r="S6771" s="232"/>
      <c r="T6771" s="270"/>
    </row>
    <row r="6772" spans="14:20" x14ac:dyDescent="0.25">
      <c r="N6772" s="362"/>
      <c r="R6772" s="210"/>
      <c r="S6772" s="232"/>
      <c r="T6772" s="270"/>
    </row>
    <row r="6773" spans="14:20" x14ac:dyDescent="0.25">
      <c r="N6773" s="362"/>
      <c r="R6773" s="210"/>
      <c r="S6773" s="232"/>
      <c r="T6773" s="270"/>
    </row>
    <row r="6774" spans="14:20" x14ac:dyDescent="0.25">
      <c r="N6774" s="362"/>
      <c r="R6774" s="210"/>
      <c r="S6774" s="232"/>
      <c r="T6774" s="270"/>
    </row>
    <row r="6775" spans="14:20" x14ac:dyDescent="0.25">
      <c r="N6775" s="362"/>
      <c r="R6775" s="210"/>
      <c r="S6775" s="232"/>
      <c r="T6775" s="270"/>
    </row>
    <row r="6776" spans="14:20" x14ac:dyDescent="0.25">
      <c r="N6776" s="362"/>
      <c r="R6776" s="210"/>
      <c r="S6776" s="232"/>
      <c r="T6776" s="270"/>
    </row>
    <row r="6777" spans="14:20" x14ac:dyDescent="0.25">
      <c r="N6777" s="362"/>
      <c r="R6777" s="210"/>
      <c r="S6777" s="232"/>
      <c r="T6777" s="270"/>
    </row>
    <row r="6778" spans="14:20" x14ac:dyDescent="0.25">
      <c r="N6778" s="362"/>
      <c r="R6778" s="210"/>
      <c r="S6778" s="232"/>
      <c r="T6778" s="270"/>
    </row>
    <row r="6779" spans="14:20" x14ac:dyDescent="0.25">
      <c r="N6779" s="362"/>
      <c r="R6779" s="210"/>
      <c r="S6779" s="232"/>
      <c r="T6779" s="270"/>
    </row>
    <row r="6780" spans="14:20" x14ac:dyDescent="0.25">
      <c r="N6780" s="362"/>
      <c r="R6780" s="210"/>
      <c r="S6780" s="232"/>
      <c r="T6780" s="270"/>
    </row>
    <row r="6781" spans="14:20" x14ac:dyDescent="0.25">
      <c r="N6781" s="362"/>
      <c r="R6781" s="210"/>
      <c r="S6781" s="232"/>
      <c r="T6781" s="270"/>
    </row>
    <row r="6782" spans="14:20" x14ac:dyDescent="0.25">
      <c r="N6782" s="362"/>
      <c r="R6782" s="210"/>
      <c r="S6782" s="232"/>
      <c r="T6782" s="270"/>
    </row>
    <row r="6783" spans="14:20" x14ac:dyDescent="0.25">
      <c r="N6783" s="362"/>
      <c r="R6783" s="210"/>
      <c r="S6783" s="232"/>
      <c r="T6783" s="270"/>
    </row>
    <row r="6784" spans="14:20" x14ac:dyDescent="0.25">
      <c r="N6784" s="362"/>
      <c r="R6784" s="210"/>
      <c r="S6784" s="232"/>
      <c r="T6784" s="270"/>
    </row>
    <row r="6785" spans="14:20" x14ac:dyDescent="0.25">
      <c r="N6785" s="362"/>
      <c r="R6785" s="210"/>
      <c r="S6785" s="232"/>
      <c r="T6785" s="270"/>
    </row>
    <row r="6786" spans="14:20" x14ac:dyDescent="0.25">
      <c r="N6786" s="362"/>
      <c r="R6786" s="210"/>
      <c r="S6786" s="232"/>
      <c r="T6786" s="270"/>
    </row>
    <row r="6787" spans="14:20" x14ac:dyDescent="0.25">
      <c r="N6787" s="362"/>
      <c r="R6787" s="210"/>
      <c r="S6787" s="232"/>
      <c r="T6787" s="270"/>
    </row>
    <row r="6788" spans="14:20" x14ac:dyDescent="0.25">
      <c r="N6788" s="362"/>
      <c r="R6788" s="210"/>
      <c r="S6788" s="232"/>
      <c r="T6788" s="270"/>
    </row>
    <row r="6789" spans="14:20" x14ac:dyDescent="0.25">
      <c r="N6789" s="362"/>
      <c r="R6789" s="210"/>
      <c r="S6789" s="232"/>
      <c r="T6789" s="270"/>
    </row>
    <row r="6790" spans="14:20" x14ac:dyDescent="0.25">
      <c r="N6790" s="362"/>
      <c r="R6790" s="210"/>
      <c r="S6790" s="232"/>
      <c r="T6790" s="270"/>
    </row>
    <row r="6791" spans="14:20" x14ac:dyDescent="0.25">
      <c r="N6791" s="362"/>
      <c r="R6791" s="210"/>
      <c r="S6791" s="232"/>
      <c r="T6791" s="270"/>
    </row>
    <row r="6792" spans="14:20" x14ac:dyDescent="0.25">
      <c r="N6792" s="362"/>
      <c r="R6792" s="210"/>
      <c r="S6792" s="232"/>
      <c r="T6792" s="270"/>
    </row>
    <row r="6793" spans="14:20" x14ac:dyDescent="0.25">
      <c r="N6793" s="362"/>
      <c r="R6793" s="210"/>
      <c r="S6793" s="232"/>
      <c r="T6793" s="270"/>
    </row>
    <row r="6794" spans="14:20" x14ac:dyDescent="0.25">
      <c r="N6794" s="362"/>
      <c r="R6794" s="210"/>
      <c r="S6794" s="232"/>
      <c r="T6794" s="270"/>
    </row>
    <row r="6795" spans="14:20" x14ac:dyDescent="0.25">
      <c r="N6795" s="362"/>
      <c r="R6795" s="210"/>
      <c r="S6795" s="232"/>
      <c r="T6795" s="270"/>
    </row>
    <row r="6796" spans="14:20" x14ac:dyDescent="0.25">
      <c r="N6796" s="362"/>
      <c r="R6796" s="210"/>
      <c r="S6796" s="232"/>
      <c r="T6796" s="270"/>
    </row>
    <row r="6797" spans="14:20" x14ac:dyDescent="0.25">
      <c r="N6797" s="362"/>
      <c r="R6797" s="210"/>
      <c r="S6797" s="232"/>
      <c r="T6797" s="270"/>
    </row>
    <row r="6798" spans="14:20" x14ac:dyDescent="0.25">
      <c r="N6798" s="362"/>
      <c r="R6798" s="210"/>
      <c r="S6798" s="232"/>
      <c r="T6798" s="270"/>
    </row>
    <row r="6799" spans="14:20" x14ac:dyDescent="0.25">
      <c r="N6799" s="362"/>
      <c r="R6799" s="210"/>
      <c r="S6799" s="232"/>
      <c r="T6799" s="270"/>
    </row>
    <row r="6800" spans="14:20" x14ac:dyDescent="0.25">
      <c r="N6800" s="362"/>
      <c r="R6800" s="210"/>
      <c r="S6800" s="232"/>
      <c r="T6800" s="270"/>
    </row>
    <row r="6801" spans="14:20" x14ac:dyDescent="0.25">
      <c r="N6801" s="362"/>
      <c r="R6801" s="210"/>
      <c r="S6801" s="232"/>
      <c r="T6801" s="270"/>
    </row>
    <row r="6802" spans="14:20" x14ac:dyDescent="0.25">
      <c r="N6802" s="362"/>
      <c r="R6802" s="210"/>
      <c r="S6802" s="232"/>
      <c r="T6802" s="270"/>
    </row>
    <row r="6803" spans="14:20" x14ac:dyDescent="0.25">
      <c r="N6803" s="362"/>
      <c r="R6803" s="210"/>
      <c r="S6803" s="232"/>
      <c r="T6803" s="270"/>
    </row>
    <row r="6804" spans="14:20" x14ac:dyDescent="0.25">
      <c r="N6804" s="362"/>
      <c r="R6804" s="210"/>
      <c r="S6804" s="232"/>
      <c r="T6804" s="270"/>
    </row>
    <row r="6805" spans="14:20" x14ac:dyDescent="0.25">
      <c r="N6805" s="362"/>
      <c r="R6805" s="210"/>
      <c r="S6805" s="232"/>
      <c r="T6805" s="270"/>
    </row>
    <row r="6806" spans="14:20" x14ac:dyDescent="0.25">
      <c r="N6806" s="362"/>
      <c r="R6806" s="210"/>
      <c r="S6806" s="232"/>
      <c r="T6806" s="270"/>
    </row>
    <row r="6807" spans="14:20" x14ac:dyDescent="0.25">
      <c r="N6807" s="362"/>
      <c r="R6807" s="210"/>
      <c r="S6807" s="232"/>
      <c r="T6807" s="270"/>
    </row>
    <row r="6808" spans="14:20" x14ac:dyDescent="0.25">
      <c r="N6808" s="362"/>
      <c r="R6808" s="210"/>
      <c r="S6808" s="232"/>
      <c r="T6808" s="270"/>
    </row>
    <row r="6809" spans="14:20" x14ac:dyDescent="0.25">
      <c r="N6809" s="362"/>
      <c r="R6809" s="210"/>
      <c r="S6809" s="232"/>
      <c r="T6809" s="270"/>
    </row>
    <row r="6810" spans="14:20" x14ac:dyDescent="0.25">
      <c r="N6810" s="362"/>
      <c r="R6810" s="210"/>
      <c r="S6810" s="232"/>
      <c r="T6810" s="270"/>
    </row>
    <row r="6811" spans="14:20" x14ac:dyDescent="0.25">
      <c r="N6811" s="362"/>
      <c r="R6811" s="210"/>
      <c r="S6811" s="232"/>
      <c r="T6811" s="270"/>
    </row>
    <row r="6812" spans="14:20" x14ac:dyDescent="0.25">
      <c r="N6812" s="362"/>
      <c r="R6812" s="210"/>
      <c r="S6812" s="232"/>
      <c r="T6812" s="270"/>
    </row>
    <row r="6813" spans="14:20" x14ac:dyDescent="0.25">
      <c r="N6813" s="362"/>
      <c r="R6813" s="210"/>
      <c r="S6813" s="232"/>
      <c r="T6813" s="270"/>
    </row>
    <row r="6814" spans="14:20" x14ac:dyDescent="0.25">
      <c r="N6814" s="362"/>
      <c r="R6814" s="210"/>
      <c r="S6814" s="232"/>
      <c r="T6814" s="270"/>
    </row>
    <row r="6815" spans="14:20" x14ac:dyDescent="0.25">
      <c r="N6815" s="362"/>
      <c r="R6815" s="210"/>
      <c r="S6815" s="232"/>
      <c r="T6815" s="270"/>
    </row>
    <row r="6816" spans="14:20" x14ac:dyDescent="0.25">
      <c r="N6816" s="362"/>
      <c r="R6816" s="210"/>
      <c r="S6816" s="232"/>
      <c r="T6816" s="270"/>
    </row>
    <row r="6817" spans="14:20" x14ac:dyDescent="0.25">
      <c r="N6817" s="362"/>
      <c r="R6817" s="210"/>
      <c r="S6817" s="232"/>
      <c r="T6817" s="270"/>
    </row>
    <row r="6818" spans="14:20" x14ac:dyDescent="0.25">
      <c r="N6818" s="362"/>
      <c r="R6818" s="210"/>
      <c r="S6818" s="232"/>
      <c r="T6818" s="270"/>
    </row>
    <row r="6819" spans="14:20" x14ac:dyDescent="0.25">
      <c r="N6819" s="362"/>
      <c r="R6819" s="210"/>
      <c r="S6819" s="232"/>
      <c r="T6819" s="270"/>
    </row>
    <row r="6820" spans="14:20" x14ac:dyDescent="0.25">
      <c r="N6820" s="362"/>
      <c r="R6820" s="210"/>
      <c r="S6820" s="232"/>
      <c r="T6820" s="270"/>
    </row>
    <row r="6821" spans="14:20" x14ac:dyDescent="0.25">
      <c r="N6821" s="362"/>
      <c r="R6821" s="210"/>
      <c r="S6821" s="232"/>
      <c r="T6821" s="270"/>
    </row>
    <row r="6822" spans="14:20" x14ac:dyDescent="0.25">
      <c r="N6822" s="362"/>
      <c r="R6822" s="210"/>
      <c r="S6822" s="232"/>
      <c r="T6822" s="270"/>
    </row>
    <row r="6823" spans="14:20" x14ac:dyDescent="0.25">
      <c r="N6823" s="362"/>
      <c r="R6823" s="210"/>
      <c r="S6823" s="232"/>
      <c r="T6823" s="270"/>
    </row>
    <row r="6824" spans="14:20" x14ac:dyDescent="0.25">
      <c r="N6824" s="362"/>
      <c r="R6824" s="210"/>
      <c r="S6824" s="232"/>
      <c r="T6824" s="270"/>
    </row>
    <row r="6825" spans="14:20" x14ac:dyDescent="0.25">
      <c r="N6825" s="362"/>
      <c r="R6825" s="210"/>
      <c r="S6825" s="232"/>
      <c r="T6825" s="270"/>
    </row>
    <row r="6826" spans="14:20" x14ac:dyDescent="0.25">
      <c r="N6826" s="362"/>
      <c r="R6826" s="210"/>
      <c r="S6826" s="232"/>
      <c r="T6826" s="270"/>
    </row>
    <row r="6827" spans="14:20" x14ac:dyDescent="0.25">
      <c r="N6827" s="362"/>
      <c r="R6827" s="210"/>
      <c r="S6827" s="232"/>
      <c r="T6827" s="270"/>
    </row>
    <row r="6828" spans="14:20" x14ac:dyDescent="0.25">
      <c r="N6828" s="362"/>
      <c r="R6828" s="210"/>
      <c r="S6828" s="232"/>
      <c r="T6828" s="270"/>
    </row>
    <row r="6829" spans="14:20" x14ac:dyDescent="0.25">
      <c r="N6829" s="362"/>
      <c r="R6829" s="210"/>
      <c r="S6829" s="232"/>
      <c r="T6829" s="270"/>
    </row>
    <row r="6830" spans="14:20" x14ac:dyDescent="0.25">
      <c r="N6830" s="362"/>
      <c r="R6830" s="210"/>
      <c r="S6830" s="232"/>
      <c r="T6830" s="270"/>
    </row>
    <row r="6831" spans="14:20" x14ac:dyDescent="0.25">
      <c r="N6831" s="362"/>
      <c r="R6831" s="210"/>
      <c r="S6831" s="232"/>
      <c r="T6831" s="270"/>
    </row>
    <row r="6832" spans="14:20" x14ac:dyDescent="0.25">
      <c r="N6832" s="362"/>
      <c r="R6832" s="210"/>
      <c r="S6832" s="232"/>
      <c r="T6832" s="270"/>
    </row>
    <row r="6833" spans="14:20" x14ac:dyDescent="0.25">
      <c r="N6833" s="362"/>
      <c r="R6833" s="210"/>
      <c r="S6833" s="232"/>
      <c r="T6833" s="270"/>
    </row>
    <row r="6834" spans="14:20" x14ac:dyDescent="0.25">
      <c r="N6834" s="362"/>
      <c r="R6834" s="210"/>
      <c r="S6834" s="232"/>
      <c r="T6834" s="270"/>
    </row>
    <row r="6835" spans="14:20" x14ac:dyDescent="0.25">
      <c r="N6835" s="362"/>
      <c r="R6835" s="210"/>
      <c r="S6835" s="232"/>
      <c r="T6835" s="270"/>
    </row>
    <row r="6836" spans="14:20" x14ac:dyDescent="0.25">
      <c r="N6836" s="362"/>
      <c r="R6836" s="210"/>
      <c r="S6836" s="232"/>
      <c r="T6836" s="270"/>
    </row>
    <row r="6837" spans="14:20" x14ac:dyDescent="0.25">
      <c r="N6837" s="362"/>
      <c r="R6837" s="210"/>
      <c r="S6837" s="232"/>
      <c r="T6837" s="270"/>
    </row>
    <row r="6838" spans="14:20" x14ac:dyDescent="0.25">
      <c r="N6838" s="362"/>
      <c r="R6838" s="210"/>
      <c r="S6838" s="232"/>
      <c r="T6838" s="270"/>
    </row>
    <row r="6839" spans="14:20" x14ac:dyDescent="0.25">
      <c r="N6839" s="362"/>
      <c r="R6839" s="210"/>
      <c r="S6839" s="232"/>
      <c r="T6839" s="270"/>
    </row>
    <row r="6840" spans="14:20" x14ac:dyDescent="0.25">
      <c r="N6840" s="362"/>
      <c r="R6840" s="210"/>
      <c r="S6840" s="232"/>
      <c r="T6840" s="270"/>
    </row>
    <row r="6841" spans="14:20" x14ac:dyDescent="0.25">
      <c r="N6841" s="362"/>
      <c r="R6841" s="210"/>
      <c r="S6841" s="232"/>
      <c r="T6841" s="270"/>
    </row>
    <row r="6842" spans="14:20" x14ac:dyDescent="0.25">
      <c r="N6842" s="362"/>
      <c r="R6842" s="210"/>
      <c r="S6842" s="232"/>
      <c r="T6842" s="270"/>
    </row>
    <row r="6843" spans="14:20" x14ac:dyDescent="0.25">
      <c r="N6843" s="362"/>
      <c r="R6843" s="210"/>
      <c r="S6843" s="232"/>
      <c r="T6843" s="270"/>
    </row>
    <row r="6844" spans="14:20" x14ac:dyDescent="0.25">
      <c r="N6844" s="362"/>
      <c r="R6844" s="210"/>
      <c r="S6844" s="232"/>
      <c r="T6844" s="270"/>
    </row>
    <row r="6845" spans="14:20" x14ac:dyDescent="0.25">
      <c r="N6845" s="362"/>
      <c r="R6845" s="210"/>
      <c r="S6845" s="232"/>
      <c r="T6845" s="270"/>
    </row>
    <row r="6846" spans="14:20" x14ac:dyDescent="0.25">
      <c r="N6846" s="362"/>
      <c r="R6846" s="210"/>
      <c r="S6846" s="232"/>
      <c r="T6846" s="270"/>
    </row>
    <row r="6847" spans="14:20" x14ac:dyDescent="0.25">
      <c r="N6847" s="362"/>
      <c r="R6847" s="210"/>
      <c r="S6847" s="232"/>
      <c r="T6847" s="270"/>
    </row>
    <row r="6848" spans="14:20" x14ac:dyDescent="0.25">
      <c r="N6848" s="362"/>
      <c r="R6848" s="210"/>
      <c r="S6848" s="232"/>
      <c r="T6848" s="270"/>
    </row>
    <row r="6849" spans="14:20" x14ac:dyDescent="0.25">
      <c r="N6849" s="362"/>
      <c r="R6849" s="210"/>
      <c r="S6849" s="232"/>
      <c r="T6849" s="270"/>
    </row>
    <row r="6850" spans="14:20" x14ac:dyDescent="0.25">
      <c r="N6850" s="362"/>
      <c r="R6850" s="210"/>
      <c r="S6850" s="232"/>
      <c r="T6850" s="270"/>
    </row>
    <row r="6851" spans="14:20" x14ac:dyDescent="0.25">
      <c r="N6851" s="362"/>
      <c r="R6851" s="210"/>
      <c r="S6851" s="232"/>
      <c r="T6851" s="270"/>
    </row>
    <row r="6852" spans="14:20" x14ac:dyDescent="0.25">
      <c r="N6852" s="362"/>
      <c r="R6852" s="210"/>
      <c r="S6852" s="232"/>
      <c r="T6852" s="270"/>
    </row>
    <row r="6853" spans="14:20" x14ac:dyDescent="0.25">
      <c r="N6853" s="362"/>
      <c r="R6853" s="210"/>
      <c r="S6853" s="232"/>
      <c r="T6853" s="270"/>
    </row>
    <row r="6854" spans="14:20" x14ac:dyDescent="0.25">
      <c r="N6854" s="362"/>
      <c r="R6854" s="210"/>
      <c r="S6854" s="232"/>
      <c r="T6854" s="270"/>
    </row>
    <row r="6855" spans="14:20" x14ac:dyDescent="0.25">
      <c r="N6855" s="362"/>
      <c r="R6855" s="210"/>
      <c r="S6855" s="232"/>
      <c r="T6855" s="270"/>
    </row>
    <row r="6856" spans="14:20" x14ac:dyDescent="0.25">
      <c r="N6856" s="362"/>
      <c r="R6856" s="210"/>
      <c r="S6856" s="232"/>
      <c r="T6856" s="270"/>
    </row>
    <row r="6857" spans="14:20" x14ac:dyDescent="0.25">
      <c r="N6857" s="362"/>
      <c r="R6857" s="210"/>
      <c r="S6857" s="232"/>
      <c r="T6857" s="270"/>
    </row>
    <row r="6858" spans="14:20" x14ac:dyDescent="0.25">
      <c r="N6858" s="362"/>
      <c r="R6858" s="210"/>
      <c r="S6858" s="232"/>
      <c r="T6858" s="270"/>
    </row>
    <row r="6859" spans="14:20" x14ac:dyDescent="0.25">
      <c r="N6859" s="362"/>
      <c r="R6859" s="210"/>
      <c r="S6859" s="232"/>
      <c r="T6859" s="270"/>
    </row>
    <row r="6860" spans="14:20" x14ac:dyDescent="0.25">
      <c r="N6860" s="362"/>
      <c r="R6860" s="210"/>
      <c r="S6860" s="232"/>
      <c r="T6860" s="270"/>
    </row>
    <row r="6861" spans="14:20" x14ac:dyDescent="0.25">
      <c r="N6861" s="362"/>
      <c r="R6861" s="210"/>
      <c r="S6861" s="232"/>
      <c r="T6861" s="270"/>
    </row>
    <row r="6862" spans="14:20" x14ac:dyDescent="0.25">
      <c r="N6862" s="362"/>
      <c r="R6862" s="210"/>
      <c r="S6862" s="232"/>
      <c r="T6862" s="270"/>
    </row>
    <row r="6863" spans="14:20" x14ac:dyDescent="0.25">
      <c r="N6863" s="362"/>
      <c r="R6863" s="210"/>
      <c r="S6863" s="232"/>
      <c r="T6863" s="270"/>
    </row>
    <row r="6864" spans="14:20" x14ac:dyDescent="0.25">
      <c r="N6864" s="362"/>
      <c r="R6864" s="210"/>
      <c r="S6864" s="232"/>
      <c r="T6864" s="270"/>
    </row>
    <row r="6865" spans="14:20" x14ac:dyDescent="0.25">
      <c r="N6865" s="362"/>
      <c r="R6865" s="210"/>
      <c r="S6865" s="232"/>
      <c r="T6865" s="270"/>
    </row>
    <row r="6866" spans="14:20" x14ac:dyDescent="0.25">
      <c r="N6866" s="362"/>
      <c r="R6866" s="210"/>
      <c r="S6866" s="232"/>
      <c r="T6866" s="270"/>
    </row>
    <row r="6867" spans="14:20" x14ac:dyDescent="0.25">
      <c r="N6867" s="362"/>
      <c r="R6867" s="210"/>
      <c r="S6867" s="232"/>
      <c r="T6867" s="270"/>
    </row>
    <row r="6868" spans="14:20" x14ac:dyDescent="0.25">
      <c r="N6868" s="362"/>
      <c r="R6868" s="210"/>
      <c r="S6868" s="232"/>
      <c r="T6868" s="270"/>
    </row>
    <row r="6869" spans="14:20" x14ac:dyDescent="0.25">
      <c r="N6869" s="362"/>
      <c r="R6869" s="210"/>
      <c r="S6869" s="232"/>
      <c r="T6869" s="270"/>
    </row>
    <row r="6870" spans="14:20" x14ac:dyDescent="0.25">
      <c r="N6870" s="362"/>
      <c r="R6870" s="210"/>
      <c r="S6870" s="232"/>
      <c r="T6870" s="270"/>
    </row>
    <row r="6871" spans="14:20" x14ac:dyDescent="0.25">
      <c r="N6871" s="362"/>
      <c r="R6871" s="210"/>
      <c r="S6871" s="232"/>
      <c r="T6871" s="270"/>
    </row>
    <row r="6872" spans="14:20" x14ac:dyDescent="0.25">
      <c r="N6872" s="362"/>
      <c r="R6872" s="210"/>
      <c r="S6872" s="232"/>
      <c r="T6872" s="270"/>
    </row>
    <row r="6873" spans="14:20" x14ac:dyDescent="0.25">
      <c r="N6873" s="362"/>
      <c r="R6873" s="210"/>
      <c r="S6873" s="232"/>
      <c r="T6873" s="270"/>
    </row>
    <row r="6874" spans="14:20" x14ac:dyDescent="0.25">
      <c r="N6874" s="362"/>
      <c r="R6874" s="210"/>
      <c r="S6874" s="232"/>
      <c r="T6874" s="270"/>
    </row>
    <row r="6875" spans="14:20" x14ac:dyDescent="0.25">
      <c r="N6875" s="362"/>
      <c r="R6875" s="210"/>
      <c r="S6875" s="232"/>
      <c r="T6875" s="270"/>
    </row>
    <row r="6876" spans="14:20" x14ac:dyDescent="0.25">
      <c r="N6876" s="362"/>
      <c r="R6876" s="210"/>
      <c r="S6876" s="232"/>
      <c r="T6876" s="270"/>
    </row>
    <row r="6877" spans="14:20" x14ac:dyDescent="0.25">
      <c r="N6877" s="362"/>
      <c r="R6877" s="210"/>
      <c r="S6877" s="232"/>
      <c r="T6877" s="270"/>
    </row>
    <row r="6878" spans="14:20" x14ac:dyDescent="0.25">
      <c r="N6878" s="362"/>
      <c r="R6878" s="210"/>
      <c r="S6878" s="232"/>
      <c r="T6878" s="270"/>
    </row>
    <row r="6879" spans="14:20" x14ac:dyDescent="0.25">
      <c r="N6879" s="362"/>
      <c r="R6879" s="210"/>
      <c r="S6879" s="232"/>
      <c r="T6879" s="270"/>
    </row>
    <row r="6880" spans="14:20" x14ac:dyDescent="0.25">
      <c r="N6880" s="362"/>
      <c r="R6880" s="210"/>
      <c r="S6880" s="232"/>
      <c r="T6880" s="270"/>
    </row>
    <row r="6881" spans="14:20" x14ac:dyDescent="0.25">
      <c r="N6881" s="362"/>
      <c r="R6881" s="210"/>
      <c r="S6881" s="232"/>
      <c r="T6881" s="270"/>
    </row>
    <row r="6882" spans="14:20" x14ac:dyDescent="0.25">
      <c r="N6882" s="362"/>
      <c r="R6882" s="210"/>
      <c r="S6882" s="232"/>
      <c r="T6882" s="270"/>
    </row>
    <row r="6883" spans="14:20" x14ac:dyDescent="0.25">
      <c r="N6883" s="362"/>
      <c r="R6883" s="210"/>
      <c r="S6883" s="232"/>
      <c r="T6883" s="270"/>
    </row>
    <row r="6884" spans="14:20" x14ac:dyDescent="0.25">
      <c r="N6884" s="362"/>
      <c r="R6884" s="210"/>
      <c r="S6884" s="232"/>
      <c r="T6884" s="270"/>
    </row>
    <row r="6885" spans="14:20" x14ac:dyDescent="0.25">
      <c r="N6885" s="362"/>
      <c r="R6885" s="210"/>
      <c r="S6885" s="232"/>
      <c r="T6885" s="270"/>
    </row>
    <row r="6886" spans="14:20" x14ac:dyDescent="0.25">
      <c r="N6886" s="362"/>
      <c r="R6886" s="210"/>
      <c r="S6886" s="232"/>
      <c r="T6886" s="270"/>
    </row>
    <row r="6887" spans="14:20" x14ac:dyDescent="0.25">
      <c r="N6887" s="362"/>
      <c r="R6887" s="210"/>
      <c r="S6887" s="232"/>
      <c r="T6887" s="270"/>
    </row>
    <row r="6888" spans="14:20" x14ac:dyDescent="0.25">
      <c r="N6888" s="362"/>
      <c r="R6888" s="210"/>
      <c r="S6888" s="232"/>
      <c r="T6888" s="270"/>
    </row>
    <row r="6889" spans="14:20" x14ac:dyDescent="0.25">
      <c r="N6889" s="362"/>
      <c r="R6889" s="210"/>
      <c r="S6889" s="232"/>
      <c r="T6889" s="270"/>
    </row>
    <row r="6890" spans="14:20" x14ac:dyDescent="0.25">
      <c r="N6890" s="362"/>
      <c r="R6890" s="210"/>
      <c r="S6890" s="232"/>
      <c r="T6890" s="270"/>
    </row>
    <row r="6891" spans="14:20" x14ac:dyDescent="0.25">
      <c r="N6891" s="362"/>
      <c r="R6891" s="210"/>
      <c r="S6891" s="232"/>
      <c r="T6891" s="270"/>
    </row>
    <row r="6892" spans="14:20" x14ac:dyDescent="0.25">
      <c r="N6892" s="362"/>
      <c r="R6892" s="210"/>
      <c r="S6892" s="232"/>
      <c r="T6892" s="270"/>
    </row>
    <row r="6893" spans="14:20" x14ac:dyDescent="0.25">
      <c r="N6893" s="362"/>
      <c r="R6893" s="210"/>
      <c r="S6893" s="232"/>
      <c r="T6893" s="270"/>
    </row>
    <row r="6894" spans="14:20" x14ac:dyDescent="0.25">
      <c r="N6894" s="362"/>
      <c r="R6894" s="210"/>
      <c r="S6894" s="232"/>
      <c r="T6894" s="270"/>
    </row>
    <row r="6895" spans="14:20" x14ac:dyDescent="0.25">
      <c r="N6895" s="362"/>
      <c r="R6895" s="210"/>
      <c r="S6895" s="232"/>
      <c r="T6895" s="270"/>
    </row>
    <row r="6896" spans="14:20" x14ac:dyDescent="0.25">
      <c r="N6896" s="362"/>
      <c r="R6896" s="210"/>
      <c r="S6896" s="232"/>
      <c r="T6896" s="270"/>
    </row>
    <row r="6897" spans="14:20" x14ac:dyDescent="0.25">
      <c r="N6897" s="362"/>
      <c r="R6897" s="210"/>
      <c r="S6897" s="232"/>
      <c r="T6897" s="270"/>
    </row>
    <row r="6898" spans="14:20" x14ac:dyDescent="0.25">
      <c r="N6898" s="362"/>
      <c r="R6898" s="210"/>
      <c r="S6898" s="232"/>
      <c r="T6898" s="270"/>
    </row>
    <row r="6899" spans="14:20" x14ac:dyDescent="0.25">
      <c r="N6899" s="362"/>
      <c r="R6899" s="210"/>
      <c r="S6899" s="232"/>
      <c r="T6899" s="270"/>
    </row>
    <row r="6900" spans="14:20" x14ac:dyDescent="0.25">
      <c r="N6900" s="362"/>
      <c r="R6900" s="210"/>
      <c r="S6900" s="232"/>
      <c r="T6900" s="270"/>
    </row>
    <row r="6901" spans="14:20" x14ac:dyDescent="0.25">
      <c r="N6901" s="362"/>
      <c r="R6901" s="210"/>
      <c r="S6901" s="232"/>
      <c r="T6901" s="270"/>
    </row>
    <row r="6902" spans="14:20" x14ac:dyDescent="0.25">
      <c r="N6902" s="362"/>
      <c r="R6902" s="210"/>
      <c r="S6902" s="232"/>
      <c r="T6902" s="270"/>
    </row>
    <row r="6903" spans="14:20" x14ac:dyDescent="0.25">
      <c r="N6903" s="362"/>
      <c r="R6903" s="210"/>
      <c r="S6903" s="232"/>
      <c r="T6903" s="270"/>
    </row>
    <row r="6904" spans="14:20" x14ac:dyDescent="0.25">
      <c r="N6904" s="362"/>
      <c r="R6904" s="210"/>
      <c r="S6904" s="232"/>
      <c r="T6904" s="270"/>
    </row>
    <row r="6905" spans="14:20" x14ac:dyDescent="0.25">
      <c r="N6905" s="362"/>
      <c r="R6905" s="210"/>
      <c r="S6905" s="232"/>
      <c r="T6905" s="270"/>
    </row>
    <row r="6906" spans="14:20" x14ac:dyDescent="0.25">
      <c r="N6906" s="362"/>
      <c r="R6906" s="210"/>
      <c r="S6906" s="232"/>
      <c r="T6906" s="270"/>
    </row>
    <row r="6907" spans="14:20" x14ac:dyDescent="0.25">
      <c r="N6907" s="362"/>
      <c r="R6907" s="210"/>
      <c r="S6907" s="232"/>
      <c r="T6907" s="270"/>
    </row>
    <row r="6908" spans="14:20" x14ac:dyDescent="0.25">
      <c r="N6908" s="362"/>
      <c r="R6908" s="210"/>
      <c r="S6908" s="232"/>
      <c r="T6908" s="270"/>
    </row>
    <row r="6909" spans="14:20" x14ac:dyDescent="0.25">
      <c r="N6909" s="362"/>
      <c r="R6909" s="210"/>
      <c r="S6909" s="232"/>
      <c r="T6909" s="270"/>
    </row>
    <row r="6910" spans="14:20" x14ac:dyDescent="0.25">
      <c r="N6910" s="362"/>
      <c r="R6910" s="210"/>
      <c r="S6910" s="232"/>
      <c r="T6910" s="270"/>
    </row>
    <row r="6911" spans="14:20" x14ac:dyDescent="0.25">
      <c r="N6911" s="362"/>
      <c r="R6911" s="210"/>
      <c r="S6911" s="232"/>
      <c r="T6911" s="270"/>
    </row>
    <row r="6912" spans="14:20" x14ac:dyDescent="0.25">
      <c r="N6912" s="362"/>
      <c r="R6912" s="210"/>
      <c r="S6912" s="232"/>
      <c r="T6912" s="270"/>
    </row>
    <row r="6913" spans="14:20" x14ac:dyDescent="0.25">
      <c r="N6913" s="362"/>
      <c r="R6913" s="210"/>
      <c r="S6913" s="232"/>
      <c r="T6913" s="270"/>
    </row>
    <row r="6914" spans="14:20" x14ac:dyDescent="0.25">
      <c r="N6914" s="362"/>
      <c r="R6914" s="210"/>
      <c r="S6914" s="232"/>
      <c r="T6914" s="270"/>
    </row>
    <row r="6915" spans="14:20" x14ac:dyDescent="0.25">
      <c r="N6915" s="362"/>
      <c r="R6915" s="210"/>
      <c r="S6915" s="232"/>
      <c r="T6915" s="270"/>
    </row>
    <row r="6916" spans="14:20" x14ac:dyDescent="0.25">
      <c r="N6916" s="362"/>
      <c r="R6916" s="210"/>
      <c r="S6916" s="232"/>
      <c r="T6916" s="270"/>
    </row>
    <row r="6917" spans="14:20" x14ac:dyDescent="0.25">
      <c r="N6917" s="362"/>
      <c r="R6917" s="210"/>
      <c r="S6917" s="232"/>
      <c r="T6917" s="270"/>
    </row>
    <row r="6918" spans="14:20" x14ac:dyDescent="0.25">
      <c r="N6918" s="362"/>
      <c r="R6918" s="210"/>
      <c r="S6918" s="232"/>
      <c r="T6918" s="270"/>
    </row>
    <row r="6919" spans="14:20" x14ac:dyDescent="0.25">
      <c r="N6919" s="362"/>
      <c r="R6919" s="210"/>
      <c r="S6919" s="232"/>
      <c r="T6919" s="270"/>
    </row>
    <row r="6920" spans="14:20" x14ac:dyDescent="0.25">
      <c r="N6920" s="362"/>
      <c r="R6920" s="210"/>
      <c r="S6920" s="232"/>
      <c r="T6920" s="270"/>
    </row>
    <row r="6921" spans="14:20" x14ac:dyDescent="0.25">
      <c r="N6921" s="362"/>
      <c r="R6921" s="210"/>
      <c r="S6921" s="232"/>
      <c r="T6921" s="270"/>
    </row>
    <row r="6922" spans="14:20" x14ac:dyDescent="0.25">
      <c r="N6922" s="362"/>
      <c r="R6922" s="210"/>
      <c r="S6922" s="232"/>
      <c r="T6922" s="270"/>
    </row>
    <row r="6923" spans="14:20" x14ac:dyDescent="0.25">
      <c r="N6923" s="362"/>
      <c r="R6923" s="210"/>
      <c r="S6923" s="232"/>
      <c r="T6923" s="270"/>
    </row>
    <row r="6924" spans="14:20" x14ac:dyDescent="0.25">
      <c r="N6924" s="362"/>
      <c r="R6924" s="210"/>
      <c r="S6924" s="232"/>
      <c r="T6924" s="270"/>
    </row>
    <row r="6925" spans="14:20" x14ac:dyDescent="0.25">
      <c r="N6925" s="362"/>
      <c r="R6925" s="210"/>
      <c r="S6925" s="232"/>
      <c r="T6925" s="270"/>
    </row>
    <row r="6926" spans="14:20" x14ac:dyDescent="0.25">
      <c r="N6926" s="362"/>
      <c r="R6926" s="210"/>
      <c r="S6926" s="232"/>
      <c r="T6926" s="270"/>
    </row>
    <row r="6927" spans="14:20" x14ac:dyDescent="0.25">
      <c r="N6927" s="362"/>
      <c r="R6927" s="210"/>
      <c r="S6927" s="232"/>
      <c r="T6927" s="270"/>
    </row>
    <row r="6928" spans="14:20" x14ac:dyDescent="0.25">
      <c r="N6928" s="362"/>
      <c r="R6928" s="210"/>
      <c r="S6928" s="232"/>
      <c r="T6928" s="270"/>
    </row>
    <row r="6929" spans="14:20" x14ac:dyDescent="0.25">
      <c r="N6929" s="362"/>
      <c r="R6929" s="210"/>
      <c r="S6929" s="232"/>
      <c r="T6929" s="270"/>
    </row>
    <row r="6930" spans="14:20" x14ac:dyDescent="0.25">
      <c r="N6930" s="362"/>
      <c r="R6930" s="210"/>
      <c r="S6930" s="232"/>
      <c r="T6930" s="270"/>
    </row>
    <row r="6931" spans="14:20" x14ac:dyDescent="0.25">
      <c r="N6931" s="362"/>
      <c r="R6931" s="210"/>
      <c r="S6931" s="232"/>
      <c r="T6931" s="270"/>
    </row>
    <row r="6932" spans="14:20" x14ac:dyDescent="0.25">
      <c r="N6932" s="362"/>
      <c r="R6932" s="210"/>
      <c r="S6932" s="232"/>
      <c r="T6932" s="270"/>
    </row>
    <row r="6933" spans="14:20" x14ac:dyDescent="0.25">
      <c r="N6933" s="362"/>
      <c r="R6933" s="210"/>
      <c r="S6933" s="232"/>
      <c r="T6933" s="270"/>
    </row>
    <row r="6934" spans="14:20" x14ac:dyDescent="0.25">
      <c r="N6934" s="362"/>
      <c r="R6934" s="210"/>
      <c r="S6934" s="232"/>
      <c r="T6934" s="270"/>
    </row>
    <row r="6935" spans="14:20" x14ac:dyDescent="0.25">
      <c r="N6935" s="362"/>
      <c r="R6935" s="210"/>
      <c r="S6935" s="232"/>
      <c r="T6935" s="270"/>
    </row>
    <row r="6936" spans="14:20" x14ac:dyDescent="0.25">
      <c r="N6936" s="362"/>
      <c r="R6936" s="210"/>
      <c r="S6936" s="232"/>
      <c r="T6936" s="270"/>
    </row>
    <row r="6937" spans="14:20" x14ac:dyDescent="0.25">
      <c r="N6937" s="362"/>
      <c r="R6937" s="210"/>
      <c r="S6937" s="232"/>
      <c r="T6937" s="270"/>
    </row>
    <row r="6938" spans="14:20" x14ac:dyDescent="0.25">
      <c r="N6938" s="362"/>
      <c r="R6938" s="210"/>
      <c r="S6938" s="232"/>
      <c r="T6938" s="270"/>
    </row>
    <row r="6939" spans="14:20" x14ac:dyDescent="0.25">
      <c r="N6939" s="362"/>
      <c r="R6939" s="210"/>
      <c r="S6939" s="232"/>
      <c r="T6939" s="270"/>
    </row>
    <row r="6940" spans="14:20" x14ac:dyDescent="0.25">
      <c r="N6940" s="362"/>
      <c r="R6940" s="210"/>
      <c r="S6940" s="232"/>
      <c r="T6940" s="270"/>
    </row>
    <row r="6941" spans="14:20" x14ac:dyDescent="0.25">
      <c r="N6941" s="362"/>
      <c r="R6941" s="210"/>
      <c r="S6941" s="232"/>
      <c r="T6941" s="270"/>
    </row>
    <row r="6942" spans="14:20" x14ac:dyDescent="0.25">
      <c r="N6942" s="362"/>
      <c r="R6942" s="210"/>
      <c r="S6942" s="232"/>
      <c r="T6942" s="270"/>
    </row>
    <row r="6943" spans="14:20" x14ac:dyDescent="0.25">
      <c r="N6943" s="362"/>
      <c r="R6943" s="210"/>
      <c r="S6943" s="232"/>
      <c r="T6943" s="270"/>
    </row>
    <row r="6944" spans="14:20" x14ac:dyDescent="0.25">
      <c r="N6944" s="362"/>
      <c r="R6944" s="210"/>
      <c r="S6944" s="232"/>
      <c r="T6944" s="270"/>
    </row>
    <row r="6945" spans="14:20" x14ac:dyDescent="0.25">
      <c r="N6945" s="362"/>
      <c r="R6945" s="210"/>
      <c r="S6945" s="232"/>
      <c r="T6945" s="270"/>
    </row>
    <row r="6946" spans="14:20" x14ac:dyDescent="0.25">
      <c r="N6946" s="362"/>
      <c r="R6946" s="210"/>
      <c r="S6946" s="232"/>
      <c r="T6946" s="270"/>
    </row>
    <row r="6947" spans="14:20" x14ac:dyDescent="0.25">
      <c r="N6947" s="362"/>
      <c r="R6947" s="210"/>
      <c r="S6947" s="232"/>
      <c r="T6947" s="270"/>
    </row>
    <row r="6948" spans="14:20" x14ac:dyDescent="0.25">
      <c r="N6948" s="362"/>
      <c r="R6948" s="210"/>
      <c r="S6948" s="232"/>
      <c r="T6948" s="270"/>
    </row>
    <row r="6949" spans="14:20" x14ac:dyDescent="0.25">
      <c r="N6949" s="362"/>
      <c r="R6949" s="210"/>
      <c r="S6949" s="232"/>
      <c r="T6949" s="270"/>
    </row>
    <row r="6950" spans="14:20" x14ac:dyDescent="0.25">
      <c r="N6950" s="362"/>
      <c r="R6950" s="210"/>
      <c r="S6950" s="232"/>
      <c r="T6950" s="270"/>
    </row>
    <row r="6951" spans="14:20" x14ac:dyDescent="0.25">
      <c r="N6951" s="362"/>
      <c r="R6951" s="210"/>
      <c r="S6951" s="232"/>
      <c r="T6951" s="270"/>
    </row>
    <row r="6952" spans="14:20" x14ac:dyDescent="0.25">
      <c r="N6952" s="362"/>
      <c r="R6952" s="210"/>
      <c r="S6952" s="232"/>
      <c r="T6952" s="270"/>
    </row>
    <row r="6953" spans="14:20" x14ac:dyDescent="0.25">
      <c r="N6953" s="362"/>
      <c r="R6953" s="210"/>
      <c r="S6953" s="232"/>
      <c r="T6953" s="270"/>
    </row>
    <row r="6954" spans="14:20" x14ac:dyDescent="0.25">
      <c r="N6954" s="362"/>
      <c r="R6954" s="210"/>
      <c r="S6954" s="232"/>
      <c r="T6954" s="270"/>
    </row>
    <row r="6955" spans="14:20" x14ac:dyDescent="0.25">
      <c r="N6955" s="362"/>
      <c r="R6955" s="210"/>
      <c r="S6955" s="232"/>
      <c r="T6955" s="270"/>
    </row>
    <row r="6956" spans="14:20" x14ac:dyDescent="0.25">
      <c r="N6956" s="362"/>
      <c r="R6956" s="210"/>
      <c r="S6956" s="232"/>
      <c r="T6956" s="270"/>
    </row>
    <row r="6957" spans="14:20" x14ac:dyDescent="0.25">
      <c r="N6957" s="362"/>
      <c r="R6957" s="210"/>
      <c r="S6957" s="232"/>
      <c r="T6957" s="270"/>
    </row>
    <row r="6958" spans="14:20" x14ac:dyDescent="0.25">
      <c r="N6958" s="362"/>
      <c r="R6958" s="210"/>
      <c r="S6958" s="232"/>
      <c r="T6958" s="270"/>
    </row>
    <row r="6959" spans="14:20" x14ac:dyDescent="0.25">
      <c r="N6959" s="362"/>
      <c r="R6959" s="210"/>
      <c r="S6959" s="232"/>
      <c r="T6959" s="270"/>
    </row>
    <row r="6960" spans="14:20" x14ac:dyDescent="0.25">
      <c r="N6960" s="362"/>
      <c r="R6960" s="210"/>
      <c r="S6960" s="232"/>
      <c r="T6960" s="270"/>
    </row>
    <row r="6961" spans="14:20" x14ac:dyDescent="0.25">
      <c r="N6961" s="362"/>
      <c r="R6961" s="210"/>
      <c r="S6961" s="232"/>
      <c r="T6961" s="270"/>
    </row>
    <row r="6962" spans="14:20" x14ac:dyDescent="0.25">
      <c r="N6962" s="362"/>
      <c r="R6962" s="210"/>
      <c r="S6962" s="232"/>
      <c r="T6962" s="270"/>
    </row>
    <row r="6963" spans="14:20" x14ac:dyDescent="0.25">
      <c r="N6963" s="362"/>
      <c r="R6963" s="210"/>
      <c r="S6963" s="232"/>
      <c r="T6963" s="270"/>
    </row>
    <row r="6964" spans="14:20" x14ac:dyDescent="0.25">
      <c r="N6964" s="362"/>
      <c r="R6964" s="210"/>
      <c r="S6964" s="232"/>
      <c r="T6964" s="270"/>
    </row>
    <row r="6965" spans="14:20" x14ac:dyDescent="0.25">
      <c r="N6965" s="362"/>
      <c r="R6965" s="210"/>
      <c r="S6965" s="232"/>
      <c r="T6965" s="270"/>
    </row>
    <row r="6966" spans="14:20" x14ac:dyDescent="0.25">
      <c r="N6966" s="362"/>
      <c r="R6966" s="210"/>
      <c r="S6966" s="232"/>
      <c r="T6966" s="270"/>
    </row>
    <row r="6967" spans="14:20" x14ac:dyDescent="0.25">
      <c r="N6967" s="362"/>
      <c r="R6967" s="210"/>
      <c r="S6967" s="232"/>
      <c r="T6967" s="270"/>
    </row>
    <row r="6968" spans="14:20" x14ac:dyDescent="0.25">
      <c r="N6968" s="362"/>
      <c r="R6968" s="210"/>
      <c r="S6968" s="232"/>
      <c r="T6968" s="270"/>
    </row>
    <row r="6969" spans="14:20" x14ac:dyDescent="0.25">
      <c r="N6969" s="362"/>
      <c r="R6969" s="210"/>
      <c r="S6969" s="232"/>
      <c r="T6969" s="270"/>
    </row>
    <row r="6970" spans="14:20" x14ac:dyDescent="0.25">
      <c r="N6970" s="362"/>
      <c r="R6970" s="210"/>
      <c r="S6970" s="232"/>
      <c r="T6970" s="270"/>
    </row>
    <row r="6971" spans="14:20" x14ac:dyDescent="0.25">
      <c r="N6971" s="362"/>
      <c r="R6971" s="210"/>
      <c r="S6971" s="232"/>
      <c r="T6971" s="270"/>
    </row>
    <row r="6972" spans="14:20" x14ac:dyDescent="0.25">
      <c r="N6972" s="362"/>
      <c r="R6972" s="210"/>
      <c r="S6972" s="232"/>
      <c r="T6972" s="270"/>
    </row>
    <row r="6973" spans="14:20" x14ac:dyDescent="0.25">
      <c r="N6973" s="362"/>
      <c r="R6973" s="210"/>
      <c r="S6973" s="232"/>
      <c r="T6973" s="270"/>
    </row>
    <row r="6974" spans="14:20" x14ac:dyDescent="0.25">
      <c r="N6974" s="362"/>
      <c r="R6974" s="210"/>
      <c r="S6974" s="232"/>
      <c r="T6974" s="270"/>
    </row>
    <row r="6975" spans="14:20" x14ac:dyDescent="0.25">
      <c r="N6975" s="362"/>
      <c r="R6975" s="210"/>
      <c r="S6975" s="232"/>
      <c r="T6975" s="270"/>
    </row>
    <row r="6976" spans="14:20" x14ac:dyDescent="0.25">
      <c r="N6976" s="362"/>
      <c r="R6976" s="210"/>
      <c r="S6976" s="232"/>
      <c r="T6976" s="270"/>
    </row>
    <row r="6977" spans="14:20" x14ac:dyDescent="0.25">
      <c r="N6977" s="362"/>
      <c r="R6977" s="210"/>
      <c r="S6977" s="232"/>
      <c r="T6977" s="270"/>
    </row>
    <row r="6978" spans="14:20" x14ac:dyDescent="0.25">
      <c r="N6978" s="362"/>
      <c r="R6978" s="210"/>
      <c r="S6978" s="232"/>
      <c r="T6978" s="270"/>
    </row>
    <row r="6979" spans="14:20" x14ac:dyDescent="0.25">
      <c r="N6979" s="362"/>
      <c r="R6979" s="210"/>
      <c r="S6979" s="232"/>
      <c r="T6979" s="270"/>
    </row>
    <row r="6980" spans="14:20" x14ac:dyDescent="0.25">
      <c r="N6980" s="362"/>
      <c r="R6980" s="210"/>
      <c r="S6980" s="232"/>
      <c r="T6980" s="270"/>
    </row>
    <row r="6981" spans="14:20" x14ac:dyDescent="0.25">
      <c r="N6981" s="362"/>
      <c r="R6981" s="210"/>
      <c r="S6981" s="232"/>
      <c r="T6981" s="270"/>
    </row>
    <row r="6982" spans="14:20" x14ac:dyDescent="0.25">
      <c r="N6982" s="362"/>
      <c r="R6982" s="210"/>
      <c r="S6982" s="232"/>
      <c r="T6982" s="270"/>
    </row>
    <row r="6983" spans="14:20" x14ac:dyDescent="0.25">
      <c r="N6983" s="362"/>
      <c r="R6983" s="210"/>
      <c r="S6983" s="232"/>
      <c r="T6983" s="270"/>
    </row>
    <row r="6984" spans="14:20" x14ac:dyDescent="0.25">
      <c r="N6984" s="362"/>
      <c r="R6984" s="210"/>
      <c r="S6984" s="232"/>
      <c r="T6984" s="270"/>
    </row>
    <row r="6985" spans="14:20" x14ac:dyDescent="0.25">
      <c r="N6985" s="362"/>
      <c r="R6985" s="210"/>
      <c r="S6985" s="232"/>
      <c r="T6985" s="270"/>
    </row>
    <row r="6986" spans="14:20" x14ac:dyDescent="0.25">
      <c r="N6986" s="362"/>
      <c r="R6986" s="210"/>
      <c r="S6986" s="232"/>
      <c r="T6986" s="270"/>
    </row>
    <row r="6987" spans="14:20" x14ac:dyDescent="0.25">
      <c r="N6987" s="362"/>
      <c r="R6987" s="210"/>
      <c r="S6987" s="232"/>
      <c r="T6987" s="270"/>
    </row>
    <row r="6988" spans="14:20" x14ac:dyDescent="0.25">
      <c r="N6988" s="362"/>
      <c r="R6988" s="210"/>
      <c r="S6988" s="232"/>
      <c r="T6988" s="270"/>
    </row>
    <row r="6989" spans="14:20" x14ac:dyDescent="0.25">
      <c r="N6989" s="362"/>
      <c r="R6989" s="210"/>
      <c r="S6989" s="232"/>
      <c r="T6989" s="270"/>
    </row>
    <row r="6990" spans="14:20" x14ac:dyDescent="0.25">
      <c r="N6990" s="362"/>
      <c r="R6990" s="210"/>
      <c r="S6990" s="232"/>
      <c r="T6990" s="270"/>
    </row>
    <row r="6991" spans="14:20" x14ac:dyDescent="0.25">
      <c r="N6991" s="362"/>
      <c r="R6991" s="210"/>
      <c r="S6991" s="232"/>
      <c r="T6991" s="270"/>
    </row>
    <row r="6992" spans="14:20" x14ac:dyDescent="0.25">
      <c r="N6992" s="362"/>
      <c r="R6992" s="210"/>
      <c r="S6992" s="232"/>
      <c r="T6992" s="270"/>
    </row>
    <row r="6993" spans="14:20" x14ac:dyDescent="0.25">
      <c r="N6993" s="362"/>
      <c r="R6993" s="210"/>
      <c r="S6993" s="232"/>
      <c r="T6993" s="270"/>
    </row>
    <row r="6994" spans="14:20" x14ac:dyDescent="0.25">
      <c r="N6994" s="362"/>
      <c r="R6994" s="210"/>
      <c r="S6994" s="232"/>
      <c r="T6994" s="270"/>
    </row>
    <row r="6995" spans="14:20" x14ac:dyDescent="0.25">
      <c r="N6995" s="362"/>
      <c r="R6995" s="210"/>
      <c r="S6995" s="232"/>
      <c r="T6995" s="270"/>
    </row>
    <row r="6996" spans="14:20" x14ac:dyDescent="0.25">
      <c r="N6996" s="362"/>
      <c r="R6996" s="210"/>
      <c r="S6996" s="232"/>
      <c r="T6996" s="270"/>
    </row>
    <row r="6997" spans="14:20" x14ac:dyDescent="0.25">
      <c r="N6997" s="362"/>
      <c r="R6997" s="210"/>
      <c r="S6997" s="232"/>
      <c r="T6997" s="270"/>
    </row>
    <row r="6998" spans="14:20" x14ac:dyDescent="0.25">
      <c r="N6998" s="362"/>
      <c r="R6998" s="210"/>
      <c r="S6998" s="232"/>
      <c r="T6998" s="270"/>
    </row>
    <row r="6999" spans="14:20" x14ac:dyDescent="0.25">
      <c r="N6999" s="362"/>
      <c r="R6999" s="210"/>
      <c r="S6999" s="232"/>
      <c r="T6999" s="270"/>
    </row>
    <row r="7000" spans="14:20" x14ac:dyDescent="0.25">
      <c r="N7000" s="362"/>
      <c r="R7000" s="210"/>
      <c r="S7000" s="232"/>
      <c r="T7000" s="270"/>
    </row>
    <row r="7001" spans="14:20" x14ac:dyDescent="0.25">
      <c r="N7001" s="362"/>
      <c r="R7001" s="210"/>
      <c r="S7001" s="232"/>
      <c r="T7001" s="270"/>
    </row>
    <row r="7002" spans="14:20" x14ac:dyDescent="0.25">
      <c r="N7002" s="362"/>
      <c r="R7002" s="210"/>
      <c r="S7002" s="232"/>
      <c r="T7002" s="270"/>
    </row>
    <row r="7003" spans="14:20" x14ac:dyDescent="0.25">
      <c r="N7003" s="362"/>
      <c r="R7003" s="210"/>
      <c r="S7003" s="232"/>
      <c r="T7003" s="270"/>
    </row>
    <row r="7004" spans="14:20" x14ac:dyDescent="0.25">
      <c r="N7004" s="362"/>
      <c r="R7004" s="210"/>
      <c r="S7004" s="232"/>
      <c r="T7004" s="270"/>
    </row>
    <row r="7005" spans="14:20" x14ac:dyDescent="0.25">
      <c r="N7005" s="362"/>
      <c r="R7005" s="210"/>
      <c r="S7005" s="232"/>
      <c r="T7005" s="270"/>
    </row>
    <row r="7006" spans="14:20" x14ac:dyDescent="0.25">
      <c r="N7006" s="362"/>
      <c r="R7006" s="210"/>
      <c r="S7006" s="232"/>
      <c r="T7006" s="270"/>
    </row>
    <row r="7007" spans="14:20" x14ac:dyDescent="0.25">
      <c r="N7007" s="362"/>
      <c r="R7007" s="210"/>
      <c r="S7007" s="232"/>
      <c r="T7007" s="270"/>
    </row>
    <row r="7008" spans="14:20" x14ac:dyDescent="0.25">
      <c r="N7008" s="362"/>
      <c r="R7008" s="210"/>
      <c r="S7008" s="232"/>
      <c r="T7008" s="270"/>
    </row>
    <row r="7009" spans="14:20" x14ac:dyDescent="0.25">
      <c r="N7009" s="362"/>
      <c r="R7009" s="210"/>
      <c r="S7009" s="232"/>
      <c r="T7009" s="270"/>
    </row>
    <row r="7010" spans="14:20" x14ac:dyDescent="0.25">
      <c r="N7010" s="362"/>
      <c r="R7010" s="210"/>
      <c r="S7010" s="232"/>
      <c r="T7010" s="270"/>
    </row>
    <row r="7011" spans="14:20" x14ac:dyDescent="0.25">
      <c r="N7011" s="362"/>
      <c r="R7011" s="210"/>
      <c r="S7011" s="232"/>
      <c r="T7011" s="270"/>
    </row>
    <row r="7012" spans="14:20" x14ac:dyDescent="0.25">
      <c r="N7012" s="362"/>
      <c r="R7012" s="210"/>
      <c r="S7012" s="232"/>
      <c r="T7012" s="270"/>
    </row>
    <row r="7013" spans="14:20" x14ac:dyDescent="0.25">
      <c r="N7013" s="362"/>
      <c r="R7013" s="210"/>
      <c r="S7013" s="232"/>
      <c r="T7013" s="270"/>
    </row>
    <row r="7014" spans="14:20" x14ac:dyDescent="0.25">
      <c r="N7014" s="362"/>
      <c r="R7014" s="210"/>
      <c r="S7014" s="232"/>
      <c r="T7014" s="270"/>
    </row>
    <row r="7015" spans="14:20" x14ac:dyDescent="0.25">
      <c r="N7015" s="362"/>
      <c r="R7015" s="210"/>
      <c r="S7015" s="232"/>
      <c r="T7015" s="270"/>
    </row>
    <row r="7016" spans="14:20" x14ac:dyDescent="0.25">
      <c r="N7016" s="362"/>
      <c r="R7016" s="210"/>
      <c r="S7016" s="232"/>
      <c r="T7016" s="270"/>
    </row>
    <row r="7017" spans="14:20" x14ac:dyDescent="0.25">
      <c r="N7017" s="362"/>
      <c r="R7017" s="210"/>
      <c r="S7017" s="232"/>
      <c r="T7017" s="270"/>
    </row>
    <row r="7018" spans="14:20" x14ac:dyDescent="0.25">
      <c r="N7018" s="362"/>
      <c r="R7018" s="210"/>
      <c r="S7018" s="232"/>
      <c r="T7018" s="270"/>
    </row>
    <row r="7019" spans="14:20" x14ac:dyDescent="0.25">
      <c r="N7019" s="362"/>
      <c r="R7019" s="210"/>
      <c r="S7019" s="232"/>
      <c r="T7019" s="270"/>
    </row>
    <row r="7020" spans="14:20" x14ac:dyDescent="0.25">
      <c r="N7020" s="362"/>
      <c r="R7020" s="210"/>
      <c r="S7020" s="232"/>
      <c r="T7020" s="270"/>
    </row>
    <row r="7021" spans="14:20" x14ac:dyDescent="0.25">
      <c r="N7021" s="362"/>
      <c r="R7021" s="210"/>
      <c r="S7021" s="232"/>
      <c r="T7021" s="270"/>
    </row>
    <row r="7022" spans="14:20" x14ac:dyDescent="0.25">
      <c r="N7022" s="362"/>
      <c r="R7022" s="210"/>
      <c r="S7022" s="232"/>
      <c r="T7022" s="270"/>
    </row>
    <row r="7023" spans="14:20" x14ac:dyDescent="0.25">
      <c r="N7023" s="362"/>
      <c r="R7023" s="210"/>
      <c r="S7023" s="232"/>
      <c r="T7023" s="270"/>
    </row>
    <row r="7024" spans="14:20" x14ac:dyDescent="0.25">
      <c r="N7024" s="362"/>
      <c r="R7024" s="210"/>
      <c r="S7024" s="232"/>
      <c r="T7024" s="270"/>
    </row>
    <row r="7025" spans="14:20" x14ac:dyDescent="0.25">
      <c r="N7025" s="362"/>
      <c r="R7025" s="210"/>
      <c r="S7025" s="232"/>
      <c r="T7025" s="270"/>
    </row>
    <row r="7026" spans="14:20" x14ac:dyDescent="0.25">
      <c r="N7026" s="362"/>
      <c r="R7026" s="210"/>
      <c r="S7026" s="232"/>
      <c r="T7026" s="270"/>
    </row>
    <row r="7027" spans="14:20" x14ac:dyDescent="0.25">
      <c r="N7027" s="362"/>
      <c r="R7027" s="210"/>
      <c r="S7027" s="232"/>
      <c r="T7027" s="270"/>
    </row>
    <row r="7028" spans="14:20" x14ac:dyDescent="0.25">
      <c r="N7028" s="362"/>
      <c r="R7028" s="210"/>
      <c r="S7028" s="232"/>
      <c r="T7028" s="270"/>
    </row>
    <row r="7029" spans="14:20" x14ac:dyDescent="0.25">
      <c r="N7029" s="362"/>
      <c r="R7029" s="210"/>
      <c r="S7029" s="232"/>
      <c r="T7029" s="270"/>
    </row>
    <row r="7030" spans="14:20" x14ac:dyDescent="0.25">
      <c r="N7030" s="362"/>
      <c r="R7030" s="210"/>
      <c r="S7030" s="232"/>
      <c r="T7030" s="270"/>
    </row>
    <row r="7031" spans="14:20" x14ac:dyDescent="0.25">
      <c r="N7031" s="362"/>
      <c r="R7031" s="210"/>
      <c r="S7031" s="232"/>
      <c r="T7031" s="270"/>
    </row>
    <row r="7032" spans="14:20" x14ac:dyDescent="0.25">
      <c r="N7032" s="362"/>
      <c r="R7032" s="210"/>
      <c r="S7032" s="232"/>
      <c r="T7032" s="270"/>
    </row>
    <row r="7033" spans="14:20" x14ac:dyDescent="0.25">
      <c r="N7033" s="362"/>
      <c r="R7033" s="210"/>
      <c r="S7033" s="232"/>
      <c r="T7033" s="270"/>
    </row>
    <row r="7034" spans="14:20" x14ac:dyDescent="0.25">
      <c r="N7034" s="362"/>
      <c r="R7034" s="210"/>
      <c r="S7034" s="232"/>
      <c r="T7034" s="270"/>
    </row>
    <row r="7035" spans="14:20" x14ac:dyDescent="0.25">
      <c r="N7035" s="362"/>
      <c r="R7035" s="210"/>
      <c r="S7035" s="232"/>
      <c r="T7035" s="270"/>
    </row>
    <row r="7036" spans="14:20" x14ac:dyDescent="0.25">
      <c r="N7036" s="362"/>
      <c r="R7036" s="210"/>
      <c r="S7036" s="232"/>
      <c r="T7036" s="270"/>
    </row>
    <row r="7037" spans="14:20" x14ac:dyDescent="0.25">
      <c r="N7037" s="362"/>
      <c r="R7037" s="210"/>
      <c r="S7037" s="232"/>
      <c r="T7037" s="270"/>
    </row>
    <row r="7038" spans="14:20" x14ac:dyDescent="0.25">
      <c r="N7038" s="362"/>
      <c r="R7038" s="210"/>
      <c r="S7038" s="232"/>
      <c r="T7038" s="270"/>
    </row>
    <row r="7039" spans="14:20" x14ac:dyDescent="0.25">
      <c r="N7039" s="362"/>
      <c r="R7039" s="210"/>
      <c r="S7039" s="232"/>
      <c r="T7039" s="270"/>
    </row>
    <row r="7040" spans="14:20" x14ac:dyDescent="0.25">
      <c r="N7040" s="362"/>
      <c r="R7040" s="210"/>
      <c r="S7040" s="232"/>
      <c r="T7040" s="270"/>
    </row>
    <row r="7041" spans="14:20" x14ac:dyDescent="0.25">
      <c r="N7041" s="362"/>
      <c r="R7041" s="210"/>
      <c r="S7041" s="232"/>
      <c r="T7041" s="270"/>
    </row>
    <row r="7042" spans="14:20" x14ac:dyDescent="0.25">
      <c r="N7042" s="362"/>
      <c r="R7042" s="210"/>
      <c r="S7042" s="232"/>
      <c r="T7042" s="270"/>
    </row>
    <row r="7043" spans="14:20" x14ac:dyDescent="0.25">
      <c r="N7043" s="362"/>
      <c r="R7043" s="210"/>
      <c r="S7043" s="232"/>
      <c r="T7043" s="270"/>
    </row>
    <row r="7044" spans="14:20" x14ac:dyDescent="0.25">
      <c r="N7044" s="362"/>
      <c r="R7044" s="210"/>
      <c r="S7044" s="232"/>
      <c r="T7044" s="270"/>
    </row>
    <row r="7045" spans="14:20" x14ac:dyDescent="0.25">
      <c r="N7045" s="362"/>
      <c r="R7045" s="210"/>
      <c r="S7045" s="232"/>
      <c r="T7045" s="270"/>
    </row>
    <row r="7046" spans="14:20" x14ac:dyDescent="0.25">
      <c r="N7046" s="362"/>
      <c r="R7046" s="210"/>
      <c r="S7046" s="232"/>
      <c r="T7046" s="270"/>
    </row>
    <row r="7047" spans="14:20" x14ac:dyDescent="0.25">
      <c r="N7047" s="362"/>
      <c r="R7047" s="210"/>
      <c r="S7047" s="232"/>
      <c r="T7047" s="270"/>
    </row>
    <row r="7048" spans="14:20" x14ac:dyDescent="0.25">
      <c r="N7048" s="362"/>
      <c r="R7048" s="210"/>
      <c r="S7048" s="232"/>
      <c r="T7048" s="270"/>
    </row>
    <row r="7049" spans="14:20" x14ac:dyDescent="0.25">
      <c r="N7049" s="362"/>
      <c r="R7049" s="210"/>
      <c r="S7049" s="232"/>
      <c r="T7049" s="270"/>
    </row>
    <row r="7050" spans="14:20" x14ac:dyDescent="0.25">
      <c r="N7050" s="362"/>
      <c r="R7050" s="210"/>
      <c r="S7050" s="232"/>
      <c r="T7050" s="270"/>
    </row>
    <row r="7051" spans="14:20" x14ac:dyDescent="0.25">
      <c r="N7051" s="362"/>
      <c r="R7051" s="210"/>
      <c r="S7051" s="232"/>
      <c r="T7051" s="270"/>
    </row>
    <row r="7052" spans="14:20" x14ac:dyDescent="0.25">
      <c r="N7052" s="362"/>
      <c r="R7052" s="210"/>
      <c r="S7052" s="232"/>
      <c r="T7052" s="270"/>
    </row>
    <row r="7053" spans="14:20" x14ac:dyDescent="0.25">
      <c r="N7053" s="362"/>
      <c r="R7053" s="210"/>
      <c r="S7053" s="232"/>
      <c r="T7053" s="270"/>
    </row>
    <row r="7054" spans="14:20" x14ac:dyDescent="0.25">
      <c r="N7054" s="362"/>
      <c r="R7054" s="210"/>
      <c r="S7054" s="232"/>
      <c r="T7054" s="270"/>
    </row>
    <row r="7055" spans="14:20" x14ac:dyDescent="0.25">
      <c r="N7055" s="362"/>
      <c r="R7055" s="210"/>
      <c r="S7055" s="232"/>
      <c r="T7055" s="270"/>
    </row>
    <row r="7056" spans="14:20" x14ac:dyDescent="0.25">
      <c r="N7056" s="362"/>
      <c r="R7056" s="210"/>
      <c r="S7056" s="232"/>
      <c r="T7056" s="270"/>
    </row>
    <row r="7057" spans="14:20" x14ac:dyDescent="0.25">
      <c r="N7057" s="362"/>
      <c r="R7057" s="210"/>
      <c r="S7057" s="232"/>
      <c r="T7057" s="270"/>
    </row>
    <row r="7058" spans="14:20" x14ac:dyDescent="0.25">
      <c r="N7058" s="362"/>
      <c r="R7058" s="210"/>
      <c r="S7058" s="232"/>
      <c r="T7058" s="270"/>
    </row>
    <row r="7059" spans="14:20" x14ac:dyDescent="0.25">
      <c r="N7059" s="362"/>
      <c r="R7059" s="210"/>
      <c r="S7059" s="232"/>
      <c r="T7059" s="270"/>
    </row>
    <row r="7060" spans="14:20" x14ac:dyDescent="0.25">
      <c r="N7060" s="362"/>
      <c r="R7060" s="210"/>
      <c r="S7060" s="232"/>
      <c r="T7060" s="270"/>
    </row>
    <row r="7061" spans="14:20" x14ac:dyDescent="0.25">
      <c r="N7061" s="362"/>
      <c r="R7061" s="210"/>
      <c r="S7061" s="232"/>
      <c r="T7061" s="270"/>
    </row>
    <row r="7062" spans="14:20" x14ac:dyDescent="0.25">
      <c r="N7062" s="362"/>
      <c r="R7062" s="210"/>
      <c r="S7062" s="232"/>
      <c r="T7062" s="270"/>
    </row>
    <row r="7063" spans="14:20" x14ac:dyDescent="0.25">
      <c r="N7063" s="362"/>
      <c r="R7063" s="210"/>
      <c r="S7063" s="232"/>
      <c r="T7063" s="270"/>
    </row>
    <row r="7064" spans="14:20" x14ac:dyDescent="0.25">
      <c r="N7064" s="362"/>
      <c r="R7064" s="210"/>
      <c r="S7064" s="232"/>
      <c r="T7064" s="270"/>
    </row>
    <row r="7065" spans="14:20" x14ac:dyDescent="0.25">
      <c r="N7065" s="362"/>
      <c r="R7065" s="210"/>
      <c r="S7065" s="232"/>
      <c r="T7065" s="270"/>
    </row>
    <row r="7066" spans="14:20" x14ac:dyDescent="0.25">
      <c r="N7066" s="362"/>
      <c r="R7066" s="210"/>
      <c r="S7066" s="232"/>
      <c r="T7066" s="270"/>
    </row>
    <row r="7067" spans="14:20" x14ac:dyDescent="0.25">
      <c r="N7067" s="362"/>
      <c r="R7067" s="210"/>
      <c r="S7067" s="232"/>
      <c r="T7067" s="270"/>
    </row>
    <row r="7068" spans="14:20" x14ac:dyDescent="0.25">
      <c r="N7068" s="362"/>
      <c r="R7068" s="210"/>
      <c r="S7068" s="232"/>
      <c r="T7068" s="270"/>
    </row>
    <row r="7069" spans="14:20" x14ac:dyDescent="0.25">
      <c r="N7069" s="362"/>
      <c r="R7069" s="210"/>
      <c r="S7069" s="232"/>
      <c r="T7069" s="270"/>
    </row>
    <row r="7070" spans="14:20" x14ac:dyDescent="0.25">
      <c r="N7070" s="362"/>
      <c r="R7070" s="210"/>
      <c r="S7070" s="232"/>
      <c r="T7070" s="270"/>
    </row>
    <row r="7071" spans="14:20" x14ac:dyDescent="0.25">
      <c r="N7071" s="362"/>
      <c r="R7071" s="210"/>
      <c r="S7071" s="232"/>
      <c r="T7071" s="270"/>
    </row>
    <row r="7072" spans="14:20" x14ac:dyDescent="0.25">
      <c r="N7072" s="362"/>
      <c r="R7072" s="210"/>
      <c r="S7072" s="232"/>
      <c r="T7072" s="270"/>
    </row>
    <row r="7073" spans="14:20" x14ac:dyDescent="0.25">
      <c r="N7073" s="362"/>
      <c r="R7073" s="210"/>
      <c r="S7073" s="232"/>
      <c r="T7073" s="270"/>
    </row>
    <row r="7074" spans="14:20" x14ac:dyDescent="0.25">
      <c r="N7074" s="362"/>
      <c r="R7074" s="210"/>
      <c r="S7074" s="232"/>
      <c r="T7074" s="270"/>
    </row>
    <row r="7075" spans="14:20" x14ac:dyDescent="0.25">
      <c r="N7075" s="362"/>
      <c r="R7075" s="210"/>
      <c r="S7075" s="232"/>
      <c r="T7075" s="270"/>
    </row>
    <row r="7076" spans="14:20" x14ac:dyDescent="0.25">
      <c r="N7076" s="362"/>
      <c r="R7076" s="210"/>
      <c r="S7076" s="232"/>
      <c r="T7076" s="270"/>
    </row>
    <row r="7077" spans="14:20" x14ac:dyDescent="0.25">
      <c r="N7077" s="362"/>
      <c r="R7077" s="210"/>
      <c r="S7077" s="232"/>
      <c r="T7077" s="270"/>
    </row>
    <row r="7078" spans="14:20" x14ac:dyDescent="0.25">
      <c r="N7078" s="362"/>
      <c r="R7078" s="210"/>
      <c r="S7078" s="232"/>
      <c r="T7078" s="270"/>
    </row>
    <row r="7079" spans="14:20" x14ac:dyDescent="0.25">
      <c r="N7079" s="362"/>
      <c r="R7079" s="210"/>
      <c r="S7079" s="232"/>
      <c r="T7079" s="270"/>
    </row>
    <row r="7080" spans="14:20" x14ac:dyDescent="0.25">
      <c r="N7080" s="362"/>
      <c r="R7080" s="210"/>
      <c r="S7080" s="232"/>
      <c r="T7080" s="270"/>
    </row>
    <row r="7081" spans="14:20" x14ac:dyDescent="0.25">
      <c r="N7081" s="362"/>
      <c r="R7081" s="210"/>
      <c r="S7081" s="232"/>
      <c r="T7081" s="270"/>
    </row>
    <row r="7082" spans="14:20" x14ac:dyDescent="0.25">
      <c r="N7082" s="362"/>
      <c r="R7082" s="210"/>
      <c r="S7082" s="232"/>
      <c r="T7082" s="270"/>
    </row>
    <row r="7083" spans="14:20" x14ac:dyDescent="0.25">
      <c r="N7083" s="362"/>
      <c r="R7083" s="210"/>
      <c r="S7083" s="232"/>
      <c r="T7083" s="270"/>
    </row>
    <row r="7084" spans="14:20" x14ac:dyDescent="0.25">
      <c r="N7084" s="362"/>
      <c r="R7084" s="210"/>
      <c r="S7084" s="232"/>
      <c r="T7084" s="270"/>
    </row>
    <row r="7085" spans="14:20" x14ac:dyDescent="0.25">
      <c r="N7085" s="362"/>
      <c r="R7085" s="210"/>
      <c r="S7085" s="232"/>
      <c r="T7085" s="270"/>
    </row>
    <row r="7086" spans="14:20" x14ac:dyDescent="0.25">
      <c r="N7086" s="362"/>
      <c r="R7086" s="210"/>
      <c r="S7086" s="232"/>
      <c r="T7086" s="270"/>
    </row>
    <row r="7087" spans="14:20" x14ac:dyDescent="0.25">
      <c r="N7087" s="362"/>
      <c r="R7087" s="210"/>
      <c r="S7087" s="232"/>
      <c r="T7087" s="270"/>
    </row>
    <row r="7088" spans="14:20" x14ac:dyDescent="0.25">
      <c r="N7088" s="362"/>
      <c r="R7088" s="210"/>
      <c r="S7088" s="232"/>
      <c r="T7088" s="270"/>
    </row>
    <row r="7089" spans="14:20" x14ac:dyDescent="0.25">
      <c r="N7089" s="362"/>
      <c r="R7089" s="210"/>
      <c r="S7089" s="232"/>
      <c r="T7089" s="270"/>
    </row>
    <row r="7090" spans="14:20" x14ac:dyDescent="0.25">
      <c r="N7090" s="362"/>
      <c r="R7090" s="210"/>
      <c r="S7090" s="232"/>
      <c r="T7090" s="270"/>
    </row>
    <row r="7091" spans="14:20" x14ac:dyDescent="0.25">
      <c r="N7091" s="362"/>
      <c r="R7091" s="210"/>
      <c r="S7091" s="232"/>
      <c r="T7091" s="270"/>
    </row>
    <row r="7092" spans="14:20" x14ac:dyDescent="0.25">
      <c r="N7092" s="362"/>
      <c r="R7092" s="210"/>
      <c r="S7092" s="232"/>
      <c r="T7092" s="270"/>
    </row>
    <row r="7093" spans="14:20" x14ac:dyDescent="0.25">
      <c r="N7093" s="362"/>
      <c r="R7093" s="210"/>
      <c r="S7093" s="232"/>
      <c r="T7093" s="270"/>
    </row>
    <row r="7094" spans="14:20" x14ac:dyDescent="0.25">
      <c r="N7094" s="362"/>
      <c r="R7094" s="210"/>
      <c r="S7094" s="232"/>
      <c r="T7094" s="270"/>
    </row>
    <row r="7095" spans="14:20" x14ac:dyDescent="0.25">
      <c r="N7095" s="362"/>
      <c r="R7095" s="210"/>
      <c r="S7095" s="232"/>
      <c r="T7095" s="270"/>
    </row>
    <row r="7096" spans="14:20" x14ac:dyDescent="0.25">
      <c r="N7096" s="362"/>
      <c r="R7096" s="210"/>
      <c r="S7096" s="232"/>
      <c r="T7096" s="270"/>
    </row>
    <row r="7097" spans="14:20" x14ac:dyDescent="0.25">
      <c r="N7097" s="362"/>
      <c r="R7097" s="210"/>
      <c r="S7097" s="232"/>
      <c r="T7097" s="270"/>
    </row>
    <row r="7098" spans="14:20" x14ac:dyDescent="0.25">
      <c r="N7098" s="362"/>
      <c r="R7098" s="210"/>
      <c r="S7098" s="232"/>
      <c r="T7098" s="270"/>
    </row>
    <row r="7099" spans="14:20" x14ac:dyDescent="0.25">
      <c r="N7099" s="362"/>
      <c r="R7099" s="210"/>
      <c r="S7099" s="232"/>
      <c r="T7099" s="270"/>
    </row>
    <row r="7100" spans="14:20" x14ac:dyDescent="0.25">
      <c r="N7100" s="362"/>
      <c r="R7100" s="210"/>
      <c r="S7100" s="232"/>
      <c r="T7100" s="270"/>
    </row>
    <row r="7101" spans="14:20" x14ac:dyDescent="0.25">
      <c r="N7101" s="362"/>
      <c r="R7101" s="210"/>
      <c r="S7101" s="232"/>
      <c r="T7101" s="270"/>
    </row>
    <row r="7102" spans="14:20" x14ac:dyDescent="0.25">
      <c r="N7102" s="362"/>
      <c r="R7102" s="210"/>
      <c r="S7102" s="232"/>
      <c r="T7102" s="270"/>
    </row>
    <row r="7103" spans="14:20" x14ac:dyDescent="0.25">
      <c r="N7103" s="362"/>
      <c r="R7103" s="210"/>
      <c r="S7103" s="232"/>
      <c r="T7103" s="270"/>
    </row>
    <row r="7104" spans="14:20" x14ac:dyDescent="0.25">
      <c r="N7104" s="362"/>
      <c r="R7104" s="210"/>
      <c r="S7104" s="232"/>
      <c r="T7104" s="270"/>
    </row>
    <row r="7105" spans="14:20" x14ac:dyDescent="0.25">
      <c r="N7105" s="362"/>
      <c r="R7105" s="210"/>
      <c r="S7105" s="232"/>
      <c r="T7105" s="270"/>
    </row>
    <row r="7106" spans="14:20" x14ac:dyDescent="0.25">
      <c r="N7106" s="362"/>
      <c r="R7106" s="210"/>
      <c r="S7106" s="232"/>
      <c r="T7106" s="270"/>
    </row>
    <row r="7107" spans="14:20" x14ac:dyDescent="0.25">
      <c r="N7107" s="362"/>
      <c r="R7107" s="210"/>
      <c r="S7107" s="232"/>
      <c r="T7107" s="270"/>
    </row>
    <row r="7108" spans="14:20" x14ac:dyDescent="0.25">
      <c r="N7108" s="362"/>
      <c r="R7108" s="210"/>
      <c r="S7108" s="232"/>
      <c r="T7108" s="270"/>
    </row>
    <row r="7109" spans="14:20" x14ac:dyDescent="0.25">
      <c r="N7109" s="362"/>
      <c r="R7109" s="210"/>
      <c r="S7109" s="232"/>
      <c r="T7109" s="270"/>
    </row>
    <row r="7110" spans="14:20" x14ac:dyDescent="0.25">
      <c r="N7110" s="362"/>
      <c r="R7110" s="210"/>
      <c r="S7110" s="232"/>
      <c r="T7110" s="270"/>
    </row>
    <row r="7111" spans="14:20" x14ac:dyDescent="0.25">
      <c r="N7111" s="362"/>
      <c r="R7111" s="210"/>
      <c r="S7111" s="232"/>
      <c r="T7111" s="270"/>
    </row>
    <row r="7112" spans="14:20" x14ac:dyDescent="0.25">
      <c r="N7112" s="362"/>
      <c r="R7112" s="210"/>
      <c r="S7112" s="232"/>
      <c r="T7112" s="270"/>
    </row>
    <row r="7113" spans="14:20" x14ac:dyDescent="0.25">
      <c r="N7113" s="362"/>
      <c r="R7113" s="210"/>
      <c r="S7113" s="232"/>
      <c r="T7113" s="270"/>
    </row>
    <row r="7114" spans="14:20" x14ac:dyDescent="0.25">
      <c r="N7114" s="362"/>
      <c r="R7114" s="210"/>
      <c r="S7114" s="232"/>
      <c r="T7114" s="270"/>
    </row>
    <row r="7115" spans="14:20" x14ac:dyDescent="0.25">
      <c r="N7115" s="362"/>
      <c r="R7115" s="210"/>
      <c r="S7115" s="232"/>
      <c r="T7115" s="270"/>
    </row>
    <row r="7116" spans="14:20" x14ac:dyDescent="0.25">
      <c r="N7116" s="362"/>
      <c r="R7116" s="210"/>
      <c r="S7116" s="232"/>
      <c r="T7116" s="270"/>
    </row>
    <row r="7117" spans="14:20" x14ac:dyDescent="0.25">
      <c r="N7117" s="362"/>
      <c r="R7117" s="210"/>
      <c r="S7117" s="232"/>
      <c r="T7117" s="270"/>
    </row>
    <row r="7118" spans="14:20" x14ac:dyDescent="0.25">
      <c r="N7118" s="362"/>
      <c r="R7118" s="210"/>
      <c r="S7118" s="232"/>
      <c r="T7118" s="270"/>
    </row>
    <row r="7119" spans="14:20" x14ac:dyDescent="0.25">
      <c r="N7119" s="362"/>
      <c r="R7119" s="210"/>
      <c r="S7119" s="232"/>
      <c r="T7119" s="270"/>
    </row>
    <row r="7120" spans="14:20" x14ac:dyDescent="0.25">
      <c r="N7120" s="362"/>
      <c r="R7120" s="210"/>
      <c r="S7120" s="232"/>
      <c r="T7120" s="270"/>
    </row>
    <row r="7121" spans="14:20" x14ac:dyDescent="0.25">
      <c r="N7121" s="362"/>
      <c r="R7121" s="210"/>
      <c r="S7121" s="232"/>
      <c r="T7121" s="270"/>
    </row>
    <row r="7122" spans="14:20" x14ac:dyDescent="0.25">
      <c r="N7122" s="362"/>
      <c r="R7122" s="210"/>
      <c r="S7122" s="232"/>
      <c r="T7122" s="270"/>
    </row>
    <row r="7123" spans="14:20" x14ac:dyDescent="0.25">
      <c r="N7123" s="362"/>
      <c r="R7123" s="210"/>
      <c r="S7123" s="232"/>
      <c r="T7123" s="270"/>
    </row>
    <row r="7124" spans="14:20" x14ac:dyDescent="0.25">
      <c r="N7124" s="362"/>
      <c r="R7124" s="210"/>
      <c r="S7124" s="232"/>
      <c r="T7124" s="270"/>
    </row>
    <row r="7125" spans="14:20" x14ac:dyDescent="0.25">
      <c r="N7125" s="362"/>
      <c r="R7125" s="210"/>
      <c r="S7125" s="232"/>
      <c r="T7125" s="270"/>
    </row>
    <row r="7126" spans="14:20" x14ac:dyDescent="0.25">
      <c r="N7126" s="362"/>
      <c r="R7126" s="210"/>
      <c r="S7126" s="232"/>
      <c r="T7126" s="270"/>
    </row>
    <row r="7127" spans="14:20" x14ac:dyDescent="0.25">
      <c r="N7127" s="362"/>
      <c r="R7127" s="210"/>
      <c r="S7127" s="232"/>
      <c r="T7127" s="270"/>
    </row>
    <row r="7128" spans="14:20" x14ac:dyDescent="0.25">
      <c r="N7128" s="362"/>
      <c r="R7128" s="210"/>
      <c r="S7128" s="232"/>
      <c r="T7128" s="270"/>
    </row>
    <row r="7129" spans="14:20" x14ac:dyDescent="0.25">
      <c r="N7129" s="362"/>
      <c r="R7129" s="210"/>
      <c r="S7129" s="232"/>
      <c r="T7129" s="270"/>
    </row>
    <row r="7130" spans="14:20" x14ac:dyDescent="0.25">
      <c r="N7130" s="362"/>
      <c r="R7130" s="210"/>
      <c r="S7130" s="232"/>
      <c r="T7130" s="270"/>
    </row>
    <row r="7131" spans="14:20" x14ac:dyDescent="0.25">
      <c r="N7131" s="362"/>
      <c r="R7131" s="210"/>
      <c r="S7131" s="232"/>
      <c r="T7131" s="270"/>
    </row>
    <row r="7132" spans="14:20" x14ac:dyDescent="0.25">
      <c r="N7132" s="362"/>
      <c r="R7132" s="210"/>
      <c r="S7132" s="232"/>
      <c r="T7132" s="270"/>
    </row>
    <row r="7133" spans="14:20" x14ac:dyDescent="0.25">
      <c r="N7133" s="362"/>
      <c r="R7133" s="210"/>
      <c r="S7133" s="232"/>
      <c r="T7133" s="270"/>
    </row>
    <row r="7134" spans="14:20" x14ac:dyDescent="0.25">
      <c r="N7134" s="362"/>
      <c r="R7134" s="210"/>
      <c r="S7134" s="232"/>
      <c r="T7134" s="270"/>
    </row>
    <row r="7135" spans="14:20" x14ac:dyDescent="0.25">
      <c r="N7135" s="362"/>
      <c r="R7135" s="210"/>
      <c r="S7135" s="232"/>
      <c r="T7135" s="270"/>
    </row>
    <row r="7136" spans="14:20" x14ac:dyDescent="0.25">
      <c r="N7136" s="362"/>
      <c r="R7136" s="210"/>
      <c r="S7136" s="232"/>
      <c r="T7136" s="270"/>
    </row>
    <row r="7137" spans="14:20" x14ac:dyDescent="0.25">
      <c r="N7137" s="362"/>
      <c r="R7137" s="210"/>
      <c r="S7137" s="232"/>
      <c r="T7137" s="270"/>
    </row>
    <row r="7138" spans="14:20" x14ac:dyDescent="0.25">
      <c r="N7138" s="362"/>
      <c r="R7138" s="210"/>
      <c r="S7138" s="232"/>
      <c r="T7138" s="270"/>
    </row>
    <row r="7139" spans="14:20" x14ac:dyDescent="0.25">
      <c r="N7139" s="362"/>
      <c r="R7139" s="210"/>
      <c r="S7139" s="232"/>
      <c r="T7139" s="270"/>
    </row>
    <row r="7140" spans="14:20" x14ac:dyDescent="0.25">
      <c r="N7140" s="362"/>
      <c r="R7140" s="210"/>
      <c r="S7140" s="232"/>
      <c r="T7140" s="270"/>
    </row>
    <row r="7141" spans="14:20" x14ac:dyDescent="0.25">
      <c r="N7141" s="362"/>
      <c r="R7141" s="210"/>
      <c r="S7141" s="232"/>
      <c r="T7141" s="270"/>
    </row>
    <row r="7142" spans="14:20" x14ac:dyDescent="0.25">
      <c r="N7142" s="362"/>
      <c r="R7142" s="210"/>
      <c r="S7142" s="232"/>
      <c r="T7142" s="270"/>
    </row>
    <row r="7143" spans="14:20" x14ac:dyDescent="0.25">
      <c r="N7143" s="362"/>
      <c r="R7143" s="210"/>
      <c r="S7143" s="232"/>
      <c r="T7143" s="270"/>
    </row>
    <row r="7144" spans="14:20" x14ac:dyDescent="0.25">
      <c r="N7144" s="362"/>
      <c r="R7144" s="210"/>
      <c r="S7144" s="232"/>
      <c r="T7144" s="270"/>
    </row>
    <row r="7145" spans="14:20" x14ac:dyDescent="0.25">
      <c r="N7145" s="362"/>
      <c r="R7145" s="210"/>
      <c r="S7145" s="232"/>
      <c r="T7145" s="270"/>
    </row>
    <row r="7146" spans="14:20" x14ac:dyDescent="0.25">
      <c r="N7146" s="362"/>
      <c r="R7146" s="210"/>
      <c r="S7146" s="232"/>
      <c r="T7146" s="270"/>
    </row>
    <row r="7147" spans="14:20" x14ac:dyDescent="0.25">
      <c r="N7147" s="362"/>
      <c r="R7147" s="210"/>
      <c r="S7147" s="232"/>
      <c r="T7147" s="270"/>
    </row>
    <row r="7148" spans="14:20" x14ac:dyDescent="0.25">
      <c r="N7148" s="362"/>
      <c r="R7148" s="210"/>
      <c r="S7148" s="232"/>
      <c r="T7148" s="270"/>
    </row>
    <row r="7149" spans="14:20" x14ac:dyDescent="0.25">
      <c r="N7149" s="362"/>
      <c r="R7149" s="210"/>
      <c r="S7149" s="232"/>
      <c r="T7149" s="270"/>
    </row>
    <row r="7150" spans="14:20" x14ac:dyDescent="0.25">
      <c r="N7150" s="362"/>
      <c r="R7150" s="210"/>
      <c r="S7150" s="232"/>
      <c r="T7150" s="270"/>
    </row>
    <row r="7151" spans="14:20" x14ac:dyDescent="0.25">
      <c r="N7151" s="362"/>
      <c r="R7151" s="210"/>
      <c r="S7151" s="232"/>
      <c r="T7151" s="270"/>
    </row>
    <row r="7152" spans="14:20" x14ac:dyDescent="0.25">
      <c r="N7152" s="362"/>
      <c r="R7152" s="210"/>
      <c r="S7152" s="232"/>
      <c r="T7152" s="270"/>
    </row>
    <row r="7153" spans="14:20" x14ac:dyDescent="0.25">
      <c r="N7153" s="362"/>
      <c r="R7153" s="210"/>
      <c r="S7153" s="232"/>
      <c r="T7153" s="270"/>
    </row>
    <row r="7154" spans="14:20" x14ac:dyDescent="0.25">
      <c r="N7154" s="362"/>
      <c r="R7154" s="210"/>
      <c r="S7154" s="232"/>
      <c r="T7154" s="270"/>
    </row>
    <row r="7155" spans="14:20" x14ac:dyDescent="0.25">
      <c r="N7155" s="362"/>
      <c r="R7155" s="210"/>
      <c r="S7155" s="232"/>
      <c r="T7155" s="270"/>
    </row>
    <row r="7156" spans="14:20" x14ac:dyDescent="0.25">
      <c r="N7156" s="362"/>
      <c r="R7156" s="210"/>
      <c r="S7156" s="232"/>
      <c r="T7156" s="270"/>
    </row>
    <row r="7157" spans="14:20" x14ac:dyDescent="0.25">
      <c r="N7157" s="362"/>
      <c r="R7157" s="210"/>
      <c r="S7157" s="232"/>
      <c r="T7157" s="270"/>
    </row>
    <row r="7158" spans="14:20" x14ac:dyDescent="0.25">
      <c r="N7158" s="362"/>
      <c r="R7158" s="210"/>
      <c r="S7158" s="232"/>
      <c r="T7158" s="270"/>
    </row>
    <row r="7159" spans="14:20" x14ac:dyDescent="0.25">
      <c r="N7159" s="362"/>
      <c r="R7159" s="210"/>
      <c r="S7159" s="232"/>
      <c r="T7159" s="270"/>
    </row>
    <row r="7160" spans="14:20" x14ac:dyDescent="0.25">
      <c r="N7160" s="362"/>
      <c r="R7160" s="210"/>
      <c r="S7160" s="232"/>
      <c r="T7160" s="270"/>
    </row>
    <row r="7161" spans="14:20" x14ac:dyDescent="0.25">
      <c r="N7161" s="362"/>
      <c r="R7161" s="210"/>
      <c r="S7161" s="232"/>
      <c r="T7161" s="270"/>
    </row>
    <row r="7162" spans="14:20" x14ac:dyDescent="0.25">
      <c r="N7162" s="362"/>
      <c r="R7162" s="210"/>
      <c r="S7162" s="232"/>
      <c r="T7162" s="270"/>
    </row>
    <row r="7163" spans="14:20" x14ac:dyDescent="0.25">
      <c r="N7163" s="362"/>
      <c r="R7163" s="210"/>
      <c r="S7163" s="232"/>
      <c r="T7163" s="270"/>
    </row>
    <row r="7164" spans="14:20" x14ac:dyDescent="0.25">
      <c r="N7164" s="362"/>
      <c r="R7164" s="210"/>
      <c r="S7164" s="232"/>
      <c r="T7164" s="270"/>
    </row>
    <row r="7165" spans="14:20" x14ac:dyDescent="0.25">
      <c r="N7165" s="362"/>
      <c r="R7165" s="210"/>
      <c r="S7165" s="232"/>
      <c r="T7165" s="270"/>
    </row>
    <row r="7166" spans="14:20" x14ac:dyDescent="0.25">
      <c r="N7166" s="362"/>
      <c r="R7166" s="210"/>
      <c r="S7166" s="232"/>
      <c r="T7166" s="270"/>
    </row>
    <row r="7167" spans="14:20" x14ac:dyDescent="0.25">
      <c r="N7167" s="362"/>
      <c r="R7167" s="210"/>
      <c r="S7167" s="232"/>
      <c r="T7167" s="270"/>
    </row>
    <row r="7168" spans="14:20" x14ac:dyDescent="0.25">
      <c r="N7168" s="362"/>
      <c r="R7168" s="210"/>
      <c r="S7168" s="232"/>
      <c r="T7168" s="270"/>
    </row>
    <row r="7169" spans="14:20" x14ac:dyDescent="0.25">
      <c r="N7169" s="362"/>
      <c r="R7169" s="210"/>
      <c r="S7169" s="232"/>
      <c r="T7169" s="270"/>
    </row>
    <row r="7170" spans="14:20" x14ac:dyDescent="0.25">
      <c r="N7170" s="362"/>
      <c r="R7170" s="210"/>
      <c r="S7170" s="232"/>
      <c r="T7170" s="270"/>
    </row>
    <row r="7171" spans="14:20" x14ac:dyDescent="0.25">
      <c r="N7171" s="362"/>
      <c r="R7171" s="210"/>
      <c r="S7171" s="232"/>
      <c r="T7171" s="270"/>
    </row>
    <row r="7172" spans="14:20" x14ac:dyDescent="0.25">
      <c r="N7172" s="362"/>
      <c r="R7172" s="210"/>
      <c r="S7172" s="232"/>
      <c r="T7172" s="270"/>
    </row>
    <row r="7173" spans="14:20" x14ac:dyDescent="0.25">
      <c r="N7173" s="362"/>
      <c r="R7173" s="210"/>
      <c r="S7173" s="232"/>
      <c r="T7173" s="270"/>
    </row>
    <row r="7174" spans="14:20" x14ac:dyDescent="0.25">
      <c r="N7174" s="362"/>
      <c r="R7174" s="210"/>
      <c r="S7174" s="232"/>
      <c r="T7174" s="270"/>
    </row>
    <row r="7175" spans="14:20" x14ac:dyDescent="0.25">
      <c r="N7175" s="362"/>
      <c r="R7175" s="210"/>
      <c r="S7175" s="232"/>
      <c r="T7175" s="270"/>
    </row>
    <row r="7176" spans="14:20" x14ac:dyDescent="0.25">
      <c r="N7176" s="362"/>
      <c r="R7176" s="210"/>
      <c r="S7176" s="232"/>
      <c r="T7176" s="270"/>
    </row>
    <row r="7177" spans="14:20" x14ac:dyDescent="0.25">
      <c r="N7177" s="362"/>
      <c r="R7177" s="210"/>
      <c r="S7177" s="232"/>
      <c r="T7177" s="270"/>
    </row>
    <row r="7178" spans="14:20" x14ac:dyDescent="0.25">
      <c r="N7178" s="362"/>
      <c r="R7178" s="210"/>
      <c r="S7178" s="232"/>
      <c r="T7178" s="270"/>
    </row>
    <row r="7179" spans="14:20" x14ac:dyDescent="0.25">
      <c r="N7179" s="362"/>
      <c r="R7179" s="210"/>
      <c r="S7179" s="232"/>
      <c r="T7179" s="270"/>
    </row>
    <row r="7180" spans="14:20" x14ac:dyDescent="0.25">
      <c r="N7180" s="362"/>
      <c r="R7180" s="210"/>
      <c r="S7180" s="232"/>
      <c r="T7180" s="270"/>
    </row>
    <row r="7181" spans="14:20" x14ac:dyDescent="0.25">
      <c r="N7181" s="362"/>
      <c r="R7181" s="210"/>
      <c r="S7181" s="232"/>
      <c r="T7181" s="270"/>
    </row>
    <row r="7182" spans="14:20" x14ac:dyDescent="0.25">
      <c r="N7182" s="362"/>
      <c r="R7182" s="210"/>
      <c r="S7182" s="232"/>
      <c r="T7182" s="270"/>
    </row>
    <row r="7183" spans="14:20" x14ac:dyDescent="0.25">
      <c r="N7183" s="362"/>
      <c r="R7183" s="210"/>
      <c r="S7183" s="232"/>
      <c r="T7183" s="270"/>
    </row>
    <row r="7184" spans="14:20" x14ac:dyDescent="0.25">
      <c r="N7184" s="362"/>
      <c r="R7184" s="210"/>
      <c r="S7184" s="232"/>
      <c r="T7184" s="270"/>
    </row>
    <row r="7185" spans="14:20" x14ac:dyDescent="0.25">
      <c r="N7185" s="362"/>
      <c r="R7185" s="210"/>
      <c r="S7185" s="232"/>
      <c r="T7185" s="270"/>
    </row>
    <row r="7186" spans="14:20" x14ac:dyDescent="0.25">
      <c r="N7186" s="362"/>
      <c r="R7186" s="210"/>
      <c r="S7186" s="232"/>
      <c r="T7186" s="270"/>
    </row>
    <row r="7187" spans="14:20" x14ac:dyDescent="0.25">
      <c r="N7187" s="362"/>
      <c r="R7187" s="210"/>
      <c r="S7187" s="232"/>
      <c r="T7187" s="270"/>
    </row>
    <row r="7188" spans="14:20" x14ac:dyDescent="0.25">
      <c r="N7188" s="362"/>
      <c r="R7188" s="210"/>
      <c r="S7188" s="232"/>
      <c r="T7188" s="270"/>
    </row>
    <row r="7189" spans="14:20" x14ac:dyDescent="0.25">
      <c r="N7189" s="362"/>
      <c r="R7189" s="210"/>
      <c r="S7189" s="232"/>
      <c r="T7189" s="270"/>
    </row>
    <row r="7190" spans="14:20" x14ac:dyDescent="0.25">
      <c r="N7190" s="362"/>
      <c r="R7190" s="210"/>
      <c r="S7190" s="232"/>
      <c r="T7190" s="270"/>
    </row>
    <row r="7191" spans="14:20" x14ac:dyDescent="0.25">
      <c r="N7191" s="362"/>
      <c r="R7191" s="210"/>
      <c r="S7191" s="232"/>
      <c r="T7191" s="270"/>
    </row>
    <row r="7192" spans="14:20" x14ac:dyDescent="0.25">
      <c r="N7192" s="362"/>
      <c r="R7192" s="210"/>
      <c r="S7192" s="232"/>
      <c r="T7192" s="270"/>
    </row>
    <row r="7193" spans="14:20" x14ac:dyDescent="0.25">
      <c r="N7193" s="362"/>
      <c r="R7193" s="210"/>
      <c r="S7193" s="232"/>
      <c r="T7193" s="270"/>
    </row>
    <row r="7194" spans="14:20" x14ac:dyDescent="0.25">
      <c r="N7194" s="362"/>
      <c r="R7194" s="210"/>
      <c r="S7194" s="232"/>
      <c r="T7194" s="270"/>
    </row>
    <row r="7195" spans="14:20" x14ac:dyDescent="0.25">
      <c r="N7195" s="362"/>
      <c r="R7195" s="210"/>
      <c r="S7195" s="232"/>
      <c r="T7195" s="270"/>
    </row>
    <row r="7196" spans="14:20" x14ac:dyDescent="0.25">
      <c r="N7196" s="362"/>
      <c r="R7196" s="210"/>
      <c r="S7196" s="232"/>
      <c r="T7196" s="270"/>
    </row>
    <row r="7197" spans="14:20" x14ac:dyDescent="0.25">
      <c r="N7197" s="362"/>
      <c r="R7197" s="210"/>
      <c r="S7197" s="232"/>
      <c r="T7197" s="270"/>
    </row>
    <row r="7198" spans="14:20" x14ac:dyDescent="0.25">
      <c r="N7198" s="362"/>
      <c r="R7198" s="210"/>
      <c r="S7198" s="232"/>
      <c r="T7198" s="270"/>
    </row>
    <row r="7199" spans="14:20" x14ac:dyDescent="0.25">
      <c r="N7199" s="362"/>
      <c r="R7199" s="210"/>
      <c r="S7199" s="232"/>
      <c r="T7199" s="270"/>
    </row>
    <row r="7200" spans="14:20" x14ac:dyDescent="0.25">
      <c r="N7200" s="362"/>
      <c r="R7200" s="210"/>
      <c r="S7200" s="232"/>
      <c r="T7200" s="270"/>
    </row>
    <row r="7201" spans="14:20" x14ac:dyDescent="0.25">
      <c r="N7201" s="362"/>
      <c r="R7201" s="210"/>
      <c r="S7201" s="232"/>
      <c r="T7201" s="270"/>
    </row>
    <row r="7202" spans="14:20" x14ac:dyDescent="0.25">
      <c r="N7202" s="362"/>
      <c r="R7202" s="210"/>
      <c r="S7202" s="232"/>
      <c r="T7202" s="270"/>
    </row>
    <row r="7203" spans="14:20" x14ac:dyDescent="0.25">
      <c r="N7203" s="362"/>
      <c r="R7203" s="210"/>
      <c r="S7203" s="232"/>
      <c r="T7203" s="270"/>
    </row>
    <row r="7204" spans="14:20" x14ac:dyDescent="0.25">
      <c r="N7204" s="362"/>
      <c r="R7204" s="210"/>
      <c r="S7204" s="232"/>
      <c r="T7204" s="270"/>
    </row>
    <row r="7205" spans="14:20" x14ac:dyDescent="0.25">
      <c r="N7205" s="362"/>
      <c r="R7205" s="210"/>
      <c r="S7205" s="232"/>
      <c r="T7205" s="270"/>
    </row>
    <row r="7206" spans="14:20" x14ac:dyDescent="0.25">
      <c r="N7206" s="362"/>
      <c r="R7206" s="210"/>
      <c r="S7206" s="232"/>
      <c r="T7206" s="270"/>
    </row>
    <row r="7207" spans="14:20" x14ac:dyDescent="0.25">
      <c r="N7207" s="362"/>
      <c r="R7207" s="210"/>
      <c r="S7207" s="232"/>
      <c r="T7207" s="270"/>
    </row>
    <row r="7208" spans="14:20" x14ac:dyDescent="0.25">
      <c r="N7208" s="362"/>
      <c r="R7208" s="210"/>
      <c r="S7208" s="232"/>
      <c r="T7208" s="270"/>
    </row>
    <row r="7209" spans="14:20" x14ac:dyDescent="0.25">
      <c r="N7209" s="362"/>
      <c r="R7209" s="210"/>
      <c r="S7209" s="232"/>
      <c r="T7209" s="270"/>
    </row>
    <row r="7210" spans="14:20" x14ac:dyDescent="0.25">
      <c r="N7210" s="362"/>
      <c r="R7210" s="210"/>
      <c r="S7210" s="232"/>
      <c r="T7210" s="270"/>
    </row>
    <row r="7211" spans="14:20" x14ac:dyDescent="0.25">
      <c r="N7211" s="362"/>
      <c r="R7211" s="210"/>
      <c r="S7211" s="232"/>
      <c r="T7211" s="270"/>
    </row>
    <row r="7212" spans="14:20" x14ac:dyDescent="0.25">
      <c r="N7212" s="362"/>
      <c r="R7212" s="210"/>
      <c r="S7212" s="232"/>
      <c r="T7212" s="270"/>
    </row>
    <row r="7213" spans="14:20" x14ac:dyDescent="0.25">
      <c r="N7213" s="362"/>
      <c r="R7213" s="210"/>
      <c r="S7213" s="232"/>
      <c r="T7213" s="270"/>
    </row>
    <row r="7214" spans="14:20" x14ac:dyDescent="0.25">
      <c r="N7214" s="362"/>
      <c r="R7214" s="210"/>
      <c r="S7214" s="232"/>
      <c r="T7214" s="270"/>
    </row>
    <row r="7215" spans="14:20" x14ac:dyDescent="0.25">
      <c r="N7215" s="362"/>
      <c r="R7215" s="210"/>
      <c r="S7215" s="232"/>
      <c r="T7215" s="270"/>
    </row>
    <row r="7216" spans="14:20" x14ac:dyDescent="0.25">
      <c r="N7216" s="362"/>
      <c r="R7216" s="210"/>
      <c r="S7216" s="232"/>
      <c r="T7216" s="270"/>
    </row>
    <row r="7217" spans="14:20" x14ac:dyDescent="0.25">
      <c r="N7217" s="362"/>
      <c r="R7217" s="210"/>
      <c r="S7217" s="232"/>
      <c r="T7217" s="270"/>
    </row>
    <row r="7218" spans="14:20" x14ac:dyDescent="0.25">
      <c r="N7218" s="362"/>
      <c r="R7218" s="210"/>
      <c r="S7218" s="232"/>
      <c r="T7218" s="270"/>
    </row>
    <row r="7219" spans="14:20" x14ac:dyDescent="0.25">
      <c r="N7219" s="362"/>
      <c r="R7219" s="210"/>
      <c r="S7219" s="232"/>
      <c r="T7219" s="270"/>
    </row>
    <row r="7220" spans="14:20" x14ac:dyDescent="0.25">
      <c r="N7220" s="362"/>
      <c r="R7220" s="210"/>
      <c r="S7220" s="232"/>
      <c r="T7220" s="270"/>
    </row>
    <row r="7221" spans="14:20" x14ac:dyDescent="0.25">
      <c r="N7221" s="362"/>
      <c r="R7221" s="210"/>
      <c r="S7221" s="232"/>
      <c r="T7221" s="270"/>
    </row>
    <row r="7222" spans="14:20" x14ac:dyDescent="0.25">
      <c r="N7222" s="362"/>
      <c r="R7222" s="210"/>
      <c r="S7222" s="232"/>
      <c r="T7222" s="270"/>
    </row>
    <row r="7223" spans="14:20" x14ac:dyDescent="0.25">
      <c r="N7223" s="362"/>
      <c r="R7223" s="210"/>
      <c r="S7223" s="232"/>
      <c r="T7223" s="270"/>
    </row>
    <row r="7224" spans="14:20" x14ac:dyDescent="0.25">
      <c r="N7224" s="362"/>
      <c r="R7224" s="210"/>
      <c r="S7224" s="232"/>
      <c r="T7224" s="270"/>
    </row>
    <row r="7225" spans="14:20" x14ac:dyDescent="0.25">
      <c r="N7225" s="362"/>
      <c r="R7225" s="210"/>
      <c r="S7225" s="232"/>
      <c r="T7225" s="270"/>
    </row>
    <row r="7226" spans="14:20" x14ac:dyDescent="0.25">
      <c r="N7226" s="362"/>
      <c r="R7226" s="210"/>
      <c r="S7226" s="232"/>
      <c r="T7226" s="270"/>
    </row>
    <row r="7227" spans="14:20" x14ac:dyDescent="0.25">
      <c r="N7227" s="362"/>
      <c r="R7227" s="210"/>
      <c r="S7227" s="232"/>
      <c r="T7227" s="270"/>
    </row>
    <row r="7228" spans="14:20" x14ac:dyDescent="0.25">
      <c r="N7228" s="362"/>
      <c r="R7228" s="210"/>
      <c r="S7228" s="232"/>
      <c r="T7228" s="270"/>
    </row>
    <row r="7229" spans="14:20" x14ac:dyDescent="0.25">
      <c r="N7229" s="362"/>
      <c r="R7229" s="210"/>
      <c r="S7229" s="232"/>
      <c r="T7229" s="270"/>
    </row>
    <row r="7230" spans="14:20" x14ac:dyDescent="0.25">
      <c r="N7230" s="362"/>
      <c r="R7230" s="210"/>
      <c r="S7230" s="232"/>
      <c r="T7230" s="270"/>
    </row>
    <row r="7231" spans="14:20" x14ac:dyDescent="0.25">
      <c r="N7231" s="362"/>
      <c r="R7231" s="210"/>
      <c r="S7231" s="232"/>
      <c r="T7231" s="270"/>
    </row>
    <row r="7232" spans="14:20" x14ac:dyDescent="0.25">
      <c r="N7232" s="362"/>
      <c r="R7232" s="210"/>
      <c r="S7232" s="232"/>
      <c r="T7232" s="270"/>
    </row>
    <row r="7233" spans="14:20" x14ac:dyDescent="0.25">
      <c r="N7233" s="362"/>
      <c r="R7233" s="210"/>
      <c r="S7233" s="232"/>
      <c r="T7233" s="270"/>
    </row>
    <row r="7234" spans="14:20" x14ac:dyDescent="0.25">
      <c r="N7234" s="362"/>
      <c r="R7234" s="210"/>
      <c r="S7234" s="232"/>
      <c r="T7234" s="270"/>
    </row>
    <row r="7235" spans="14:20" x14ac:dyDescent="0.25">
      <c r="N7235" s="362"/>
      <c r="R7235" s="210"/>
      <c r="S7235" s="232"/>
      <c r="T7235" s="270"/>
    </row>
    <row r="7236" spans="14:20" x14ac:dyDescent="0.25">
      <c r="N7236" s="362"/>
      <c r="R7236" s="210"/>
      <c r="S7236" s="232"/>
      <c r="T7236" s="270"/>
    </row>
    <row r="7237" spans="14:20" x14ac:dyDescent="0.25">
      <c r="N7237" s="362"/>
      <c r="R7237" s="210"/>
      <c r="S7237" s="232"/>
      <c r="T7237" s="270"/>
    </row>
    <row r="7238" spans="14:20" x14ac:dyDescent="0.25">
      <c r="N7238" s="362"/>
      <c r="R7238" s="210"/>
      <c r="S7238" s="232"/>
      <c r="T7238" s="270"/>
    </row>
    <row r="7239" spans="14:20" x14ac:dyDescent="0.25">
      <c r="N7239" s="362"/>
      <c r="R7239" s="210"/>
      <c r="S7239" s="232"/>
      <c r="T7239" s="270"/>
    </row>
    <row r="7240" spans="14:20" x14ac:dyDescent="0.25">
      <c r="N7240" s="362"/>
      <c r="R7240" s="210"/>
      <c r="S7240" s="232"/>
      <c r="T7240" s="270"/>
    </row>
    <row r="7241" spans="14:20" x14ac:dyDescent="0.25">
      <c r="N7241" s="362"/>
      <c r="R7241" s="210"/>
      <c r="S7241" s="232"/>
      <c r="T7241" s="270"/>
    </row>
    <row r="7242" spans="14:20" x14ac:dyDescent="0.25">
      <c r="N7242" s="362"/>
      <c r="R7242" s="210"/>
      <c r="S7242" s="232"/>
      <c r="T7242" s="270"/>
    </row>
    <row r="7243" spans="14:20" x14ac:dyDescent="0.25">
      <c r="N7243" s="362"/>
      <c r="R7243" s="210"/>
      <c r="S7243" s="232"/>
      <c r="T7243" s="270"/>
    </row>
    <row r="7244" spans="14:20" x14ac:dyDescent="0.25">
      <c r="N7244" s="362"/>
      <c r="R7244" s="210"/>
      <c r="S7244" s="232"/>
      <c r="T7244" s="270"/>
    </row>
    <row r="7245" spans="14:20" x14ac:dyDescent="0.25">
      <c r="N7245" s="362"/>
      <c r="R7245" s="210"/>
      <c r="S7245" s="232"/>
      <c r="T7245" s="270"/>
    </row>
    <row r="7246" spans="14:20" x14ac:dyDescent="0.25">
      <c r="N7246" s="362"/>
      <c r="R7246" s="210"/>
      <c r="S7246" s="232"/>
      <c r="T7246" s="270"/>
    </row>
    <row r="7247" spans="14:20" x14ac:dyDescent="0.25">
      <c r="N7247" s="362"/>
      <c r="R7247" s="210"/>
      <c r="S7247" s="232"/>
      <c r="T7247" s="270"/>
    </row>
    <row r="7248" spans="14:20" x14ac:dyDescent="0.25">
      <c r="N7248" s="362"/>
      <c r="R7248" s="210"/>
      <c r="S7248" s="232"/>
      <c r="T7248" s="270"/>
    </row>
    <row r="7249" spans="14:20" x14ac:dyDescent="0.25">
      <c r="N7249" s="362"/>
      <c r="R7249" s="210"/>
      <c r="S7249" s="232"/>
      <c r="T7249" s="270"/>
    </row>
    <row r="7250" spans="14:20" x14ac:dyDescent="0.25">
      <c r="N7250" s="362"/>
      <c r="R7250" s="210"/>
      <c r="S7250" s="232"/>
      <c r="T7250" s="270"/>
    </row>
    <row r="7251" spans="14:20" x14ac:dyDescent="0.25">
      <c r="N7251" s="362"/>
      <c r="R7251" s="210"/>
      <c r="S7251" s="232"/>
      <c r="T7251" s="270"/>
    </row>
    <row r="7252" spans="14:20" x14ac:dyDescent="0.25">
      <c r="N7252" s="362"/>
      <c r="R7252" s="210"/>
      <c r="S7252" s="232"/>
      <c r="T7252" s="270"/>
    </row>
    <row r="7253" spans="14:20" x14ac:dyDescent="0.25">
      <c r="N7253" s="362"/>
      <c r="R7253" s="210"/>
      <c r="S7253" s="232"/>
      <c r="T7253" s="270"/>
    </row>
    <row r="7254" spans="14:20" x14ac:dyDescent="0.25">
      <c r="N7254" s="362"/>
      <c r="R7254" s="210"/>
      <c r="S7254" s="232"/>
      <c r="T7254" s="270"/>
    </row>
    <row r="7255" spans="14:20" x14ac:dyDescent="0.25">
      <c r="N7255" s="362"/>
      <c r="R7255" s="210"/>
      <c r="S7255" s="232"/>
      <c r="T7255" s="270"/>
    </row>
    <row r="7256" spans="14:20" x14ac:dyDescent="0.25">
      <c r="N7256" s="362"/>
      <c r="R7256" s="210"/>
      <c r="S7256" s="232"/>
      <c r="T7256" s="270"/>
    </row>
    <row r="7257" spans="14:20" x14ac:dyDescent="0.25">
      <c r="N7257" s="362"/>
      <c r="R7257" s="210"/>
      <c r="S7257" s="232"/>
      <c r="T7257" s="270"/>
    </row>
    <row r="7258" spans="14:20" x14ac:dyDescent="0.25">
      <c r="N7258" s="362"/>
      <c r="R7258" s="210"/>
      <c r="S7258" s="232"/>
      <c r="T7258" s="270"/>
    </row>
    <row r="7259" spans="14:20" x14ac:dyDescent="0.25">
      <c r="N7259" s="362"/>
      <c r="R7259" s="210"/>
      <c r="S7259" s="232"/>
      <c r="T7259" s="270"/>
    </row>
    <row r="7260" spans="14:20" x14ac:dyDescent="0.25">
      <c r="N7260" s="362"/>
      <c r="R7260" s="210"/>
      <c r="S7260" s="232"/>
      <c r="T7260" s="270"/>
    </row>
    <row r="7261" spans="14:20" x14ac:dyDescent="0.25">
      <c r="N7261" s="362"/>
      <c r="R7261" s="210"/>
      <c r="S7261" s="232"/>
      <c r="T7261" s="270"/>
    </row>
    <row r="7262" spans="14:20" x14ac:dyDescent="0.25">
      <c r="N7262" s="362"/>
      <c r="R7262" s="210"/>
      <c r="S7262" s="232"/>
      <c r="T7262" s="270"/>
    </row>
    <row r="7263" spans="14:20" x14ac:dyDescent="0.25">
      <c r="N7263" s="362"/>
      <c r="R7263" s="210"/>
      <c r="S7263" s="232"/>
      <c r="T7263" s="270"/>
    </row>
    <row r="7264" spans="14:20" x14ac:dyDescent="0.25">
      <c r="N7264" s="362"/>
      <c r="R7264" s="210"/>
      <c r="S7264" s="232"/>
      <c r="T7264" s="270"/>
    </row>
    <row r="7265" spans="14:20" x14ac:dyDescent="0.25">
      <c r="N7265" s="362"/>
      <c r="R7265" s="210"/>
      <c r="S7265" s="232"/>
      <c r="T7265" s="270"/>
    </row>
    <row r="7266" spans="14:20" x14ac:dyDescent="0.25">
      <c r="N7266" s="362"/>
      <c r="R7266" s="210"/>
      <c r="S7266" s="232"/>
      <c r="T7266" s="270"/>
    </row>
    <row r="7267" spans="14:20" x14ac:dyDescent="0.25">
      <c r="N7267" s="362"/>
      <c r="R7267" s="210"/>
      <c r="S7267" s="232"/>
      <c r="T7267" s="270"/>
    </row>
    <row r="7268" spans="14:20" x14ac:dyDescent="0.25">
      <c r="N7268" s="362"/>
      <c r="R7268" s="210"/>
      <c r="S7268" s="232"/>
      <c r="T7268" s="270"/>
    </row>
    <row r="7269" spans="14:20" x14ac:dyDescent="0.25">
      <c r="N7269" s="362"/>
      <c r="R7269" s="210"/>
      <c r="S7269" s="232"/>
      <c r="T7269" s="270"/>
    </row>
    <row r="7270" spans="14:20" x14ac:dyDescent="0.25">
      <c r="N7270" s="362"/>
      <c r="R7270" s="210"/>
      <c r="S7270" s="232"/>
      <c r="T7270" s="270"/>
    </row>
    <row r="7271" spans="14:20" x14ac:dyDescent="0.25">
      <c r="N7271" s="362"/>
      <c r="R7271" s="210"/>
      <c r="S7271" s="232"/>
      <c r="T7271" s="270"/>
    </row>
    <row r="7272" spans="14:20" x14ac:dyDescent="0.25">
      <c r="N7272" s="362"/>
      <c r="R7272" s="210"/>
      <c r="S7272" s="232"/>
      <c r="T7272" s="270"/>
    </row>
    <row r="7273" spans="14:20" x14ac:dyDescent="0.25">
      <c r="N7273" s="362"/>
      <c r="R7273" s="210"/>
      <c r="S7273" s="232"/>
      <c r="T7273" s="270"/>
    </row>
    <row r="7274" spans="14:20" x14ac:dyDescent="0.25">
      <c r="N7274" s="362"/>
      <c r="R7274" s="210"/>
      <c r="S7274" s="232"/>
      <c r="T7274" s="270"/>
    </row>
    <row r="7275" spans="14:20" x14ac:dyDescent="0.25">
      <c r="N7275" s="362"/>
      <c r="R7275" s="210"/>
      <c r="S7275" s="232"/>
      <c r="T7275" s="270"/>
    </row>
    <row r="7276" spans="14:20" x14ac:dyDescent="0.25">
      <c r="N7276" s="362"/>
      <c r="R7276" s="210"/>
      <c r="S7276" s="232"/>
      <c r="T7276" s="270"/>
    </row>
    <row r="7277" spans="14:20" x14ac:dyDescent="0.25">
      <c r="N7277" s="362"/>
      <c r="R7277" s="210"/>
      <c r="S7277" s="232"/>
      <c r="T7277" s="270"/>
    </row>
    <row r="7278" spans="14:20" x14ac:dyDescent="0.25">
      <c r="N7278" s="362"/>
      <c r="R7278" s="210"/>
      <c r="S7278" s="232"/>
      <c r="T7278" s="270"/>
    </row>
    <row r="7279" spans="14:20" x14ac:dyDescent="0.25">
      <c r="N7279" s="362"/>
      <c r="R7279" s="210"/>
      <c r="S7279" s="232"/>
      <c r="T7279" s="270"/>
    </row>
    <row r="7280" spans="14:20" x14ac:dyDescent="0.25">
      <c r="N7280" s="362"/>
      <c r="R7280" s="210"/>
      <c r="S7280" s="232"/>
      <c r="T7280" s="270"/>
    </row>
    <row r="7281" spans="14:20" x14ac:dyDescent="0.25">
      <c r="N7281" s="362"/>
      <c r="R7281" s="210"/>
      <c r="S7281" s="232"/>
      <c r="T7281" s="270"/>
    </row>
    <row r="7282" spans="14:20" x14ac:dyDescent="0.25">
      <c r="N7282" s="362"/>
      <c r="R7282" s="210"/>
      <c r="S7282" s="232"/>
      <c r="T7282" s="270"/>
    </row>
    <row r="7283" spans="14:20" x14ac:dyDescent="0.25">
      <c r="N7283" s="362"/>
      <c r="R7283" s="210"/>
      <c r="S7283" s="232"/>
      <c r="T7283" s="270"/>
    </row>
    <row r="7284" spans="14:20" x14ac:dyDescent="0.25">
      <c r="N7284" s="362"/>
      <c r="R7284" s="210"/>
      <c r="S7284" s="232"/>
      <c r="T7284" s="270"/>
    </row>
    <row r="7285" spans="14:20" x14ac:dyDescent="0.25">
      <c r="N7285" s="362"/>
      <c r="R7285" s="210"/>
      <c r="S7285" s="232"/>
      <c r="T7285" s="270"/>
    </row>
    <row r="7286" spans="14:20" x14ac:dyDescent="0.25">
      <c r="N7286" s="362"/>
      <c r="R7286" s="210"/>
      <c r="S7286" s="232"/>
      <c r="T7286" s="270"/>
    </row>
    <row r="7287" spans="14:20" x14ac:dyDescent="0.25">
      <c r="N7287" s="362"/>
      <c r="R7287" s="210"/>
      <c r="S7287" s="232"/>
      <c r="T7287" s="270"/>
    </row>
    <row r="7288" spans="14:20" x14ac:dyDescent="0.25">
      <c r="N7288" s="362"/>
      <c r="R7288" s="210"/>
      <c r="S7288" s="232"/>
      <c r="T7288" s="270"/>
    </row>
    <row r="7289" spans="14:20" x14ac:dyDescent="0.25">
      <c r="N7289" s="362"/>
      <c r="R7289" s="210"/>
      <c r="S7289" s="232"/>
      <c r="T7289" s="270"/>
    </row>
    <row r="7290" spans="14:20" x14ac:dyDescent="0.25">
      <c r="N7290" s="362"/>
      <c r="R7290" s="210"/>
      <c r="S7290" s="232"/>
      <c r="T7290" s="270"/>
    </row>
    <row r="7291" spans="14:20" x14ac:dyDescent="0.25">
      <c r="N7291" s="362"/>
      <c r="R7291" s="210"/>
      <c r="S7291" s="232"/>
      <c r="T7291" s="270"/>
    </row>
    <row r="7292" spans="14:20" x14ac:dyDescent="0.25">
      <c r="N7292" s="362"/>
      <c r="R7292" s="210"/>
      <c r="S7292" s="232"/>
      <c r="T7292" s="270"/>
    </row>
    <row r="7293" spans="14:20" x14ac:dyDescent="0.25">
      <c r="N7293" s="362"/>
      <c r="R7293" s="210"/>
      <c r="S7293" s="232"/>
      <c r="T7293" s="270"/>
    </row>
    <row r="7294" spans="14:20" x14ac:dyDescent="0.25">
      <c r="N7294" s="362"/>
      <c r="R7294" s="210"/>
      <c r="S7294" s="232"/>
      <c r="T7294" s="270"/>
    </row>
    <row r="7295" spans="14:20" x14ac:dyDescent="0.25">
      <c r="N7295" s="362"/>
      <c r="R7295" s="210"/>
      <c r="S7295" s="232"/>
      <c r="T7295" s="270"/>
    </row>
    <row r="7296" spans="14:20" x14ac:dyDescent="0.25">
      <c r="N7296" s="362"/>
      <c r="R7296" s="210"/>
      <c r="S7296" s="232"/>
      <c r="T7296" s="270"/>
    </row>
    <row r="7297" spans="14:20" x14ac:dyDescent="0.25">
      <c r="N7297" s="362"/>
      <c r="R7297" s="210"/>
      <c r="S7297" s="232"/>
      <c r="T7297" s="270"/>
    </row>
    <row r="7298" spans="14:20" x14ac:dyDescent="0.25">
      <c r="N7298" s="362"/>
      <c r="R7298" s="210"/>
      <c r="S7298" s="232"/>
      <c r="T7298" s="270"/>
    </row>
    <row r="7299" spans="14:20" x14ac:dyDescent="0.25">
      <c r="N7299" s="362"/>
      <c r="R7299" s="210"/>
      <c r="S7299" s="232"/>
      <c r="T7299" s="270"/>
    </row>
    <row r="7300" spans="14:20" x14ac:dyDescent="0.25">
      <c r="N7300" s="362"/>
      <c r="R7300" s="210"/>
      <c r="S7300" s="232"/>
      <c r="T7300" s="270"/>
    </row>
    <row r="7301" spans="14:20" x14ac:dyDescent="0.25">
      <c r="N7301" s="362"/>
      <c r="R7301" s="210"/>
      <c r="S7301" s="232"/>
      <c r="T7301" s="270"/>
    </row>
    <row r="7302" spans="14:20" x14ac:dyDescent="0.25">
      <c r="N7302" s="362"/>
      <c r="R7302" s="210"/>
      <c r="S7302" s="232"/>
      <c r="T7302" s="270"/>
    </row>
    <row r="7303" spans="14:20" x14ac:dyDescent="0.25">
      <c r="N7303" s="362"/>
      <c r="R7303" s="210"/>
      <c r="S7303" s="232"/>
      <c r="T7303" s="270"/>
    </row>
    <row r="7304" spans="14:20" x14ac:dyDescent="0.25">
      <c r="N7304" s="362"/>
      <c r="R7304" s="210"/>
      <c r="S7304" s="232"/>
      <c r="T7304" s="270"/>
    </row>
    <row r="7305" spans="14:20" x14ac:dyDescent="0.25">
      <c r="N7305" s="362"/>
      <c r="R7305" s="210"/>
      <c r="S7305" s="232"/>
      <c r="T7305" s="270"/>
    </row>
    <row r="7306" spans="14:20" x14ac:dyDescent="0.25">
      <c r="N7306" s="362"/>
      <c r="R7306" s="210"/>
      <c r="S7306" s="232"/>
      <c r="T7306" s="270"/>
    </row>
    <row r="7307" spans="14:20" x14ac:dyDescent="0.25">
      <c r="N7307" s="362"/>
      <c r="R7307" s="210"/>
      <c r="S7307" s="232"/>
      <c r="T7307" s="270"/>
    </row>
    <row r="7308" spans="14:20" x14ac:dyDescent="0.25">
      <c r="N7308" s="362"/>
      <c r="R7308" s="210"/>
      <c r="S7308" s="232"/>
      <c r="T7308" s="270"/>
    </row>
    <row r="7309" spans="14:20" x14ac:dyDescent="0.25">
      <c r="N7309" s="362"/>
      <c r="R7309" s="210"/>
      <c r="S7309" s="232"/>
      <c r="T7309" s="270"/>
    </row>
    <row r="7310" spans="14:20" x14ac:dyDescent="0.25">
      <c r="N7310" s="362"/>
      <c r="R7310" s="210"/>
      <c r="S7310" s="232"/>
      <c r="T7310" s="270"/>
    </row>
    <row r="7311" spans="14:20" x14ac:dyDescent="0.25">
      <c r="N7311" s="362"/>
      <c r="R7311" s="210"/>
      <c r="S7311" s="232"/>
      <c r="T7311" s="270"/>
    </row>
    <row r="7312" spans="14:20" x14ac:dyDescent="0.25">
      <c r="N7312" s="362"/>
      <c r="R7312" s="210"/>
      <c r="S7312" s="232"/>
      <c r="T7312" s="270"/>
    </row>
    <row r="7313" spans="14:20" x14ac:dyDescent="0.25">
      <c r="N7313" s="362"/>
      <c r="R7313" s="210"/>
      <c r="S7313" s="232"/>
      <c r="T7313" s="270"/>
    </row>
    <row r="7314" spans="14:20" x14ac:dyDescent="0.25">
      <c r="N7314" s="362"/>
      <c r="R7314" s="210"/>
      <c r="S7314" s="232"/>
      <c r="T7314" s="270"/>
    </row>
    <row r="7315" spans="14:20" x14ac:dyDescent="0.25">
      <c r="N7315" s="362"/>
      <c r="R7315" s="210"/>
      <c r="S7315" s="232"/>
      <c r="T7315" s="270"/>
    </row>
    <row r="7316" spans="14:20" x14ac:dyDescent="0.25">
      <c r="N7316" s="362"/>
      <c r="R7316" s="210"/>
      <c r="S7316" s="232"/>
      <c r="T7316" s="270"/>
    </row>
    <row r="7317" spans="14:20" x14ac:dyDescent="0.25">
      <c r="N7317" s="362"/>
      <c r="R7317" s="210"/>
      <c r="S7317" s="232"/>
      <c r="T7317" s="270"/>
    </row>
    <row r="7318" spans="14:20" x14ac:dyDescent="0.25">
      <c r="N7318" s="362"/>
      <c r="R7318" s="210"/>
      <c r="S7318" s="232"/>
      <c r="T7318" s="270"/>
    </row>
    <row r="7319" spans="14:20" x14ac:dyDescent="0.25">
      <c r="N7319" s="362"/>
      <c r="R7319" s="210"/>
      <c r="S7319" s="232"/>
      <c r="T7319" s="270"/>
    </row>
    <row r="7320" spans="14:20" x14ac:dyDescent="0.25">
      <c r="N7320" s="362"/>
      <c r="R7320" s="210"/>
      <c r="S7320" s="232"/>
      <c r="T7320" s="270"/>
    </row>
    <row r="7321" spans="14:20" x14ac:dyDescent="0.25">
      <c r="N7321" s="362"/>
      <c r="R7321" s="210"/>
      <c r="S7321" s="232"/>
      <c r="T7321" s="270"/>
    </row>
    <row r="7322" spans="14:20" x14ac:dyDescent="0.25">
      <c r="N7322" s="362"/>
      <c r="R7322" s="210"/>
      <c r="S7322" s="232"/>
      <c r="T7322" s="270"/>
    </row>
    <row r="7323" spans="14:20" x14ac:dyDescent="0.25">
      <c r="N7323" s="362"/>
      <c r="R7323" s="210"/>
      <c r="S7323" s="232"/>
      <c r="T7323" s="270"/>
    </row>
    <row r="7324" spans="14:20" x14ac:dyDescent="0.25">
      <c r="N7324" s="362"/>
      <c r="R7324" s="210"/>
      <c r="S7324" s="232"/>
      <c r="T7324" s="270"/>
    </row>
    <row r="7325" spans="14:20" x14ac:dyDescent="0.25">
      <c r="N7325" s="362"/>
      <c r="R7325" s="210"/>
      <c r="S7325" s="232"/>
      <c r="T7325" s="270"/>
    </row>
    <row r="7326" spans="14:20" x14ac:dyDescent="0.25">
      <c r="N7326" s="362"/>
      <c r="R7326" s="210"/>
      <c r="S7326" s="232"/>
      <c r="T7326" s="270"/>
    </row>
    <row r="7327" spans="14:20" x14ac:dyDescent="0.25">
      <c r="N7327" s="362"/>
      <c r="R7327" s="210"/>
      <c r="S7327" s="232"/>
      <c r="T7327" s="270"/>
    </row>
    <row r="7328" spans="14:20" x14ac:dyDescent="0.25">
      <c r="N7328" s="362"/>
      <c r="R7328" s="210"/>
      <c r="S7328" s="232"/>
      <c r="T7328" s="270"/>
    </row>
    <row r="7329" spans="14:20" x14ac:dyDescent="0.25">
      <c r="N7329" s="362"/>
      <c r="R7329" s="210"/>
      <c r="S7329" s="232"/>
      <c r="T7329" s="270"/>
    </row>
    <row r="7330" spans="14:20" x14ac:dyDescent="0.25">
      <c r="N7330" s="362"/>
      <c r="R7330" s="210"/>
      <c r="S7330" s="232"/>
      <c r="T7330" s="270"/>
    </row>
    <row r="7331" spans="14:20" x14ac:dyDescent="0.25">
      <c r="N7331" s="362"/>
      <c r="R7331" s="210"/>
      <c r="S7331" s="232"/>
      <c r="T7331" s="270"/>
    </row>
    <row r="7332" spans="14:20" x14ac:dyDescent="0.25">
      <c r="N7332" s="362"/>
      <c r="R7332" s="210"/>
      <c r="S7332" s="232"/>
      <c r="T7332" s="270"/>
    </row>
    <row r="7333" spans="14:20" x14ac:dyDescent="0.25">
      <c r="N7333" s="362"/>
      <c r="R7333" s="210"/>
      <c r="S7333" s="232"/>
      <c r="T7333" s="270"/>
    </row>
    <row r="7334" spans="14:20" x14ac:dyDescent="0.25">
      <c r="N7334" s="362"/>
      <c r="R7334" s="210"/>
      <c r="S7334" s="232"/>
      <c r="T7334" s="270"/>
    </row>
    <row r="7335" spans="14:20" x14ac:dyDescent="0.25">
      <c r="N7335" s="362"/>
      <c r="R7335" s="210"/>
      <c r="S7335" s="232"/>
      <c r="T7335" s="270"/>
    </row>
    <row r="7336" spans="14:20" x14ac:dyDescent="0.25">
      <c r="N7336" s="362"/>
      <c r="R7336" s="210"/>
      <c r="S7336" s="232"/>
      <c r="T7336" s="270"/>
    </row>
    <row r="7337" spans="14:20" x14ac:dyDescent="0.25">
      <c r="N7337" s="362"/>
      <c r="R7337" s="210"/>
      <c r="S7337" s="232"/>
      <c r="T7337" s="270"/>
    </row>
    <row r="7338" spans="14:20" x14ac:dyDescent="0.25">
      <c r="N7338" s="362"/>
      <c r="R7338" s="210"/>
      <c r="S7338" s="232"/>
      <c r="T7338" s="270"/>
    </row>
    <row r="7339" spans="14:20" x14ac:dyDescent="0.25">
      <c r="N7339" s="362"/>
      <c r="R7339" s="210"/>
      <c r="S7339" s="232"/>
      <c r="T7339" s="270"/>
    </row>
    <row r="7340" spans="14:20" x14ac:dyDescent="0.25">
      <c r="N7340" s="362"/>
      <c r="R7340" s="210"/>
      <c r="S7340" s="232"/>
      <c r="T7340" s="270"/>
    </row>
    <row r="7341" spans="14:20" x14ac:dyDescent="0.25">
      <c r="N7341" s="362"/>
      <c r="R7341" s="210"/>
      <c r="S7341" s="232"/>
      <c r="T7341" s="270"/>
    </row>
    <row r="7342" spans="14:20" x14ac:dyDescent="0.25">
      <c r="N7342" s="362"/>
      <c r="R7342" s="210"/>
      <c r="S7342" s="232"/>
      <c r="T7342" s="270"/>
    </row>
    <row r="7343" spans="14:20" x14ac:dyDescent="0.25">
      <c r="N7343" s="362"/>
      <c r="R7343" s="210"/>
      <c r="S7343" s="232"/>
      <c r="T7343" s="270"/>
    </row>
    <row r="7344" spans="14:20" x14ac:dyDescent="0.25">
      <c r="N7344" s="362"/>
      <c r="R7344" s="210"/>
      <c r="S7344" s="232"/>
      <c r="T7344" s="270"/>
    </row>
    <row r="7345" spans="14:20" x14ac:dyDescent="0.25">
      <c r="N7345" s="362"/>
      <c r="R7345" s="210"/>
      <c r="S7345" s="232"/>
      <c r="T7345" s="270"/>
    </row>
    <row r="7346" spans="14:20" x14ac:dyDescent="0.25">
      <c r="N7346" s="362"/>
      <c r="R7346" s="210"/>
      <c r="S7346" s="232"/>
      <c r="T7346" s="270"/>
    </row>
    <row r="7347" spans="14:20" x14ac:dyDescent="0.25">
      <c r="N7347" s="362"/>
      <c r="R7347" s="210"/>
      <c r="S7347" s="232"/>
      <c r="T7347" s="270"/>
    </row>
    <row r="7348" spans="14:20" x14ac:dyDescent="0.25">
      <c r="N7348" s="362"/>
      <c r="R7348" s="210"/>
      <c r="S7348" s="232"/>
      <c r="T7348" s="270"/>
    </row>
    <row r="7349" spans="14:20" x14ac:dyDescent="0.25">
      <c r="N7349" s="362"/>
      <c r="R7349" s="210"/>
      <c r="S7349" s="232"/>
      <c r="T7349" s="270"/>
    </row>
    <row r="7350" spans="14:20" x14ac:dyDescent="0.25">
      <c r="N7350" s="362"/>
      <c r="R7350" s="210"/>
      <c r="S7350" s="232"/>
      <c r="T7350" s="270"/>
    </row>
    <row r="7351" spans="14:20" x14ac:dyDescent="0.25">
      <c r="N7351" s="362"/>
      <c r="R7351" s="210"/>
      <c r="S7351" s="232"/>
      <c r="T7351" s="270"/>
    </row>
    <row r="7352" spans="14:20" x14ac:dyDescent="0.25">
      <c r="N7352" s="362"/>
      <c r="R7352" s="210"/>
      <c r="S7352" s="232"/>
      <c r="T7352" s="270"/>
    </row>
    <row r="7353" spans="14:20" x14ac:dyDescent="0.25">
      <c r="N7353" s="362"/>
      <c r="R7353" s="210"/>
      <c r="S7353" s="232"/>
      <c r="T7353" s="270"/>
    </row>
    <row r="7354" spans="14:20" x14ac:dyDescent="0.25">
      <c r="N7354" s="362"/>
      <c r="R7354" s="210"/>
      <c r="S7354" s="232"/>
      <c r="T7354" s="270"/>
    </row>
    <row r="7355" spans="14:20" x14ac:dyDescent="0.25">
      <c r="N7355" s="362"/>
      <c r="R7355" s="210"/>
      <c r="S7355" s="232"/>
      <c r="T7355" s="270"/>
    </row>
    <row r="7356" spans="14:20" x14ac:dyDescent="0.25">
      <c r="N7356" s="362"/>
      <c r="R7356" s="210"/>
      <c r="S7356" s="232"/>
      <c r="T7356" s="270"/>
    </row>
    <row r="7357" spans="14:20" x14ac:dyDescent="0.25">
      <c r="N7357" s="362"/>
      <c r="R7357" s="210"/>
      <c r="S7357" s="232"/>
      <c r="T7357" s="270"/>
    </row>
    <row r="7358" spans="14:20" x14ac:dyDescent="0.25">
      <c r="N7358" s="362"/>
      <c r="R7358" s="210"/>
      <c r="S7358" s="232"/>
      <c r="T7358" s="270"/>
    </row>
    <row r="7359" spans="14:20" x14ac:dyDescent="0.25">
      <c r="N7359" s="362"/>
      <c r="R7359" s="210"/>
      <c r="S7359" s="232"/>
      <c r="T7359" s="270"/>
    </row>
    <row r="7360" spans="14:20" x14ac:dyDescent="0.25">
      <c r="N7360" s="362"/>
      <c r="R7360" s="210"/>
      <c r="S7360" s="232"/>
      <c r="T7360" s="270"/>
    </row>
    <row r="7361" spans="14:20" x14ac:dyDescent="0.25">
      <c r="N7361" s="362"/>
      <c r="R7361" s="210"/>
      <c r="S7361" s="232"/>
      <c r="T7361" s="270"/>
    </row>
    <row r="7362" spans="14:20" x14ac:dyDescent="0.25">
      <c r="N7362" s="362"/>
      <c r="R7362" s="210"/>
      <c r="S7362" s="232"/>
      <c r="T7362" s="270"/>
    </row>
    <row r="7363" spans="14:20" x14ac:dyDescent="0.25">
      <c r="N7363" s="362"/>
      <c r="R7363" s="210"/>
      <c r="S7363" s="232"/>
      <c r="T7363" s="270"/>
    </row>
    <row r="7364" spans="14:20" x14ac:dyDescent="0.25">
      <c r="N7364" s="362"/>
      <c r="R7364" s="210"/>
      <c r="S7364" s="232"/>
      <c r="T7364" s="270"/>
    </row>
    <row r="7365" spans="14:20" x14ac:dyDescent="0.25">
      <c r="N7365" s="362"/>
      <c r="R7365" s="210"/>
      <c r="S7365" s="232"/>
      <c r="T7365" s="270"/>
    </row>
    <row r="7366" spans="14:20" x14ac:dyDescent="0.25">
      <c r="N7366" s="362"/>
      <c r="R7366" s="210"/>
      <c r="S7366" s="232"/>
      <c r="T7366" s="270"/>
    </row>
    <row r="7367" spans="14:20" x14ac:dyDescent="0.25">
      <c r="N7367" s="362"/>
      <c r="R7367" s="210"/>
      <c r="S7367" s="232"/>
      <c r="T7367" s="270"/>
    </row>
    <row r="7368" spans="14:20" x14ac:dyDescent="0.25">
      <c r="N7368" s="362"/>
      <c r="R7368" s="210"/>
      <c r="S7368" s="232"/>
      <c r="T7368" s="270"/>
    </row>
    <row r="7369" spans="14:20" x14ac:dyDescent="0.25">
      <c r="N7369" s="362"/>
      <c r="R7369" s="210"/>
      <c r="S7369" s="232"/>
      <c r="T7369" s="270"/>
    </row>
    <row r="7370" spans="14:20" x14ac:dyDescent="0.25">
      <c r="N7370" s="362"/>
      <c r="R7370" s="210"/>
      <c r="S7370" s="232"/>
      <c r="T7370" s="270"/>
    </row>
    <row r="7371" spans="14:20" x14ac:dyDescent="0.25">
      <c r="N7371" s="362"/>
      <c r="R7371" s="210"/>
      <c r="S7371" s="232"/>
      <c r="T7371" s="270"/>
    </row>
    <row r="7372" spans="14:20" x14ac:dyDescent="0.25">
      <c r="N7372" s="362"/>
      <c r="R7372" s="210"/>
      <c r="S7372" s="232"/>
      <c r="T7372" s="270"/>
    </row>
    <row r="7373" spans="14:20" x14ac:dyDescent="0.25">
      <c r="N7373" s="362"/>
      <c r="R7373" s="210"/>
      <c r="S7373" s="232"/>
      <c r="T7373" s="270"/>
    </row>
    <row r="7374" spans="14:20" x14ac:dyDescent="0.25">
      <c r="N7374" s="362"/>
      <c r="R7374" s="210"/>
      <c r="S7374" s="232"/>
      <c r="T7374" s="270"/>
    </row>
    <row r="7375" spans="14:20" x14ac:dyDescent="0.25">
      <c r="N7375" s="362"/>
      <c r="R7375" s="210"/>
      <c r="S7375" s="232"/>
      <c r="T7375" s="270"/>
    </row>
    <row r="7376" spans="14:20" x14ac:dyDescent="0.25">
      <c r="N7376" s="362"/>
      <c r="R7376" s="210"/>
      <c r="S7376" s="232"/>
      <c r="T7376" s="270"/>
    </row>
    <row r="7377" spans="14:20" x14ac:dyDescent="0.25">
      <c r="N7377" s="362"/>
      <c r="R7377" s="210"/>
      <c r="S7377" s="232"/>
      <c r="T7377" s="270"/>
    </row>
    <row r="7378" spans="14:20" x14ac:dyDescent="0.25">
      <c r="N7378" s="362"/>
      <c r="R7378" s="210"/>
      <c r="S7378" s="232"/>
      <c r="T7378" s="270"/>
    </row>
    <row r="7379" spans="14:20" x14ac:dyDescent="0.25">
      <c r="N7379" s="362"/>
      <c r="R7379" s="210"/>
      <c r="S7379" s="232"/>
      <c r="T7379" s="270"/>
    </row>
    <row r="7380" spans="14:20" x14ac:dyDescent="0.25">
      <c r="N7380" s="362"/>
      <c r="R7380" s="210"/>
      <c r="S7380" s="232"/>
      <c r="T7380" s="270"/>
    </row>
    <row r="7381" spans="14:20" x14ac:dyDescent="0.25">
      <c r="N7381" s="362"/>
      <c r="R7381" s="210"/>
      <c r="S7381" s="232"/>
      <c r="T7381" s="270"/>
    </row>
    <row r="7382" spans="14:20" x14ac:dyDescent="0.25">
      <c r="N7382" s="362"/>
      <c r="R7382" s="210"/>
      <c r="S7382" s="232"/>
      <c r="T7382" s="270"/>
    </row>
    <row r="7383" spans="14:20" x14ac:dyDescent="0.25">
      <c r="N7383" s="362"/>
      <c r="R7383" s="210"/>
      <c r="S7383" s="232"/>
      <c r="T7383" s="270"/>
    </row>
    <row r="7384" spans="14:20" x14ac:dyDescent="0.25">
      <c r="N7384" s="362"/>
      <c r="R7384" s="210"/>
      <c r="S7384" s="232"/>
      <c r="T7384" s="270"/>
    </row>
    <row r="7385" spans="14:20" x14ac:dyDescent="0.25">
      <c r="N7385" s="362"/>
      <c r="R7385" s="210"/>
      <c r="S7385" s="232"/>
      <c r="T7385" s="270"/>
    </row>
    <row r="7386" spans="14:20" x14ac:dyDescent="0.25">
      <c r="N7386" s="362"/>
      <c r="R7386" s="210"/>
      <c r="S7386" s="232"/>
      <c r="T7386" s="270"/>
    </row>
    <row r="7387" spans="14:20" x14ac:dyDescent="0.25">
      <c r="N7387" s="362"/>
      <c r="R7387" s="210"/>
      <c r="S7387" s="232"/>
      <c r="T7387" s="270"/>
    </row>
    <row r="7388" spans="14:20" x14ac:dyDescent="0.25">
      <c r="N7388" s="362"/>
      <c r="R7388" s="210"/>
      <c r="S7388" s="232"/>
      <c r="T7388" s="270"/>
    </row>
    <row r="7389" spans="14:20" x14ac:dyDescent="0.25">
      <c r="N7389" s="362"/>
      <c r="R7389" s="210"/>
      <c r="S7389" s="232"/>
      <c r="T7389" s="270"/>
    </row>
    <row r="7390" spans="14:20" x14ac:dyDescent="0.25">
      <c r="N7390" s="362"/>
      <c r="R7390" s="210"/>
      <c r="S7390" s="232"/>
      <c r="T7390" s="270"/>
    </row>
    <row r="7391" spans="14:20" x14ac:dyDescent="0.25">
      <c r="N7391" s="362"/>
      <c r="R7391" s="210"/>
      <c r="S7391" s="232"/>
      <c r="T7391" s="270"/>
    </row>
    <row r="7392" spans="14:20" x14ac:dyDescent="0.25">
      <c r="N7392" s="362"/>
      <c r="R7392" s="210"/>
      <c r="S7392" s="232"/>
      <c r="T7392" s="270"/>
    </row>
    <row r="7393" spans="14:20" x14ac:dyDescent="0.25">
      <c r="N7393" s="362"/>
      <c r="R7393" s="210"/>
      <c r="S7393" s="232"/>
      <c r="T7393" s="270"/>
    </row>
    <row r="7394" spans="14:20" x14ac:dyDescent="0.25">
      <c r="N7394" s="362"/>
      <c r="R7394" s="210"/>
      <c r="S7394" s="232"/>
      <c r="T7394" s="270"/>
    </row>
    <row r="7395" spans="14:20" x14ac:dyDescent="0.25">
      <c r="N7395" s="362"/>
      <c r="R7395" s="210"/>
      <c r="S7395" s="232"/>
      <c r="T7395" s="270"/>
    </row>
    <row r="7396" spans="14:20" x14ac:dyDescent="0.25">
      <c r="N7396" s="362"/>
      <c r="R7396" s="210"/>
      <c r="S7396" s="232"/>
      <c r="T7396" s="270"/>
    </row>
    <row r="7397" spans="14:20" x14ac:dyDescent="0.25">
      <c r="N7397" s="362"/>
      <c r="R7397" s="210"/>
      <c r="S7397" s="232"/>
      <c r="T7397" s="270"/>
    </row>
    <row r="7398" spans="14:20" x14ac:dyDescent="0.25">
      <c r="N7398" s="362"/>
      <c r="R7398" s="210"/>
      <c r="S7398" s="232"/>
      <c r="T7398" s="270"/>
    </row>
    <row r="7399" spans="14:20" x14ac:dyDescent="0.25">
      <c r="N7399" s="362"/>
      <c r="R7399" s="210"/>
      <c r="S7399" s="232"/>
      <c r="T7399" s="270"/>
    </row>
    <row r="7400" spans="14:20" x14ac:dyDescent="0.25">
      <c r="N7400" s="362"/>
      <c r="R7400" s="210"/>
      <c r="S7400" s="232"/>
      <c r="T7400" s="270"/>
    </row>
    <row r="7401" spans="14:20" x14ac:dyDescent="0.25">
      <c r="N7401" s="362"/>
      <c r="R7401" s="210"/>
      <c r="S7401" s="232"/>
      <c r="T7401" s="270"/>
    </row>
    <row r="7402" spans="14:20" x14ac:dyDescent="0.25">
      <c r="N7402" s="362"/>
      <c r="R7402" s="210"/>
      <c r="S7402" s="232"/>
      <c r="T7402" s="270"/>
    </row>
    <row r="7403" spans="14:20" x14ac:dyDescent="0.25">
      <c r="N7403" s="362"/>
      <c r="R7403" s="210"/>
      <c r="S7403" s="232"/>
      <c r="T7403" s="270"/>
    </row>
    <row r="7404" spans="14:20" x14ac:dyDescent="0.25">
      <c r="N7404" s="362"/>
      <c r="R7404" s="210"/>
      <c r="S7404" s="232"/>
      <c r="T7404" s="270"/>
    </row>
    <row r="7405" spans="14:20" x14ac:dyDescent="0.25">
      <c r="N7405" s="362"/>
      <c r="R7405" s="210"/>
      <c r="S7405" s="232"/>
      <c r="T7405" s="270"/>
    </row>
    <row r="7406" spans="14:20" x14ac:dyDescent="0.25">
      <c r="N7406" s="362"/>
      <c r="R7406" s="210"/>
      <c r="S7406" s="232"/>
      <c r="T7406" s="270"/>
    </row>
    <row r="7407" spans="14:20" x14ac:dyDescent="0.25">
      <c r="N7407" s="362"/>
      <c r="R7407" s="210"/>
      <c r="S7407" s="232"/>
      <c r="T7407" s="270"/>
    </row>
    <row r="7408" spans="14:20" x14ac:dyDescent="0.25">
      <c r="N7408" s="362"/>
      <c r="R7408" s="210"/>
      <c r="S7408" s="232"/>
      <c r="T7408" s="270"/>
    </row>
    <row r="7409" spans="14:20" x14ac:dyDescent="0.25">
      <c r="N7409" s="362"/>
      <c r="R7409" s="210"/>
      <c r="S7409" s="232"/>
      <c r="T7409" s="270"/>
    </row>
    <row r="7410" spans="14:20" x14ac:dyDescent="0.25">
      <c r="N7410" s="362"/>
      <c r="R7410" s="210"/>
      <c r="S7410" s="232"/>
      <c r="T7410" s="270"/>
    </row>
    <row r="7411" spans="14:20" x14ac:dyDescent="0.25">
      <c r="N7411" s="362"/>
      <c r="R7411" s="210"/>
      <c r="S7411" s="232"/>
      <c r="T7411" s="270"/>
    </row>
    <row r="7412" spans="14:20" x14ac:dyDescent="0.25">
      <c r="N7412" s="362"/>
      <c r="R7412" s="210"/>
      <c r="S7412" s="232"/>
      <c r="T7412" s="270"/>
    </row>
    <row r="7413" spans="14:20" x14ac:dyDescent="0.25">
      <c r="N7413" s="362"/>
      <c r="R7413" s="210"/>
      <c r="S7413" s="232"/>
      <c r="T7413" s="270"/>
    </row>
    <row r="7414" spans="14:20" x14ac:dyDescent="0.25">
      <c r="N7414" s="362"/>
      <c r="R7414" s="210"/>
      <c r="S7414" s="232"/>
      <c r="T7414" s="270"/>
    </row>
    <row r="7415" spans="14:20" x14ac:dyDescent="0.25">
      <c r="N7415" s="362"/>
      <c r="R7415" s="210"/>
      <c r="S7415" s="232"/>
      <c r="T7415" s="270"/>
    </row>
    <row r="7416" spans="14:20" x14ac:dyDescent="0.25">
      <c r="N7416" s="362"/>
      <c r="R7416" s="210"/>
      <c r="S7416" s="232"/>
      <c r="T7416" s="270"/>
    </row>
    <row r="7417" spans="14:20" x14ac:dyDescent="0.25">
      <c r="N7417" s="362"/>
      <c r="R7417" s="210"/>
      <c r="S7417" s="232"/>
      <c r="T7417" s="270"/>
    </row>
    <row r="7418" spans="14:20" x14ac:dyDescent="0.25">
      <c r="N7418" s="362"/>
      <c r="R7418" s="210"/>
      <c r="S7418" s="232"/>
      <c r="T7418" s="270"/>
    </row>
    <row r="7419" spans="14:20" x14ac:dyDescent="0.25">
      <c r="N7419" s="362"/>
      <c r="R7419" s="210"/>
      <c r="S7419" s="232"/>
      <c r="T7419" s="270"/>
    </row>
    <row r="7420" spans="14:20" x14ac:dyDescent="0.25">
      <c r="N7420" s="362"/>
      <c r="R7420" s="210"/>
      <c r="S7420" s="232"/>
      <c r="T7420" s="270"/>
    </row>
    <row r="7421" spans="14:20" x14ac:dyDescent="0.25">
      <c r="N7421" s="362"/>
      <c r="R7421" s="210"/>
      <c r="S7421" s="232"/>
      <c r="T7421" s="270"/>
    </row>
    <row r="7422" spans="14:20" x14ac:dyDescent="0.25">
      <c r="N7422" s="362"/>
      <c r="R7422" s="210"/>
      <c r="S7422" s="232"/>
      <c r="T7422" s="270"/>
    </row>
    <row r="7423" spans="14:20" x14ac:dyDescent="0.25">
      <c r="N7423" s="362"/>
      <c r="R7423" s="210"/>
      <c r="S7423" s="232"/>
      <c r="T7423" s="270"/>
    </row>
    <row r="7424" spans="14:20" x14ac:dyDescent="0.25">
      <c r="N7424" s="362"/>
      <c r="R7424" s="210"/>
      <c r="S7424" s="232"/>
      <c r="T7424" s="270"/>
    </row>
    <row r="7425" spans="14:20" x14ac:dyDescent="0.25">
      <c r="N7425" s="362"/>
      <c r="R7425" s="210"/>
      <c r="S7425" s="232"/>
      <c r="T7425" s="270"/>
    </row>
    <row r="7426" spans="14:20" x14ac:dyDescent="0.25">
      <c r="N7426" s="362"/>
      <c r="R7426" s="210"/>
      <c r="S7426" s="232"/>
      <c r="T7426" s="270"/>
    </row>
    <row r="7427" spans="14:20" x14ac:dyDescent="0.25">
      <c r="N7427" s="362"/>
      <c r="R7427" s="210"/>
      <c r="S7427" s="232"/>
      <c r="T7427" s="270"/>
    </row>
    <row r="7428" spans="14:20" x14ac:dyDescent="0.25">
      <c r="N7428" s="362"/>
      <c r="R7428" s="210"/>
      <c r="S7428" s="232"/>
      <c r="T7428" s="270"/>
    </row>
    <row r="7429" spans="14:20" x14ac:dyDescent="0.25">
      <c r="N7429" s="362"/>
      <c r="R7429" s="210"/>
      <c r="S7429" s="232"/>
      <c r="T7429" s="270"/>
    </row>
    <row r="7430" spans="14:20" x14ac:dyDescent="0.25">
      <c r="N7430" s="362"/>
      <c r="R7430" s="210"/>
      <c r="S7430" s="232"/>
      <c r="T7430" s="270"/>
    </row>
    <row r="7431" spans="14:20" x14ac:dyDescent="0.25">
      <c r="N7431" s="362"/>
      <c r="R7431" s="210"/>
      <c r="S7431" s="232"/>
      <c r="T7431" s="270"/>
    </row>
    <row r="7432" spans="14:20" x14ac:dyDescent="0.25">
      <c r="N7432" s="362"/>
      <c r="R7432" s="210"/>
      <c r="S7432" s="232"/>
      <c r="T7432" s="270"/>
    </row>
    <row r="7433" spans="14:20" x14ac:dyDescent="0.25">
      <c r="N7433" s="362"/>
      <c r="R7433" s="210"/>
      <c r="S7433" s="232"/>
      <c r="T7433" s="270"/>
    </row>
    <row r="7434" spans="14:20" x14ac:dyDescent="0.25">
      <c r="N7434" s="362"/>
      <c r="R7434" s="210"/>
      <c r="S7434" s="232"/>
      <c r="T7434" s="270"/>
    </row>
    <row r="7435" spans="14:20" x14ac:dyDescent="0.25">
      <c r="N7435" s="362"/>
      <c r="R7435" s="210"/>
      <c r="S7435" s="232"/>
      <c r="T7435" s="270"/>
    </row>
    <row r="7436" spans="14:20" x14ac:dyDescent="0.25">
      <c r="N7436" s="362"/>
      <c r="R7436" s="210"/>
      <c r="S7436" s="232"/>
      <c r="T7436" s="270"/>
    </row>
    <row r="7437" spans="14:20" x14ac:dyDescent="0.25">
      <c r="N7437" s="362"/>
      <c r="R7437" s="210"/>
      <c r="S7437" s="232"/>
      <c r="T7437" s="270"/>
    </row>
    <row r="7438" spans="14:20" x14ac:dyDescent="0.25">
      <c r="N7438" s="362"/>
      <c r="R7438" s="210"/>
      <c r="S7438" s="232"/>
      <c r="T7438" s="270"/>
    </row>
    <row r="7439" spans="14:20" x14ac:dyDescent="0.25">
      <c r="N7439" s="362"/>
      <c r="R7439" s="210"/>
      <c r="S7439" s="232"/>
      <c r="T7439" s="270"/>
    </row>
    <row r="7440" spans="14:20" x14ac:dyDescent="0.25">
      <c r="N7440" s="362"/>
      <c r="R7440" s="210"/>
      <c r="S7440" s="232"/>
      <c r="T7440" s="270"/>
    </row>
    <row r="7441" spans="14:20" x14ac:dyDescent="0.25">
      <c r="N7441" s="362"/>
      <c r="R7441" s="210"/>
      <c r="S7441" s="232"/>
      <c r="T7441" s="270"/>
    </row>
    <row r="7442" spans="14:20" x14ac:dyDescent="0.25">
      <c r="N7442" s="362"/>
      <c r="R7442" s="210"/>
      <c r="S7442" s="232"/>
      <c r="T7442" s="270"/>
    </row>
    <row r="7443" spans="14:20" x14ac:dyDescent="0.25">
      <c r="N7443" s="362"/>
      <c r="R7443" s="210"/>
      <c r="S7443" s="232"/>
      <c r="T7443" s="270"/>
    </row>
    <row r="7444" spans="14:20" x14ac:dyDescent="0.25">
      <c r="N7444" s="362"/>
      <c r="R7444" s="210"/>
      <c r="S7444" s="232"/>
      <c r="T7444" s="270"/>
    </row>
    <row r="7445" spans="14:20" x14ac:dyDescent="0.25">
      <c r="N7445" s="362"/>
      <c r="R7445" s="210"/>
      <c r="S7445" s="232"/>
      <c r="T7445" s="270"/>
    </row>
    <row r="7446" spans="14:20" x14ac:dyDescent="0.25">
      <c r="N7446" s="362"/>
      <c r="R7446" s="210"/>
      <c r="S7446" s="232"/>
      <c r="T7446" s="270"/>
    </row>
    <row r="7447" spans="14:20" x14ac:dyDescent="0.25">
      <c r="N7447" s="362"/>
      <c r="R7447" s="210"/>
      <c r="S7447" s="232"/>
      <c r="T7447" s="270"/>
    </row>
    <row r="7448" spans="14:20" x14ac:dyDescent="0.25">
      <c r="N7448" s="362"/>
      <c r="R7448" s="210"/>
      <c r="S7448" s="232"/>
      <c r="T7448" s="270"/>
    </row>
    <row r="7449" spans="14:20" x14ac:dyDescent="0.25">
      <c r="N7449" s="362"/>
      <c r="R7449" s="210"/>
      <c r="S7449" s="232"/>
      <c r="T7449" s="270"/>
    </row>
    <row r="7450" spans="14:20" x14ac:dyDescent="0.25">
      <c r="N7450" s="362"/>
      <c r="R7450" s="210"/>
      <c r="S7450" s="232"/>
      <c r="T7450" s="270"/>
    </row>
    <row r="7451" spans="14:20" x14ac:dyDescent="0.25">
      <c r="N7451" s="362"/>
      <c r="R7451" s="210"/>
      <c r="S7451" s="232"/>
      <c r="T7451" s="270"/>
    </row>
    <row r="7452" spans="14:20" x14ac:dyDescent="0.25">
      <c r="N7452" s="362"/>
      <c r="R7452" s="210"/>
      <c r="S7452" s="232"/>
      <c r="T7452" s="270"/>
    </row>
    <row r="7453" spans="14:20" x14ac:dyDescent="0.25">
      <c r="N7453" s="362"/>
      <c r="R7453" s="210"/>
      <c r="S7453" s="232"/>
      <c r="T7453" s="270"/>
    </row>
    <row r="7454" spans="14:20" x14ac:dyDescent="0.25">
      <c r="N7454" s="362"/>
      <c r="R7454" s="210"/>
      <c r="S7454" s="232"/>
      <c r="T7454" s="270"/>
    </row>
    <row r="7455" spans="14:20" x14ac:dyDescent="0.25">
      <c r="N7455" s="362"/>
      <c r="R7455" s="210"/>
      <c r="S7455" s="232"/>
      <c r="T7455" s="270"/>
    </row>
    <row r="7456" spans="14:20" x14ac:dyDescent="0.25">
      <c r="N7456" s="362"/>
      <c r="R7456" s="210"/>
      <c r="S7456" s="232"/>
      <c r="T7456" s="270"/>
    </row>
    <row r="7457" spans="14:20" x14ac:dyDescent="0.25">
      <c r="N7457" s="362"/>
      <c r="R7457" s="210"/>
      <c r="S7457" s="232"/>
      <c r="T7457" s="270"/>
    </row>
    <row r="7458" spans="14:20" x14ac:dyDescent="0.25">
      <c r="N7458" s="362"/>
      <c r="R7458" s="210"/>
      <c r="S7458" s="232"/>
      <c r="T7458" s="270"/>
    </row>
    <row r="7459" spans="14:20" x14ac:dyDescent="0.25">
      <c r="N7459" s="362"/>
      <c r="R7459" s="210"/>
      <c r="S7459" s="232"/>
      <c r="T7459" s="270"/>
    </row>
    <row r="7460" spans="14:20" x14ac:dyDescent="0.25">
      <c r="N7460" s="362"/>
      <c r="R7460" s="210"/>
      <c r="S7460" s="232"/>
      <c r="T7460" s="270"/>
    </row>
    <row r="7461" spans="14:20" x14ac:dyDescent="0.25">
      <c r="N7461" s="362"/>
      <c r="R7461" s="210"/>
      <c r="S7461" s="232"/>
      <c r="T7461" s="270"/>
    </row>
    <row r="7462" spans="14:20" x14ac:dyDescent="0.25">
      <c r="N7462" s="362"/>
      <c r="R7462" s="210"/>
      <c r="S7462" s="232"/>
      <c r="T7462" s="270"/>
    </row>
    <row r="7463" spans="14:20" x14ac:dyDescent="0.25">
      <c r="N7463" s="362"/>
      <c r="R7463" s="210"/>
      <c r="S7463" s="232"/>
      <c r="T7463" s="270"/>
    </row>
    <row r="7464" spans="14:20" x14ac:dyDescent="0.25">
      <c r="N7464" s="362"/>
      <c r="R7464" s="210"/>
      <c r="S7464" s="232"/>
      <c r="T7464" s="270"/>
    </row>
    <row r="7465" spans="14:20" x14ac:dyDescent="0.25">
      <c r="N7465" s="362"/>
      <c r="R7465" s="210"/>
      <c r="S7465" s="232"/>
      <c r="T7465" s="270"/>
    </row>
    <row r="7466" spans="14:20" x14ac:dyDescent="0.25">
      <c r="N7466" s="362"/>
      <c r="R7466" s="210"/>
      <c r="S7466" s="232"/>
      <c r="T7466" s="270"/>
    </row>
    <row r="7467" spans="14:20" x14ac:dyDescent="0.25">
      <c r="N7467" s="362"/>
      <c r="R7467" s="210"/>
      <c r="S7467" s="232"/>
      <c r="T7467" s="270"/>
    </row>
    <row r="7468" spans="14:20" x14ac:dyDescent="0.25">
      <c r="N7468" s="362"/>
      <c r="R7468" s="210"/>
      <c r="S7468" s="232"/>
      <c r="T7468" s="270"/>
    </row>
    <row r="7469" spans="14:20" x14ac:dyDescent="0.25">
      <c r="N7469" s="362"/>
      <c r="R7469" s="210"/>
      <c r="S7469" s="232"/>
      <c r="T7469" s="270"/>
    </row>
    <row r="7470" spans="14:20" x14ac:dyDescent="0.25">
      <c r="N7470" s="362"/>
      <c r="R7470" s="210"/>
      <c r="S7470" s="232"/>
      <c r="T7470" s="270"/>
    </row>
    <row r="7471" spans="14:20" x14ac:dyDescent="0.25">
      <c r="N7471" s="362"/>
      <c r="R7471" s="210"/>
      <c r="S7471" s="232"/>
      <c r="T7471" s="270"/>
    </row>
    <row r="7472" spans="14:20" x14ac:dyDescent="0.25">
      <c r="N7472" s="362"/>
      <c r="R7472" s="210"/>
      <c r="S7472" s="232"/>
      <c r="T7472" s="270"/>
    </row>
    <row r="7473" spans="14:20" x14ac:dyDescent="0.25">
      <c r="N7473" s="362"/>
      <c r="R7473" s="210"/>
      <c r="S7473" s="232"/>
      <c r="T7473" s="270"/>
    </row>
    <row r="7474" spans="14:20" x14ac:dyDescent="0.25">
      <c r="N7474" s="362"/>
      <c r="R7474" s="210"/>
      <c r="S7474" s="232"/>
      <c r="T7474" s="270"/>
    </row>
    <row r="7475" spans="14:20" x14ac:dyDescent="0.25">
      <c r="N7475" s="362"/>
      <c r="R7475" s="210"/>
      <c r="S7475" s="232"/>
      <c r="T7475" s="270"/>
    </row>
    <row r="7476" spans="14:20" x14ac:dyDescent="0.25">
      <c r="N7476" s="362"/>
      <c r="R7476" s="210"/>
      <c r="S7476" s="232"/>
      <c r="T7476" s="270"/>
    </row>
    <row r="7477" spans="14:20" x14ac:dyDescent="0.25">
      <c r="N7477" s="362"/>
      <c r="R7477" s="210"/>
      <c r="S7477" s="232"/>
      <c r="T7477" s="270"/>
    </row>
    <row r="7478" spans="14:20" x14ac:dyDescent="0.25">
      <c r="N7478" s="362"/>
      <c r="R7478" s="210"/>
      <c r="S7478" s="232"/>
      <c r="T7478" s="270"/>
    </row>
    <row r="7479" spans="14:20" x14ac:dyDescent="0.25">
      <c r="N7479" s="362"/>
      <c r="R7479" s="210"/>
      <c r="S7479" s="232"/>
      <c r="T7479" s="270"/>
    </row>
    <row r="7480" spans="14:20" x14ac:dyDescent="0.25">
      <c r="N7480" s="362"/>
      <c r="R7480" s="210"/>
      <c r="S7480" s="232"/>
      <c r="T7480" s="270"/>
    </row>
    <row r="7481" spans="14:20" x14ac:dyDescent="0.25">
      <c r="N7481" s="362"/>
      <c r="R7481" s="210"/>
      <c r="S7481" s="232"/>
      <c r="T7481" s="270"/>
    </row>
    <row r="7482" spans="14:20" x14ac:dyDescent="0.25">
      <c r="N7482" s="362"/>
      <c r="R7482" s="210"/>
      <c r="S7482" s="232"/>
      <c r="T7482" s="270"/>
    </row>
    <row r="7483" spans="14:20" x14ac:dyDescent="0.25">
      <c r="N7483" s="362"/>
      <c r="R7483" s="210"/>
      <c r="S7483" s="232"/>
      <c r="T7483" s="270"/>
    </row>
    <row r="7484" spans="14:20" x14ac:dyDescent="0.25">
      <c r="N7484" s="362"/>
      <c r="R7484" s="210"/>
      <c r="S7484" s="232"/>
      <c r="T7484" s="270"/>
    </row>
    <row r="7485" spans="14:20" x14ac:dyDescent="0.25">
      <c r="N7485" s="362"/>
      <c r="R7485" s="210"/>
      <c r="S7485" s="232"/>
      <c r="T7485" s="270"/>
    </row>
    <row r="7486" spans="14:20" x14ac:dyDescent="0.25">
      <c r="N7486" s="362"/>
      <c r="R7486" s="210"/>
      <c r="S7486" s="232"/>
      <c r="T7486" s="270"/>
    </row>
    <row r="7487" spans="14:20" x14ac:dyDescent="0.25">
      <c r="N7487" s="362"/>
      <c r="R7487" s="210"/>
      <c r="S7487" s="232"/>
      <c r="T7487" s="270"/>
    </row>
    <row r="7488" spans="14:20" x14ac:dyDescent="0.25">
      <c r="N7488" s="362"/>
      <c r="R7488" s="210"/>
      <c r="S7488" s="232"/>
      <c r="T7488" s="270"/>
    </row>
    <row r="7489" spans="14:20" x14ac:dyDescent="0.25">
      <c r="N7489" s="362"/>
      <c r="R7489" s="210"/>
      <c r="S7489" s="232"/>
      <c r="T7489" s="270"/>
    </row>
    <row r="7490" spans="14:20" x14ac:dyDescent="0.25">
      <c r="N7490" s="362"/>
      <c r="R7490" s="210"/>
      <c r="S7490" s="232"/>
      <c r="T7490" s="270"/>
    </row>
    <row r="7491" spans="14:20" x14ac:dyDescent="0.25">
      <c r="N7491" s="362"/>
      <c r="R7491" s="210"/>
      <c r="S7491" s="232"/>
      <c r="T7491" s="270"/>
    </row>
    <row r="7492" spans="14:20" x14ac:dyDescent="0.25">
      <c r="N7492" s="362"/>
      <c r="R7492" s="210"/>
      <c r="S7492" s="232"/>
      <c r="T7492" s="270"/>
    </row>
    <row r="7493" spans="14:20" x14ac:dyDescent="0.25">
      <c r="N7493" s="362"/>
      <c r="R7493" s="210"/>
      <c r="S7493" s="232"/>
      <c r="T7493" s="270"/>
    </row>
    <row r="7494" spans="14:20" x14ac:dyDescent="0.25">
      <c r="N7494" s="362"/>
      <c r="R7494" s="210"/>
      <c r="S7494" s="232"/>
      <c r="T7494" s="270"/>
    </row>
    <row r="7495" spans="14:20" x14ac:dyDescent="0.25">
      <c r="N7495" s="362"/>
      <c r="R7495" s="210"/>
      <c r="S7495" s="232"/>
      <c r="T7495" s="270"/>
    </row>
    <row r="7496" spans="14:20" x14ac:dyDescent="0.25">
      <c r="N7496" s="362"/>
      <c r="R7496" s="210"/>
      <c r="S7496" s="232"/>
      <c r="T7496" s="270"/>
    </row>
    <row r="7497" spans="14:20" x14ac:dyDescent="0.25">
      <c r="N7497" s="362"/>
      <c r="R7497" s="210"/>
      <c r="S7497" s="232"/>
      <c r="T7497" s="270"/>
    </row>
    <row r="7498" spans="14:20" x14ac:dyDescent="0.25">
      <c r="N7498" s="362"/>
      <c r="R7498" s="210"/>
      <c r="S7498" s="232"/>
      <c r="T7498" s="270"/>
    </row>
    <row r="7499" spans="14:20" x14ac:dyDescent="0.25">
      <c r="N7499" s="362"/>
      <c r="R7499" s="210"/>
      <c r="S7499" s="232"/>
      <c r="T7499" s="270"/>
    </row>
    <row r="7500" spans="14:20" x14ac:dyDescent="0.25">
      <c r="N7500" s="362"/>
      <c r="R7500" s="210"/>
      <c r="S7500" s="232"/>
      <c r="T7500" s="270"/>
    </row>
    <row r="7501" spans="14:20" x14ac:dyDescent="0.25">
      <c r="N7501" s="362"/>
      <c r="R7501" s="210"/>
      <c r="S7501" s="232"/>
      <c r="T7501" s="270"/>
    </row>
    <row r="7502" spans="14:20" x14ac:dyDescent="0.25">
      <c r="N7502" s="362"/>
      <c r="R7502" s="210"/>
      <c r="S7502" s="232"/>
      <c r="T7502" s="270"/>
    </row>
    <row r="7503" spans="14:20" x14ac:dyDescent="0.25">
      <c r="N7503" s="362"/>
      <c r="R7503" s="210"/>
      <c r="S7503" s="232"/>
      <c r="T7503" s="270"/>
    </row>
    <row r="7504" spans="14:20" x14ac:dyDescent="0.25">
      <c r="N7504" s="362"/>
      <c r="R7504" s="210"/>
      <c r="S7504" s="232"/>
      <c r="T7504" s="270"/>
    </row>
    <row r="7505" spans="14:20" x14ac:dyDescent="0.25">
      <c r="N7505" s="362"/>
      <c r="R7505" s="210"/>
      <c r="S7505" s="232"/>
      <c r="T7505" s="270"/>
    </row>
    <row r="7506" spans="14:20" x14ac:dyDescent="0.25">
      <c r="N7506" s="362"/>
      <c r="R7506" s="210"/>
      <c r="S7506" s="232"/>
      <c r="T7506" s="270"/>
    </row>
    <row r="7507" spans="14:20" x14ac:dyDescent="0.25">
      <c r="N7507" s="362"/>
      <c r="R7507" s="210"/>
      <c r="S7507" s="232"/>
      <c r="T7507" s="270"/>
    </row>
    <row r="7508" spans="14:20" x14ac:dyDescent="0.25">
      <c r="N7508" s="362"/>
      <c r="R7508" s="210"/>
      <c r="S7508" s="232"/>
      <c r="T7508" s="270"/>
    </row>
    <row r="7509" spans="14:20" x14ac:dyDescent="0.25">
      <c r="N7509" s="362"/>
      <c r="R7509" s="210"/>
      <c r="S7509" s="232"/>
      <c r="T7509" s="270"/>
    </row>
    <row r="7510" spans="14:20" x14ac:dyDescent="0.25">
      <c r="N7510" s="362"/>
      <c r="R7510" s="210"/>
      <c r="S7510" s="232"/>
      <c r="T7510" s="270"/>
    </row>
    <row r="7511" spans="14:20" x14ac:dyDescent="0.25">
      <c r="N7511" s="362"/>
      <c r="R7511" s="210"/>
      <c r="S7511" s="232"/>
      <c r="T7511" s="270"/>
    </row>
    <row r="7512" spans="14:20" x14ac:dyDescent="0.25">
      <c r="N7512" s="362"/>
      <c r="R7512" s="210"/>
      <c r="S7512" s="232"/>
      <c r="T7512" s="270"/>
    </row>
    <row r="7513" spans="14:20" x14ac:dyDescent="0.25">
      <c r="N7513" s="362"/>
      <c r="R7513" s="210"/>
      <c r="S7513" s="232"/>
      <c r="T7513" s="270"/>
    </row>
    <row r="7514" spans="14:20" x14ac:dyDescent="0.25">
      <c r="N7514" s="362"/>
      <c r="R7514" s="210"/>
      <c r="S7514" s="232"/>
      <c r="T7514" s="270"/>
    </row>
    <row r="7515" spans="14:20" x14ac:dyDescent="0.25">
      <c r="N7515" s="362"/>
      <c r="R7515" s="210"/>
      <c r="S7515" s="232"/>
      <c r="T7515" s="270"/>
    </row>
    <row r="7516" spans="14:20" x14ac:dyDescent="0.25">
      <c r="N7516" s="362"/>
      <c r="R7516" s="210"/>
      <c r="S7516" s="232"/>
      <c r="T7516" s="270"/>
    </row>
    <row r="7517" spans="14:20" x14ac:dyDescent="0.25">
      <c r="N7517" s="362"/>
      <c r="R7517" s="210"/>
      <c r="S7517" s="232"/>
      <c r="T7517" s="270"/>
    </row>
    <row r="7518" spans="14:20" x14ac:dyDescent="0.25">
      <c r="N7518" s="362"/>
      <c r="R7518" s="210"/>
      <c r="S7518" s="232"/>
      <c r="T7518" s="270"/>
    </row>
    <row r="7519" spans="14:20" x14ac:dyDescent="0.25">
      <c r="N7519" s="362"/>
      <c r="R7519" s="210"/>
      <c r="S7519" s="232"/>
      <c r="T7519" s="270"/>
    </row>
    <row r="7520" spans="14:20" x14ac:dyDescent="0.25">
      <c r="N7520" s="362"/>
      <c r="R7520" s="210"/>
      <c r="S7520" s="232"/>
      <c r="T7520" s="270"/>
    </row>
    <row r="7521" spans="14:20" x14ac:dyDescent="0.25">
      <c r="N7521" s="362"/>
      <c r="R7521" s="210"/>
      <c r="S7521" s="232"/>
      <c r="T7521" s="270"/>
    </row>
    <row r="7522" spans="14:20" x14ac:dyDescent="0.25">
      <c r="N7522" s="362"/>
      <c r="R7522" s="210"/>
      <c r="S7522" s="232"/>
      <c r="T7522" s="270"/>
    </row>
    <row r="7523" spans="14:20" x14ac:dyDescent="0.25">
      <c r="N7523" s="362"/>
      <c r="R7523" s="210"/>
      <c r="S7523" s="232"/>
      <c r="T7523" s="270"/>
    </row>
    <row r="7524" spans="14:20" x14ac:dyDescent="0.25">
      <c r="N7524" s="362"/>
      <c r="R7524" s="210"/>
      <c r="S7524" s="232"/>
      <c r="T7524" s="270"/>
    </row>
    <row r="7525" spans="14:20" x14ac:dyDescent="0.25">
      <c r="N7525" s="362"/>
      <c r="R7525" s="210"/>
      <c r="S7525" s="232"/>
      <c r="T7525" s="270"/>
    </row>
    <row r="7526" spans="14:20" x14ac:dyDescent="0.25">
      <c r="N7526" s="362"/>
      <c r="R7526" s="210"/>
      <c r="S7526" s="232"/>
      <c r="T7526" s="270"/>
    </row>
    <row r="7527" spans="14:20" x14ac:dyDescent="0.25">
      <c r="N7527" s="362"/>
      <c r="R7527" s="210"/>
      <c r="S7527" s="232"/>
      <c r="T7527" s="270"/>
    </row>
    <row r="7528" spans="14:20" x14ac:dyDescent="0.25">
      <c r="N7528" s="362"/>
      <c r="R7528" s="210"/>
      <c r="S7528" s="232"/>
      <c r="T7528" s="270"/>
    </row>
    <row r="7529" spans="14:20" x14ac:dyDescent="0.25">
      <c r="N7529" s="362"/>
      <c r="R7529" s="210"/>
      <c r="S7529" s="232"/>
      <c r="T7529" s="270"/>
    </row>
    <row r="7530" spans="14:20" x14ac:dyDescent="0.25">
      <c r="N7530" s="362"/>
      <c r="R7530" s="210"/>
      <c r="S7530" s="232"/>
      <c r="T7530" s="270"/>
    </row>
    <row r="7531" spans="14:20" x14ac:dyDescent="0.25">
      <c r="N7531" s="362"/>
      <c r="R7531" s="210"/>
      <c r="S7531" s="232"/>
      <c r="T7531" s="270"/>
    </row>
    <row r="7532" spans="14:20" x14ac:dyDescent="0.25">
      <c r="N7532" s="362"/>
      <c r="R7532" s="210"/>
      <c r="S7532" s="232"/>
      <c r="T7532" s="270"/>
    </row>
    <row r="7533" spans="14:20" x14ac:dyDescent="0.25">
      <c r="N7533" s="362"/>
      <c r="R7533" s="210"/>
      <c r="S7533" s="232"/>
      <c r="T7533" s="270"/>
    </row>
    <row r="7534" spans="14:20" x14ac:dyDescent="0.25">
      <c r="N7534" s="362"/>
      <c r="R7534" s="210"/>
      <c r="S7534" s="232"/>
      <c r="T7534" s="270"/>
    </row>
    <row r="7535" spans="14:20" x14ac:dyDescent="0.25">
      <c r="N7535" s="362"/>
      <c r="R7535" s="210"/>
      <c r="S7535" s="232"/>
      <c r="T7535" s="270"/>
    </row>
    <row r="7536" spans="14:20" x14ac:dyDescent="0.25">
      <c r="N7536" s="362"/>
      <c r="R7536" s="210"/>
      <c r="S7536" s="232"/>
      <c r="T7536" s="270"/>
    </row>
    <row r="7537" spans="14:20" x14ac:dyDescent="0.25">
      <c r="N7537" s="362"/>
      <c r="R7537" s="210"/>
      <c r="S7537" s="232"/>
      <c r="T7537" s="270"/>
    </row>
    <row r="7538" spans="14:20" x14ac:dyDescent="0.25">
      <c r="N7538" s="362"/>
      <c r="R7538" s="210"/>
      <c r="S7538" s="232"/>
      <c r="T7538" s="270"/>
    </row>
    <row r="7539" spans="14:20" x14ac:dyDescent="0.25">
      <c r="N7539" s="362"/>
      <c r="R7539" s="210"/>
      <c r="S7539" s="232"/>
      <c r="T7539" s="270"/>
    </row>
    <row r="7540" spans="14:20" x14ac:dyDescent="0.25">
      <c r="N7540" s="362"/>
      <c r="R7540" s="210"/>
      <c r="S7540" s="232"/>
      <c r="T7540" s="270"/>
    </row>
    <row r="7541" spans="14:20" x14ac:dyDescent="0.25">
      <c r="N7541" s="362"/>
      <c r="R7541" s="210"/>
      <c r="S7541" s="232"/>
      <c r="T7541" s="270"/>
    </row>
    <row r="7542" spans="14:20" x14ac:dyDescent="0.25">
      <c r="N7542" s="362"/>
      <c r="R7542" s="210"/>
      <c r="S7542" s="232"/>
      <c r="T7542" s="270"/>
    </row>
    <row r="7543" spans="14:20" x14ac:dyDescent="0.25">
      <c r="N7543" s="362"/>
      <c r="R7543" s="210"/>
      <c r="S7543" s="232"/>
      <c r="T7543" s="270"/>
    </row>
    <row r="7544" spans="14:20" x14ac:dyDescent="0.25">
      <c r="N7544" s="362"/>
      <c r="R7544" s="210"/>
      <c r="S7544" s="232"/>
      <c r="T7544" s="270"/>
    </row>
    <row r="7545" spans="14:20" x14ac:dyDescent="0.25">
      <c r="N7545" s="362"/>
      <c r="R7545" s="210"/>
      <c r="S7545" s="232"/>
      <c r="T7545" s="270"/>
    </row>
    <row r="7546" spans="14:20" x14ac:dyDescent="0.25">
      <c r="N7546" s="362"/>
      <c r="R7546" s="210"/>
      <c r="S7546" s="232"/>
      <c r="T7546" s="270"/>
    </row>
    <row r="7547" spans="14:20" x14ac:dyDescent="0.25">
      <c r="N7547" s="362"/>
      <c r="R7547" s="210"/>
      <c r="S7547" s="232"/>
      <c r="T7547" s="270"/>
    </row>
    <row r="7548" spans="14:20" x14ac:dyDescent="0.25">
      <c r="N7548" s="362"/>
      <c r="R7548" s="210"/>
      <c r="S7548" s="232"/>
      <c r="T7548" s="270"/>
    </row>
    <row r="7549" spans="14:20" x14ac:dyDescent="0.25">
      <c r="N7549" s="362"/>
      <c r="R7549" s="210"/>
      <c r="S7549" s="232"/>
      <c r="T7549" s="270"/>
    </row>
    <row r="7550" spans="14:20" x14ac:dyDescent="0.25">
      <c r="N7550" s="362"/>
      <c r="R7550" s="210"/>
      <c r="S7550" s="232"/>
      <c r="T7550" s="270"/>
    </row>
    <row r="7551" spans="14:20" x14ac:dyDescent="0.25">
      <c r="N7551" s="362"/>
      <c r="R7551" s="210"/>
      <c r="S7551" s="232"/>
      <c r="T7551" s="270"/>
    </row>
    <row r="7552" spans="14:20" x14ac:dyDescent="0.25">
      <c r="N7552" s="362"/>
      <c r="R7552" s="210"/>
      <c r="S7552" s="232"/>
      <c r="T7552" s="270"/>
    </row>
    <row r="7553" spans="14:20" x14ac:dyDescent="0.25">
      <c r="N7553" s="362"/>
      <c r="R7553" s="210"/>
      <c r="S7553" s="232"/>
      <c r="T7553" s="270"/>
    </row>
    <row r="7554" spans="14:20" x14ac:dyDescent="0.25">
      <c r="N7554" s="362"/>
      <c r="R7554" s="210"/>
      <c r="S7554" s="232"/>
      <c r="T7554" s="270"/>
    </row>
    <row r="7555" spans="14:20" x14ac:dyDescent="0.25">
      <c r="N7555" s="362"/>
      <c r="R7555" s="210"/>
      <c r="S7555" s="232"/>
      <c r="T7555" s="270"/>
    </row>
    <row r="7556" spans="14:20" x14ac:dyDescent="0.25">
      <c r="N7556" s="362"/>
      <c r="R7556" s="210"/>
      <c r="S7556" s="232"/>
      <c r="T7556" s="270"/>
    </row>
    <row r="7557" spans="14:20" x14ac:dyDescent="0.25">
      <c r="N7557" s="362"/>
      <c r="R7557" s="210"/>
      <c r="S7557" s="232"/>
      <c r="T7557" s="270"/>
    </row>
    <row r="7558" spans="14:20" x14ac:dyDescent="0.25">
      <c r="N7558" s="362"/>
      <c r="R7558" s="210"/>
      <c r="S7558" s="232"/>
      <c r="T7558" s="270"/>
    </row>
    <row r="7559" spans="14:20" x14ac:dyDescent="0.25">
      <c r="N7559" s="362"/>
      <c r="R7559" s="210"/>
      <c r="S7559" s="232"/>
      <c r="T7559" s="270"/>
    </row>
    <row r="7560" spans="14:20" x14ac:dyDescent="0.25">
      <c r="N7560" s="362"/>
      <c r="R7560" s="210"/>
      <c r="S7560" s="232"/>
      <c r="T7560" s="270"/>
    </row>
    <row r="7561" spans="14:20" x14ac:dyDescent="0.25">
      <c r="N7561" s="362"/>
      <c r="R7561" s="210"/>
      <c r="S7561" s="232"/>
      <c r="T7561" s="270"/>
    </row>
    <row r="7562" spans="14:20" x14ac:dyDescent="0.25">
      <c r="N7562" s="362"/>
      <c r="R7562" s="210"/>
      <c r="S7562" s="232"/>
      <c r="T7562" s="270"/>
    </row>
    <row r="7563" spans="14:20" x14ac:dyDescent="0.25">
      <c r="N7563" s="362"/>
      <c r="R7563" s="210"/>
      <c r="S7563" s="232"/>
      <c r="T7563" s="270"/>
    </row>
    <row r="7564" spans="14:20" x14ac:dyDescent="0.25">
      <c r="N7564" s="362"/>
      <c r="R7564" s="210"/>
      <c r="S7564" s="232"/>
      <c r="T7564" s="270"/>
    </row>
    <row r="7565" spans="14:20" x14ac:dyDescent="0.25">
      <c r="N7565" s="362"/>
      <c r="R7565" s="210"/>
      <c r="S7565" s="232"/>
      <c r="T7565" s="270"/>
    </row>
    <row r="7566" spans="14:20" x14ac:dyDescent="0.25">
      <c r="N7566" s="362"/>
      <c r="R7566" s="210"/>
      <c r="S7566" s="232"/>
      <c r="T7566" s="270"/>
    </row>
    <row r="7567" spans="14:20" x14ac:dyDescent="0.25">
      <c r="N7567" s="362"/>
      <c r="R7567" s="210"/>
      <c r="S7567" s="232"/>
      <c r="T7567" s="270"/>
    </row>
    <row r="7568" spans="14:20" x14ac:dyDescent="0.25">
      <c r="N7568" s="362"/>
      <c r="R7568" s="210"/>
      <c r="S7568" s="232"/>
      <c r="T7568" s="270"/>
    </row>
    <row r="7569" spans="14:20" x14ac:dyDescent="0.25">
      <c r="N7569" s="362"/>
      <c r="R7569" s="210"/>
      <c r="S7569" s="232"/>
      <c r="T7569" s="270"/>
    </row>
    <row r="7570" spans="14:20" x14ac:dyDescent="0.25">
      <c r="N7570" s="362"/>
      <c r="R7570" s="210"/>
      <c r="S7570" s="232"/>
      <c r="T7570" s="270"/>
    </row>
    <row r="7571" spans="14:20" x14ac:dyDescent="0.25">
      <c r="N7571" s="362"/>
      <c r="R7571" s="210"/>
      <c r="S7571" s="232"/>
      <c r="T7571" s="270"/>
    </row>
    <row r="7572" spans="14:20" x14ac:dyDescent="0.25">
      <c r="N7572" s="362"/>
      <c r="R7572" s="210"/>
      <c r="S7572" s="232"/>
      <c r="T7572" s="270"/>
    </row>
    <row r="7573" spans="14:20" x14ac:dyDescent="0.25">
      <c r="N7573" s="362"/>
      <c r="R7573" s="210"/>
      <c r="S7573" s="232"/>
      <c r="T7573" s="270"/>
    </row>
    <row r="7574" spans="14:20" x14ac:dyDescent="0.25">
      <c r="N7574" s="362"/>
      <c r="R7574" s="210"/>
      <c r="S7574" s="232"/>
      <c r="T7574" s="270"/>
    </row>
    <row r="7575" spans="14:20" x14ac:dyDescent="0.25">
      <c r="N7575" s="362"/>
      <c r="R7575" s="210"/>
      <c r="S7575" s="232"/>
      <c r="T7575" s="270"/>
    </row>
    <row r="7576" spans="14:20" x14ac:dyDescent="0.25">
      <c r="N7576" s="362"/>
      <c r="R7576" s="210"/>
      <c r="S7576" s="232"/>
      <c r="T7576" s="270"/>
    </row>
    <row r="7577" spans="14:20" x14ac:dyDescent="0.25">
      <c r="N7577" s="362"/>
      <c r="R7577" s="210"/>
      <c r="S7577" s="232"/>
      <c r="T7577" s="270"/>
    </row>
    <row r="7578" spans="14:20" x14ac:dyDescent="0.25">
      <c r="N7578" s="362"/>
      <c r="R7578" s="210"/>
      <c r="S7578" s="232"/>
      <c r="T7578" s="270"/>
    </row>
    <row r="7579" spans="14:20" x14ac:dyDescent="0.25">
      <c r="N7579" s="362"/>
      <c r="R7579" s="210"/>
      <c r="S7579" s="232"/>
      <c r="T7579" s="270"/>
    </row>
    <row r="7580" spans="14:20" x14ac:dyDescent="0.25">
      <c r="N7580" s="362"/>
      <c r="R7580" s="210"/>
      <c r="S7580" s="232"/>
      <c r="T7580" s="270"/>
    </row>
    <row r="7581" spans="14:20" x14ac:dyDescent="0.25">
      <c r="N7581" s="362"/>
      <c r="R7581" s="210"/>
      <c r="S7581" s="232"/>
      <c r="T7581" s="270"/>
    </row>
    <row r="7582" spans="14:20" x14ac:dyDescent="0.25">
      <c r="N7582" s="362"/>
      <c r="R7582" s="210"/>
      <c r="S7582" s="232"/>
      <c r="T7582" s="270"/>
    </row>
    <row r="7583" spans="14:20" x14ac:dyDescent="0.25">
      <c r="N7583" s="362"/>
      <c r="R7583" s="210"/>
      <c r="S7583" s="232"/>
      <c r="T7583" s="270"/>
    </row>
    <row r="7584" spans="14:20" x14ac:dyDescent="0.25">
      <c r="N7584" s="362"/>
      <c r="R7584" s="210"/>
      <c r="S7584" s="232"/>
      <c r="T7584" s="270"/>
    </row>
    <row r="7585" spans="14:20" x14ac:dyDescent="0.25">
      <c r="N7585" s="362"/>
      <c r="R7585" s="210"/>
      <c r="S7585" s="232"/>
      <c r="T7585" s="270"/>
    </row>
    <row r="7586" spans="14:20" x14ac:dyDescent="0.25">
      <c r="N7586" s="362"/>
      <c r="R7586" s="210"/>
      <c r="S7586" s="232"/>
      <c r="T7586" s="270"/>
    </row>
    <row r="7587" spans="14:20" x14ac:dyDescent="0.25">
      <c r="N7587" s="362"/>
      <c r="R7587" s="210"/>
      <c r="S7587" s="232"/>
      <c r="T7587" s="270"/>
    </row>
    <row r="7588" spans="14:20" x14ac:dyDescent="0.25">
      <c r="N7588" s="362"/>
      <c r="R7588" s="210"/>
      <c r="S7588" s="232"/>
      <c r="T7588" s="270"/>
    </row>
    <row r="7589" spans="14:20" x14ac:dyDescent="0.25">
      <c r="N7589" s="362"/>
      <c r="R7589" s="210"/>
      <c r="S7589" s="232"/>
      <c r="T7589" s="270"/>
    </row>
    <row r="7590" spans="14:20" x14ac:dyDescent="0.25">
      <c r="N7590" s="362"/>
      <c r="R7590" s="210"/>
      <c r="S7590" s="232"/>
      <c r="T7590" s="270"/>
    </row>
    <row r="7591" spans="14:20" x14ac:dyDescent="0.25">
      <c r="N7591" s="362"/>
      <c r="R7591" s="210"/>
      <c r="S7591" s="232"/>
      <c r="T7591" s="270"/>
    </row>
    <row r="7592" spans="14:20" x14ac:dyDescent="0.25">
      <c r="N7592" s="362"/>
      <c r="R7592" s="210"/>
      <c r="S7592" s="232"/>
      <c r="T7592" s="270"/>
    </row>
    <row r="7593" spans="14:20" x14ac:dyDescent="0.25">
      <c r="N7593" s="362"/>
      <c r="R7593" s="210"/>
      <c r="S7593" s="232"/>
      <c r="T7593" s="270"/>
    </row>
    <row r="7594" spans="14:20" x14ac:dyDescent="0.25">
      <c r="N7594" s="362"/>
      <c r="R7594" s="210"/>
      <c r="S7594" s="232"/>
      <c r="T7594" s="270"/>
    </row>
    <row r="7595" spans="14:20" x14ac:dyDescent="0.25">
      <c r="N7595" s="362"/>
      <c r="R7595" s="210"/>
      <c r="S7595" s="232"/>
      <c r="T7595" s="270"/>
    </row>
    <row r="7596" spans="14:20" x14ac:dyDescent="0.25">
      <c r="N7596" s="362"/>
      <c r="R7596" s="210"/>
      <c r="S7596" s="232"/>
      <c r="T7596" s="270"/>
    </row>
    <row r="7597" spans="14:20" x14ac:dyDescent="0.25">
      <c r="N7597" s="362"/>
      <c r="R7597" s="210"/>
      <c r="S7597" s="232"/>
      <c r="T7597" s="270"/>
    </row>
    <row r="7598" spans="14:20" x14ac:dyDescent="0.25">
      <c r="N7598" s="362"/>
      <c r="R7598" s="210"/>
      <c r="S7598" s="232"/>
      <c r="T7598" s="270"/>
    </row>
    <row r="7599" spans="14:20" x14ac:dyDescent="0.25">
      <c r="N7599" s="362"/>
      <c r="R7599" s="210"/>
      <c r="S7599" s="232"/>
      <c r="T7599" s="270"/>
    </row>
    <row r="7600" spans="14:20" x14ac:dyDescent="0.25">
      <c r="N7600" s="362"/>
      <c r="R7600" s="210"/>
      <c r="S7600" s="232"/>
      <c r="T7600" s="270"/>
    </row>
    <row r="7601" spans="14:20" x14ac:dyDescent="0.25">
      <c r="N7601" s="362"/>
      <c r="R7601" s="210"/>
      <c r="S7601" s="232"/>
      <c r="T7601" s="270"/>
    </row>
    <row r="7602" spans="14:20" x14ac:dyDescent="0.25">
      <c r="N7602" s="362"/>
      <c r="R7602" s="210"/>
      <c r="S7602" s="232"/>
      <c r="T7602" s="270"/>
    </row>
    <row r="7603" spans="14:20" x14ac:dyDescent="0.25">
      <c r="N7603" s="362"/>
      <c r="R7603" s="210"/>
      <c r="S7603" s="232"/>
      <c r="T7603" s="270"/>
    </row>
    <row r="7604" spans="14:20" x14ac:dyDescent="0.25">
      <c r="N7604" s="362"/>
      <c r="R7604" s="210"/>
      <c r="S7604" s="232"/>
      <c r="T7604" s="270"/>
    </row>
    <row r="7605" spans="14:20" x14ac:dyDescent="0.25">
      <c r="N7605" s="362"/>
      <c r="R7605" s="210"/>
      <c r="S7605" s="232"/>
      <c r="T7605" s="270"/>
    </row>
    <row r="7606" spans="14:20" x14ac:dyDescent="0.25">
      <c r="N7606" s="362"/>
      <c r="R7606" s="210"/>
      <c r="S7606" s="232"/>
      <c r="T7606" s="270"/>
    </row>
    <row r="7607" spans="14:20" x14ac:dyDescent="0.25">
      <c r="N7607" s="362"/>
      <c r="R7607" s="210"/>
      <c r="S7607" s="232"/>
      <c r="T7607" s="270"/>
    </row>
    <row r="7608" spans="14:20" x14ac:dyDescent="0.25">
      <c r="N7608" s="362"/>
      <c r="R7608" s="210"/>
      <c r="S7608" s="232"/>
      <c r="T7608" s="270"/>
    </row>
    <row r="7609" spans="14:20" x14ac:dyDescent="0.25">
      <c r="N7609" s="362"/>
      <c r="R7609" s="210"/>
      <c r="S7609" s="232"/>
      <c r="T7609" s="270"/>
    </row>
    <row r="7610" spans="14:20" x14ac:dyDescent="0.25">
      <c r="N7610" s="362"/>
      <c r="R7610" s="210"/>
      <c r="S7610" s="232"/>
      <c r="T7610" s="270"/>
    </row>
    <row r="7611" spans="14:20" x14ac:dyDescent="0.25">
      <c r="N7611" s="362"/>
      <c r="R7611" s="210"/>
      <c r="S7611" s="232"/>
      <c r="T7611" s="270"/>
    </row>
    <row r="7612" spans="14:20" x14ac:dyDescent="0.25">
      <c r="N7612" s="362"/>
      <c r="R7612" s="210"/>
      <c r="S7612" s="232"/>
      <c r="T7612" s="270"/>
    </row>
    <row r="7613" spans="14:20" x14ac:dyDescent="0.25">
      <c r="N7613" s="362"/>
      <c r="R7613" s="210"/>
      <c r="S7613" s="232"/>
      <c r="T7613" s="270"/>
    </row>
    <row r="7614" spans="14:20" x14ac:dyDescent="0.25">
      <c r="N7614" s="362"/>
      <c r="R7614" s="210"/>
      <c r="S7614" s="232"/>
      <c r="T7614" s="270"/>
    </row>
    <row r="7615" spans="14:20" x14ac:dyDescent="0.25">
      <c r="N7615" s="362"/>
      <c r="R7615" s="210"/>
      <c r="S7615" s="232"/>
      <c r="T7615" s="270"/>
    </row>
    <row r="7616" spans="14:20" x14ac:dyDescent="0.25">
      <c r="N7616" s="362"/>
      <c r="R7616" s="210"/>
      <c r="S7616" s="232"/>
      <c r="T7616" s="270"/>
    </row>
    <row r="7617" spans="14:20" x14ac:dyDescent="0.25">
      <c r="N7617" s="362"/>
      <c r="R7617" s="210"/>
      <c r="S7617" s="232"/>
      <c r="T7617" s="270"/>
    </row>
    <row r="7618" spans="14:20" x14ac:dyDescent="0.25">
      <c r="N7618" s="362"/>
      <c r="R7618" s="210"/>
      <c r="S7618" s="232"/>
      <c r="T7618" s="270"/>
    </row>
    <row r="7619" spans="14:20" x14ac:dyDescent="0.25">
      <c r="N7619" s="362"/>
      <c r="R7619" s="210"/>
      <c r="S7619" s="232"/>
      <c r="T7619" s="270"/>
    </row>
    <row r="7620" spans="14:20" x14ac:dyDescent="0.25">
      <c r="N7620" s="362"/>
      <c r="R7620" s="210"/>
      <c r="S7620" s="232"/>
      <c r="T7620" s="270"/>
    </row>
    <row r="7621" spans="14:20" x14ac:dyDescent="0.25">
      <c r="N7621" s="362"/>
      <c r="R7621" s="210"/>
      <c r="S7621" s="232"/>
      <c r="T7621" s="270"/>
    </row>
    <row r="7622" spans="14:20" x14ac:dyDescent="0.25">
      <c r="N7622" s="362"/>
      <c r="R7622" s="210"/>
      <c r="S7622" s="232"/>
      <c r="T7622" s="270"/>
    </row>
    <row r="7623" spans="14:20" x14ac:dyDescent="0.25">
      <c r="N7623" s="362"/>
      <c r="R7623" s="210"/>
      <c r="S7623" s="232"/>
      <c r="T7623" s="270"/>
    </row>
    <row r="7624" spans="14:20" x14ac:dyDescent="0.25">
      <c r="N7624" s="362"/>
      <c r="R7624" s="210"/>
      <c r="S7624" s="232"/>
      <c r="T7624" s="270"/>
    </row>
    <row r="7625" spans="14:20" x14ac:dyDescent="0.25">
      <c r="N7625" s="362"/>
      <c r="R7625" s="210"/>
      <c r="S7625" s="232"/>
      <c r="T7625" s="270"/>
    </row>
    <row r="7626" spans="14:20" x14ac:dyDescent="0.25">
      <c r="N7626" s="362"/>
      <c r="R7626" s="210"/>
      <c r="S7626" s="232"/>
      <c r="T7626" s="270"/>
    </row>
    <row r="7627" spans="14:20" x14ac:dyDescent="0.25">
      <c r="N7627" s="362"/>
      <c r="R7627" s="210"/>
      <c r="S7627" s="232"/>
      <c r="T7627" s="270"/>
    </row>
    <row r="7628" spans="14:20" x14ac:dyDescent="0.25">
      <c r="N7628" s="362"/>
      <c r="R7628" s="210"/>
      <c r="S7628" s="232"/>
      <c r="T7628" s="270"/>
    </row>
    <row r="7629" spans="14:20" x14ac:dyDescent="0.25">
      <c r="N7629" s="362"/>
      <c r="R7629" s="210"/>
      <c r="S7629" s="232"/>
      <c r="T7629" s="270"/>
    </row>
    <row r="7630" spans="14:20" x14ac:dyDescent="0.25">
      <c r="N7630" s="362"/>
      <c r="R7630" s="210"/>
      <c r="S7630" s="232"/>
      <c r="T7630" s="270"/>
    </row>
    <row r="7631" spans="14:20" x14ac:dyDescent="0.25">
      <c r="N7631" s="362"/>
      <c r="R7631" s="210"/>
      <c r="S7631" s="232"/>
      <c r="T7631" s="270"/>
    </row>
    <row r="7632" spans="14:20" x14ac:dyDescent="0.25">
      <c r="N7632" s="362"/>
      <c r="R7632" s="210"/>
      <c r="S7632" s="232"/>
      <c r="T7632" s="270"/>
    </row>
    <row r="7633" spans="14:20" x14ac:dyDescent="0.25">
      <c r="N7633" s="362"/>
      <c r="R7633" s="210"/>
      <c r="S7633" s="232"/>
      <c r="T7633" s="270"/>
    </row>
    <row r="7634" spans="14:20" x14ac:dyDescent="0.25">
      <c r="N7634" s="362"/>
      <c r="R7634" s="210"/>
      <c r="S7634" s="232"/>
      <c r="T7634" s="270"/>
    </row>
    <row r="7635" spans="14:20" x14ac:dyDescent="0.25">
      <c r="N7635" s="362"/>
      <c r="R7635" s="210"/>
      <c r="S7635" s="232"/>
      <c r="T7635" s="270"/>
    </row>
    <row r="7636" spans="14:20" x14ac:dyDescent="0.25">
      <c r="N7636" s="362"/>
      <c r="R7636" s="210"/>
      <c r="S7636" s="232"/>
      <c r="T7636" s="270"/>
    </row>
    <row r="7637" spans="14:20" x14ac:dyDescent="0.25">
      <c r="N7637" s="362"/>
      <c r="R7637" s="210"/>
      <c r="S7637" s="232"/>
      <c r="T7637" s="270"/>
    </row>
    <row r="7638" spans="14:20" x14ac:dyDescent="0.25">
      <c r="N7638" s="362"/>
      <c r="R7638" s="210"/>
      <c r="S7638" s="232"/>
      <c r="T7638" s="270"/>
    </row>
    <row r="7639" spans="14:20" x14ac:dyDescent="0.25">
      <c r="N7639" s="362"/>
      <c r="R7639" s="210"/>
      <c r="S7639" s="232"/>
      <c r="T7639" s="270"/>
    </row>
    <row r="7640" spans="14:20" x14ac:dyDescent="0.25">
      <c r="N7640" s="362"/>
      <c r="R7640" s="210"/>
      <c r="S7640" s="232"/>
      <c r="T7640" s="270"/>
    </row>
    <row r="7641" spans="14:20" x14ac:dyDescent="0.25">
      <c r="N7641" s="362"/>
      <c r="R7641" s="210"/>
      <c r="S7641" s="232"/>
      <c r="T7641" s="270"/>
    </row>
    <row r="7642" spans="14:20" x14ac:dyDescent="0.25">
      <c r="N7642" s="362"/>
      <c r="R7642" s="210"/>
      <c r="S7642" s="232"/>
      <c r="T7642" s="270"/>
    </row>
    <row r="7643" spans="14:20" x14ac:dyDescent="0.25">
      <c r="N7643" s="362"/>
      <c r="R7643" s="210"/>
      <c r="S7643" s="232"/>
      <c r="T7643" s="270"/>
    </row>
    <row r="7644" spans="14:20" x14ac:dyDescent="0.25">
      <c r="N7644" s="362"/>
      <c r="R7644" s="210"/>
      <c r="S7644" s="232"/>
      <c r="T7644" s="270"/>
    </row>
    <row r="7645" spans="14:20" x14ac:dyDescent="0.25">
      <c r="N7645" s="362"/>
      <c r="R7645" s="210"/>
      <c r="S7645" s="232"/>
      <c r="T7645" s="270"/>
    </row>
    <row r="7646" spans="14:20" x14ac:dyDescent="0.25">
      <c r="N7646" s="362"/>
      <c r="R7646" s="210"/>
      <c r="S7646" s="232"/>
      <c r="T7646" s="270"/>
    </row>
    <row r="7647" spans="14:20" x14ac:dyDescent="0.25">
      <c r="N7647" s="362"/>
      <c r="R7647" s="210"/>
      <c r="S7647" s="232"/>
      <c r="T7647" s="270"/>
    </row>
    <row r="7648" spans="14:20" x14ac:dyDescent="0.25">
      <c r="N7648" s="362"/>
      <c r="R7648" s="210"/>
      <c r="S7648" s="232"/>
      <c r="T7648" s="270"/>
    </row>
    <row r="7649" spans="14:20" x14ac:dyDescent="0.25">
      <c r="N7649" s="362"/>
      <c r="R7649" s="210"/>
      <c r="S7649" s="232"/>
      <c r="T7649" s="270"/>
    </row>
    <row r="7650" spans="14:20" x14ac:dyDescent="0.25">
      <c r="N7650" s="362"/>
      <c r="R7650" s="210"/>
      <c r="S7650" s="232"/>
      <c r="T7650" s="270"/>
    </row>
    <row r="7651" spans="14:20" x14ac:dyDescent="0.25">
      <c r="N7651" s="362"/>
      <c r="R7651" s="210"/>
      <c r="S7651" s="232"/>
      <c r="T7651" s="270"/>
    </row>
    <row r="7652" spans="14:20" x14ac:dyDescent="0.25">
      <c r="N7652" s="362"/>
      <c r="R7652" s="210"/>
      <c r="S7652" s="232"/>
      <c r="T7652" s="270"/>
    </row>
    <row r="7653" spans="14:20" x14ac:dyDescent="0.25">
      <c r="N7653" s="362"/>
      <c r="R7653" s="210"/>
      <c r="S7653" s="232"/>
      <c r="T7653" s="270"/>
    </row>
    <row r="7654" spans="14:20" x14ac:dyDescent="0.25">
      <c r="N7654" s="362"/>
      <c r="R7654" s="210"/>
      <c r="S7654" s="232"/>
      <c r="T7654" s="270"/>
    </row>
    <row r="7655" spans="14:20" x14ac:dyDescent="0.25">
      <c r="N7655" s="362"/>
      <c r="R7655" s="210"/>
      <c r="S7655" s="232"/>
      <c r="T7655" s="270"/>
    </row>
    <row r="7656" spans="14:20" x14ac:dyDescent="0.25">
      <c r="N7656" s="362"/>
      <c r="R7656" s="210"/>
      <c r="S7656" s="232"/>
      <c r="T7656" s="270"/>
    </row>
    <row r="7657" spans="14:20" x14ac:dyDescent="0.25">
      <c r="N7657" s="362"/>
      <c r="R7657" s="210"/>
      <c r="S7657" s="232"/>
      <c r="T7657" s="270"/>
    </row>
    <row r="7658" spans="14:20" x14ac:dyDescent="0.25">
      <c r="N7658" s="362"/>
      <c r="R7658" s="210"/>
      <c r="S7658" s="232"/>
      <c r="T7658" s="270"/>
    </row>
    <row r="7659" spans="14:20" x14ac:dyDescent="0.25">
      <c r="N7659" s="362"/>
      <c r="R7659" s="210"/>
      <c r="S7659" s="232"/>
      <c r="T7659" s="270"/>
    </row>
    <row r="7660" spans="14:20" x14ac:dyDescent="0.25">
      <c r="N7660" s="362"/>
      <c r="R7660" s="210"/>
      <c r="S7660" s="232"/>
      <c r="T7660" s="270"/>
    </row>
    <row r="7661" spans="14:20" x14ac:dyDescent="0.25">
      <c r="N7661" s="362"/>
      <c r="R7661" s="210"/>
      <c r="S7661" s="232"/>
      <c r="T7661" s="270"/>
    </row>
    <row r="7662" spans="14:20" x14ac:dyDescent="0.25">
      <c r="N7662" s="362"/>
      <c r="R7662" s="210"/>
      <c r="S7662" s="232"/>
      <c r="T7662" s="270"/>
    </row>
    <row r="7663" spans="14:20" x14ac:dyDescent="0.25">
      <c r="N7663" s="362"/>
      <c r="R7663" s="210"/>
      <c r="S7663" s="232"/>
      <c r="T7663" s="270"/>
    </row>
    <row r="7664" spans="14:20" x14ac:dyDescent="0.25">
      <c r="N7664" s="362"/>
      <c r="R7664" s="210"/>
      <c r="S7664" s="232"/>
      <c r="T7664" s="270"/>
    </row>
    <row r="7665" spans="14:20" x14ac:dyDescent="0.25">
      <c r="N7665" s="362"/>
      <c r="R7665" s="210"/>
      <c r="S7665" s="232"/>
      <c r="T7665" s="270"/>
    </row>
    <row r="7666" spans="14:20" x14ac:dyDescent="0.25">
      <c r="N7666" s="362"/>
      <c r="R7666" s="210"/>
      <c r="S7666" s="232"/>
      <c r="T7666" s="270"/>
    </row>
    <row r="7667" spans="14:20" x14ac:dyDescent="0.25">
      <c r="N7667" s="362"/>
      <c r="R7667" s="210"/>
      <c r="S7667" s="232"/>
      <c r="T7667" s="270"/>
    </row>
    <row r="7668" spans="14:20" x14ac:dyDescent="0.25">
      <c r="N7668" s="362"/>
      <c r="R7668" s="210"/>
      <c r="S7668" s="232"/>
      <c r="T7668" s="270"/>
    </row>
    <row r="7669" spans="14:20" x14ac:dyDescent="0.25">
      <c r="N7669" s="362"/>
      <c r="R7669" s="210"/>
      <c r="S7669" s="232"/>
      <c r="T7669" s="270"/>
    </row>
    <row r="7670" spans="14:20" x14ac:dyDescent="0.25">
      <c r="N7670" s="362"/>
      <c r="R7670" s="210"/>
      <c r="S7670" s="232"/>
      <c r="T7670" s="270"/>
    </row>
    <row r="7671" spans="14:20" x14ac:dyDescent="0.25">
      <c r="N7671" s="362"/>
      <c r="R7671" s="210"/>
      <c r="S7671" s="232"/>
      <c r="T7671" s="270"/>
    </row>
    <row r="7672" spans="14:20" x14ac:dyDescent="0.25">
      <c r="N7672" s="362"/>
      <c r="R7672" s="210"/>
      <c r="S7672" s="232"/>
      <c r="T7672" s="270"/>
    </row>
    <row r="7673" spans="14:20" x14ac:dyDescent="0.25">
      <c r="N7673" s="362"/>
      <c r="R7673" s="210"/>
      <c r="S7673" s="232"/>
      <c r="T7673" s="270"/>
    </row>
    <row r="7674" spans="14:20" x14ac:dyDescent="0.25">
      <c r="N7674" s="362"/>
      <c r="R7674" s="210"/>
      <c r="S7674" s="232"/>
      <c r="T7674" s="270"/>
    </row>
    <row r="7675" spans="14:20" x14ac:dyDescent="0.25">
      <c r="N7675" s="362"/>
      <c r="R7675" s="210"/>
      <c r="S7675" s="232"/>
      <c r="T7675" s="270"/>
    </row>
    <row r="7676" spans="14:20" x14ac:dyDescent="0.25">
      <c r="N7676" s="362"/>
      <c r="R7676" s="210"/>
      <c r="S7676" s="232"/>
      <c r="T7676" s="270"/>
    </row>
    <row r="7677" spans="14:20" x14ac:dyDescent="0.25">
      <c r="N7677" s="362"/>
      <c r="R7677" s="210"/>
      <c r="S7677" s="232"/>
      <c r="T7677" s="270"/>
    </row>
    <row r="7678" spans="14:20" x14ac:dyDescent="0.25">
      <c r="N7678" s="362"/>
      <c r="R7678" s="210"/>
      <c r="S7678" s="232"/>
      <c r="T7678" s="270"/>
    </row>
    <row r="7679" spans="14:20" x14ac:dyDescent="0.25">
      <c r="N7679" s="362"/>
      <c r="R7679" s="210"/>
      <c r="S7679" s="232"/>
      <c r="T7679" s="270"/>
    </row>
    <row r="7680" spans="14:20" x14ac:dyDescent="0.25">
      <c r="N7680" s="362"/>
      <c r="R7680" s="210"/>
      <c r="S7680" s="232"/>
      <c r="T7680" s="270"/>
    </row>
    <row r="7681" spans="14:20" x14ac:dyDescent="0.25">
      <c r="N7681" s="362"/>
      <c r="R7681" s="210"/>
      <c r="S7681" s="232"/>
      <c r="T7681" s="270"/>
    </row>
    <row r="7682" spans="14:20" x14ac:dyDescent="0.25">
      <c r="N7682" s="362"/>
      <c r="R7682" s="210"/>
      <c r="S7682" s="232"/>
      <c r="T7682" s="270"/>
    </row>
    <row r="7683" spans="14:20" x14ac:dyDescent="0.25">
      <c r="N7683" s="362"/>
      <c r="R7683" s="210"/>
      <c r="S7683" s="232"/>
      <c r="T7683" s="270"/>
    </row>
    <row r="7684" spans="14:20" x14ac:dyDescent="0.25">
      <c r="N7684" s="362"/>
      <c r="R7684" s="210"/>
      <c r="S7684" s="232"/>
      <c r="T7684" s="270"/>
    </row>
    <row r="7685" spans="14:20" x14ac:dyDescent="0.25">
      <c r="N7685" s="362"/>
      <c r="R7685" s="210"/>
      <c r="S7685" s="232"/>
      <c r="T7685" s="270"/>
    </row>
    <row r="7686" spans="14:20" x14ac:dyDescent="0.25">
      <c r="N7686" s="362"/>
      <c r="R7686" s="210"/>
      <c r="S7686" s="232"/>
      <c r="T7686" s="270"/>
    </row>
    <row r="7687" spans="14:20" x14ac:dyDescent="0.25">
      <c r="N7687" s="362"/>
      <c r="R7687" s="210"/>
      <c r="S7687" s="232"/>
      <c r="T7687" s="270"/>
    </row>
    <row r="7688" spans="14:20" x14ac:dyDescent="0.25">
      <c r="N7688" s="362"/>
      <c r="R7688" s="210"/>
      <c r="S7688" s="232"/>
      <c r="T7688" s="270"/>
    </row>
    <row r="7689" spans="14:20" x14ac:dyDescent="0.25">
      <c r="N7689" s="362"/>
      <c r="R7689" s="210"/>
      <c r="S7689" s="232"/>
      <c r="T7689" s="270"/>
    </row>
    <row r="7690" spans="14:20" x14ac:dyDescent="0.25">
      <c r="N7690" s="362"/>
      <c r="R7690" s="210"/>
      <c r="S7690" s="232"/>
      <c r="T7690" s="270"/>
    </row>
    <row r="7691" spans="14:20" x14ac:dyDescent="0.25">
      <c r="N7691" s="362"/>
      <c r="R7691" s="210"/>
      <c r="S7691" s="232"/>
      <c r="T7691" s="270"/>
    </row>
    <row r="7692" spans="14:20" x14ac:dyDescent="0.25">
      <c r="N7692" s="362"/>
      <c r="R7692" s="210"/>
      <c r="S7692" s="232"/>
      <c r="T7692" s="270"/>
    </row>
    <row r="7693" spans="14:20" x14ac:dyDescent="0.25">
      <c r="N7693" s="362"/>
      <c r="R7693" s="210"/>
      <c r="S7693" s="232"/>
      <c r="T7693" s="270"/>
    </row>
    <row r="7694" spans="14:20" x14ac:dyDescent="0.25">
      <c r="N7694" s="362"/>
      <c r="R7694" s="210"/>
      <c r="S7694" s="232"/>
      <c r="T7694" s="270"/>
    </row>
    <row r="7695" spans="14:20" x14ac:dyDescent="0.25">
      <c r="N7695" s="362"/>
      <c r="R7695" s="210"/>
      <c r="S7695" s="232"/>
      <c r="T7695" s="270"/>
    </row>
    <row r="7696" spans="14:20" x14ac:dyDescent="0.25">
      <c r="N7696" s="362"/>
      <c r="R7696" s="210"/>
      <c r="S7696" s="232"/>
      <c r="T7696" s="270"/>
    </row>
    <row r="7697" spans="14:20" x14ac:dyDescent="0.25">
      <c r="N7697" s="362"/>
      <c r="R7697" s="210"/>
      <c r="S7697" s="232"/>
      <c r="T7697" s="270"/>
    </row>
    <row r="7698" spans="14:20" x14ac:dyDescent="0.25">
      <c r="N7698" s="362"/>
      <c r="R7698" s="210"/>
      <c r="S7698" s="232"/>
      <c r="T7698" s="270"/>
    </row>
    <row r="7699" spans="14:20" x14ac:dyDescent="0.25">
      <c r="N7699" s="362"/>
      <c r="R7699" s="210"/>
      <c r="S7699" s="232"/>
      <c r="T7699" s="270"/>
    </row>
    <row r="7700" spans="14:20" x14ac:dyDescent="0.25">
      <c r="N7700" s="362"/>
      <c r="R7700" s="210"/>
      <c r="S7700" s="232"/>
      <c r="T7700" s="270"/>
    </row>
    <row r="7701" spans="14:20" x14ac:dyDescent="0.25">
      <c r="N7701" s="362"/>
      <c r="R7701" s="210"/>
      <c r="S7701" s="232"/>
      <c r="T7701" s="270"/>
    </row>
    <row r="7702" spans="14:20" x14ac:dyDescent="0.25">
      <c r="N7702" s="362"/>
      <c r="R7702" s="210"/>
      <c r="S7702" s="232"/>
      <c r="T7702" s="270"/>
    </row>
    <row r="7703" spans="14:20" x14ac:dyDescent="0.25">
      <c r="N7703" s="362"/>
      <c r="R7703" s="210"/>
      <c r="S7703" s="232"/>
      <c r="T7703" s="270"/>
    </row>
    <row r="7704" spans="14:20" x14ac:dyDescent="0.25">
      <c r="N7704" s="362"/>
      <c r="R7704" s="210"/>
      <c r="S7704" s="232"/>
      <c r="T7704" s="270"/>
    </row>
    <row r="7705" spans="14:20" x14ac:dyDescent="0.25">
      <c r="N7705" s="362"/>
      <c r="R7705" s="210"/>
      <c r="S7705" s="232"/>
      <c r="T7705" s="270"/>
    </row>
    <row r="7706" spans="14:20" x14ac:dyDescent="0.25">
      <c r="N7706" s="362"/>
      <c r="R7706" s="210"/>
      <c r="S7706" s="232"/>
      <c r="T7706" s="270"/>
    </row>
    <row r="7707" spans="14:20" x14ac:dyDescent="0.25">
      <c r="N7707" s="362"/>
      <c r="R7707" s="210"/>
      <c r="S7707" s="232"/>
      <c r="T7707" s="270"/>
    </row>
    <row r="7708" spans="14:20" x14ac:dyDescent="0.25">
      <c r="N7708" s="362"/>
      <c r="R7708" s="210"/>
      <c r="S7708" s="232"/>
      <c r="T7708" s="270"/>
    </row>
    <row r="7709" spans="14:20" x14ac:dyDescent="0.25">
      <c r="N7709" s="362"/>
      <c r="R7709" s="210"/>
      <c r="S7709" s="232"/>
      <c r="T7709" s="270"/>
    </row>
    <row r="7710" spans="14:20" x14ac:dyDescent="0.25">
      <c r="N7710" s="362"/>
      <c r="R7710" s="210"/>
      <c r="S7710" s="232"/>
      <c r="T7710" s="270"/>
    </row>
    <row r="7711" spans="14:20" x14ac:dyDescent="0.25">
      <c r="N7711" s="362"/>
      <c r="R7711" s="210"/>
      <c r="S7711" s="232"/>
      <c r="T7711" s="270"/>
    </row>
    <row r="7712" spans="14:20" x14ac:dyDescent="0.25">
      <c r="N7712" s="362"/>
      <c r="R7712" s="210"/>
      <c r="S7712" s="232"/>
      <c r="T7712" s="270"/>
    </row>
    <row r="7713" spans="14:20" x14ac:dyDescent="0.25">
      <c r="N7713" s="362"/>
      <c r="R7713" s="210"/>
      <c r="S7713" s="232"/>
      <c r="T7713" s="270"/>
    </row>
    <row r="7714" spans="14:20" x14ac:dyDescent="0.25">
      <c r="N7714" s="362"/>
      <c r="R7714" s="210"/>
      <c r="S7714" s="232"/>
      <c r="T7714" s="270"/>
    </row>
    <row r="7715" spans="14:20" x14ac:dyDescent="0.25">
      <c r="N7715" s="362"/>
      <c r="R7715" s="210"/>
      <c r="S7715" s="232"/>
      <c r="T7715" s="270"/>
    </row>
    <row r="7716" spans="14:20" x14ac:dyDescent="0.25">
      <c r="N7716" s="362"/>
      <c r="R7716" s="210"/>
      <c r="S7716" s="232"/>
      <c r="T7716" s="270"/>
    </row>
    <row r="7717" spans="14:20" x14ac:dyDescent="0.25">
      <c r="N7717" s="362"/>
      <c r="R7717" s="210"/>
      <c r="S7717" s="232"/>
      <c r="T7717" s="270"/>
    </row>
    <row r="7718" spans="14:20" x14ac:dyDescent="0.25">
      <c r="N7718" s="362"/>
      <c r="R7718" s="210"/>
      <c r="S7718" s="232"/>
      <c r="T7718" s="270"/>
    </row>
    <row r="7719" spans="14:20" x14ac:dyDescent="0.25">
      <c r="N7719" s="362"/>
      <c r="R7719" s="210"/>
      <c r="S7719" s="232"/>
      <c r="T7719" s="270"/>
    </row>
    <row r="7720" spans="14:20" x14ac:dyDescent="0.25">
      <c r="N7720" s="362"/>
      <c r="R7720" s="210"/>
      <c r="S7720" s="232"/>
      <c r="T7720" s="270"/>
    </row>
    <row r="7721" spans="14:20" x14ac:dyDescent="0.25">
      <c r="N7721" s="362"/>
      <c r="R7721" s="210"/>
      <c r="S7721" s="232"/>
      <c r="T7721" s="270"/>
    </row>
    <row r="7722" spans="14:20" x14ac:dyDescent="0.25">
      <c r="N7722" s="362"/>
      <c r="R7722" s="210"/>
      <c r="S7722" s="232"/>
      <c r="T7722" s="270"/>
    </row>
    <row r="7723" spans="14:20" x14ac:dyDescent="0.25">
      <c r="N7723" s="362"/>
      <c r="R7723" s="210"/>
      <c r="S7723" s="232"/>
      <c r="T7723" s="270"/>
    </row>
    <row r="7724" spans="14:20" x14ac:dyDescent="0.25">
      <c r="N7724" s="362"/>
      <c r="R7724" s="210"/>
      <c r="S7724" s="232"/>
      <c r="T7724" s="270"/>
    </row>
    <row r="7725" spans="14:20" x14ac:dyDescent="0.25">
      <c r="N7725" s="362"/>
      <c r="R7725" s="210"/>
      <c r="S7725" s="232"/>
      <c r="T7725" s="270"/>
    </row>
    <row r="7726" spans="14:20" x14ac:dyDescent="0.25">
      <c r="N7726" s="362"/>
      <c r="R7726" s="210"/>
      <c r="S7726" s="232"/>
      <c r="T7726" s="270"/>
    </row>
    <row r="7727" spans="14:20" x14ac:dyDescent="0.25">
      <c r="N7727" s="362"/>
      <c r="R7727" s="210"/>
      <c r="S7727" s="232"/>
      <c r="T7727" s="270"/>
    </row>
    <row r="7728" spans="14:20" x14ac:dyDescent="0.25">
      <c r="N7728" s="362"/>
      <c r="R7728" s="210"/>
      <c r="S7728" s="232"/>
      <c r="T7728" s="270"/>
    </row>
    <row r="7729" spans="14:20" x14ac:dyDescent="0.25">
      <c r="N7729" s="362"/>
      <c r="R7729" s="210"/>
      <c r="S7729" s="232"/>
      <c r="T7729" s="270"/>
    </row>
    <row r="7730" spans="14:20" x14ac:dyDescent="0.25">
      <c r="N7730" s="362"/>
      <c r="R7730" s="210"/>
      <c r="S7730" s="232"/>
      <c r="T7730" s="270"/>
    </row>
    <row r="7731" spans="14:20" x14ac:dyDescent="0.25">
      <c r="N7731" s="362"/>
      <c r="R7731" s="210"/>
      <c r="S7731" s="232"/>
      <c r="T7731" s="270"/>
    </row>
    <row r="7732" spans="14:20" x14ac:dyDescent="0.25">
      <c r="N7732" s="362"/>
      <c r="R7732" s="210"/>
      <c r="S7732" s="232"/>
      <c r="T7732" s="270"/>
    </row>
    <row r="7733" spans="14:20" x14ac:dyDescent="0.25">
      <c r="N7733" s="362"/>
      <c r="R7733" s="210"/>
      <c r="S7733" s="232"/>
      <c r="T7733" s="270"/>
    </row>
    <row r="7734" spans="14:20" x14ac:dyDescent="0.25">
      <c r="N7734" s="362"/>
      <c r="R7734" s="210"/>
      <c r="S7734" s="232"/>
      <c r="T7734" s="270"/>
    </row>
    <row r="7735" spans="14:20" x14ac:dyDescent="0.25">
      <c r="N7735" s="362"/>
      <c r="R7735" s="210"/>
      <c r="S7735" s="232"/>
      <c r="T7735" s="270"/>
    </row>
    <row r="7736" spans="14:20" x14ac:dyDescent="0.25">
      <c r="N7736" s="362"/>
      <c r="R7736" s="210"/>
      <c r="S7736" s="232"/>
      <c r="T7736" s="270"/>
    </row>
    <row r="7737" spans="14:20" x14ac:dyDescent="0.25">
      <c r="N7737" s="362"/>
      <c r="R7737" s="210"/>
      <c r="S7737" s="232"/>
      <c r="T7737" s="270"/>
    </row>
    <row r="7738" spans="14:20" x14ac:dyDescent="0.25">
      <c r="N7738" s="362"/>
      <c r="R7738" s="210"/>
      <c r="S7738" s="232"/>
      <c r="T7738" s="270"/>
    </row>
    <row r="7739" spans="14:20" x14ac:dyDescent="0.25">
      <c r="N7739" s="362"/>
      <c r="R7739" s="210"/>
      <c r="S7739" s="232"/>
      <c r="T7739" s="270"/>
    </row>
    <row r="7740" spans="14:20" x14ac:dyDescent="0.25">
      <c r="N7740" s="362"/>
      <c r="R7740" s="210"/>
      <c r="S7740" s="232"/>
      <c r="T7740" s="270"/>
    </row>
    <row r="7741" spans="14:20" x14ac:dyDescent="0.25">
      <c r="N7741" s="362"/>
      <c r="R7741" s="210"/>
      <c r="S7741" s="232"/>
      <c r="T7741" s="270"/>
    </row>
    <row r="7742" spans="14:20" x14ac:dyDescent="0.25">
      <c r="N7742" s="362"/>
      <c r="R7742" s="210"/>
      <c r="S7742" s="232"/>
      <c r="T7742" s="270"/>
    </row>
    <row r="7743" spans="14:20" x14ac:dyDescent="0.25">
      <c r="N7743" s="362"/>
      <c r="R7743" s="210"/>
      <c r="S7743" s="232"/>
      <c r="T7743" s="270"/>
    </row>
    <row r="7744" spans="14:20" x14ac:dyDescent="0.25">
      <c r="N7744" s="362"/>
      <c r="R7744" s="210"/>
      <c r="S7744" s="232"/>
      <c r="T7744" s="270"/>
    </row>
    <row r="7745" spans="14:20" x14ac:dyDescent="0.25">
      <c r="N7745" s="362"/>
      <c r="R7745" s="210"/>
      <c r="S7745" s="232"/>
      <c r="T7745" s="270"/>
    </row>
    <row r="7746" spans="14:20" x14ac:dyDescent="0.25">
      <c r="N7746" s="362"/>
      <c r="R7746" s="210"/>
      <c r="S7746" s="232"/>
      <c r="T7746" s="270"/>
    </row>
    <row r="7747" spans="14:20" x14ac:dyDescent="0.25">
      <c r="N7747" s="362"/>
      <c r="R7747" s="210"/>
      <c r="S7747" s="232"/>
      <c r="T7747" s="270"/>
    </row>
    <row r="7748" spans="14:20" x14ac:dyDescent="0.25">
      <c r="N7748" s="362"/>
      <c r="R7748" s="210"/>
      <c r="S7748" s="232"/>
      <c r="T7748" s="270"/>
    </row>
    <row r="7749" spans="14:20" x14ac:dyDescent="0.25">
      <c r="N7749" s="362"/>
      <c r="R7749" s="210"/>
      <c r="S7749" s="232"/>
      <c r="T7749" s="270"/>
    </row>
    <row r="7750" spans="14:20" x14ac:dyDescent="0.25">
      <c r="N7750" s="362"/>
      <c r="R7750" s="210"/>
      <c r="S7750" s="232"/>
      <c r="T7750" s="270"/>
    </row>
    <row r="7751" spans="14:20" x14ac:dyDescent="0.25">
      <c r="N7751" s="362"/>
      <c r="R7751" s="210"/>
      <c r="S7751" s="232"/>
      <c r="T7751" s="270"/>
    </row>
    <row r="7752" spans="14:20" x14ac:dyDescent="0.25">
      <c r="N7752" s="362"/>
      <c r="R7752" s="210"/>
      <c r="S7752" s="232"/>
      <c r="T7752" s="270"/>
    </row>
    <row r="7753" spans="14:20" x14ac:dyDescent="0.25">
      <c r="N7753" s="362"/>
      <c r="R7753" s="210"/>
      <c r="S7753" s="232"/>
      <c r="T7753" s="270"/>
    </row>
    <row r="7754" spans="14:20" x14ac:dyDescent="0.25">
      <c r="N7754" s="362"/>
      <c r="R7754" s="210"/>
      <c r="S7754" s="232"/>
      <c r="T7754" s="270"/>
    </row>
    <row r="7755" spans="14:20" x14ac:dyDescent="0.25">
      <c r="N7755" s="362"/>
      <c r="R7755" s="210"/>
      <c r="S7755" s="232"/>
      <c r="T7755" s="270"/>
    </row>
    <row r="7756" spans="14:20" x14ac:dyDescent="0.25">
      <c r="N7756" s="362"/>
      <c r="R7756" s="210"/>
      <c r="S7756" s="232"/>
      <c r="T7756" s="270"/>
    </row>
    <row r="7757" spans="14:20" x14ac:dyDescent="0.25">
      <c r="N7757" s="362"/>
      <c r="R7757" s="210"/>
      <c r="S7757" s="232"/>
      <c r="T7757" s="270"/>
    </row>
    <row r="7758" spans="14:20" x14ac:dyDescent="0.25">
      <c r="N7758" s="362"/>
      <c r="R7758" s="210"/>
      <c r="S7758" s="232"/>
      <c r="T7758" s="270"/>
    </row>
    <row r="7759" spans="14:20" x14ac:dyDescent="0.25">
      <c r="N7759" s="362"/>
      <c r="R7759" s="210"/>
      <c r="S7759" s="232"/>
      <c r="T7759" s="270"/>
    </row>
    <row r="7760" spans="14:20" x14ac:dyDescent="0.25">
      <c r="N7760" s="362"/>
      <c r="R7760" s="210"/>
      <c r="S7760" s="232"/>
      <c r="T7760" s="270"/>
    </row>
    <row r="7761" spans="14:20" x14ac:dyDescent="0.25">
      <c r="N7761" s="362"/>
      <c r="R7761" s="210"/>
      <c r="S7761" s="232"/>
      <c r="T7761" s="270"/>
    </row>
    <row r="7762" spans="14:20" x14ac:dyDescent="0.25">
      <c r="N7762" s="362"/>
      <c r="R7762" s="210"/>
      <c r="S7762" s="232"/>
      <c r="T7762" s="270"/>
    </row>
    <row r="7763" spans="14:20" x14ac:dyDescent="0.25">
      <c r="N7763" s="362"/>
      <c r="R7763" s="210"/>
      <c r="S7763" s="232"/>
      <c r="T7763" s="270"/>
    </row>
    <row r="7764" spans="14:20" x14ac:dyDescent="0.25">
      <c r="N7764" s="362"/>
      <c r="R7764" s="210"/>
      <c r="S7764" s="232"/>
      <c r="T7764" s="270"/>
    </row>
    <row r="7765" spans="14:20" x14ac:dyDescent="0.25">
      <c r="N7765" s="362"/>
      <c r="R7765" s="210"/>
      <c r="S7765" s="232"/>
      <c r="T7765" s="270"/>
    </row>
    <row r="7766" spans="14:20" x14ac:dyDescent="0.25">
      <c r="N7766" s="362"/>
      <c r="R7766" s="210"/>
      <c r="S7766" s="232"/>
      <c r="T7766" s="270"/>
    </row>
    <row r="7767" spans="14:20" x14ac:dyDescent="0.25">
      <c r="N7767" s="362"/>
      <c r="R7767" s="210"/>
      <c r="S7767" s="232"/>
      <c r="T7767" s="270"/>
    </row>
    <row r="7768" spans="14:20" x14ac:dyDescent="0.25">
      <c r="N7768" s="362"/>
      <c r="R7768" s="210"/>
      <c r="S7768" s="232"/>
      <c r="T7768" s="270"/>
    </row>
    <row r="7769" spans="14:20" x14ac:dyDescent="0.25">
      <c r="N7769" s="362"/>
      <c r="R7769" s="210"/>
      <c r="S7769" s="232"/>
      <c r="T7769" s="270"/>
    </row>
    <row r="7770" spans="14:20" x14ac:dyDescent="0.25">
      <c r="N7770" s="362"/>
      <c r="R7770" s="210"/>
      <c r="S7770" s="232"/>
      <c r="T7770" s="270"/>
    </row>
    <row r="7771" spans="14:20" x14ac:dyDescent="0.25">
      <c r="N7771" s="362"/>
      <c r="R7771" s="210"/>
      <c r="S7771" s="232"/>
      <c r="T7771" s="270"/>
    </row>
    <row r="7772" spans="14:20" x14ac:dyDescent="0.25">
      <c r="N7772" s="362"/>
      <c r="R7772" s="210"/>
      <c r="S7772" s="232"/>
      <c r="T7772" s="270"/>
    </row>
    <row r="7773" spans="14:20" x14ac:dyDescent="0.25">
      <c r="N7773" s="362"/>
      <c r="R7773" s="210"/>
      <c r="S7773" s="232"/>
      <c r="T7773" s="270"/>
    </row>
    <row r="7774" spans="14:20" x14ac:dyDescent="0.25">
      <c r="N7774" s="362"/>
      <c r="R7774" s="210"/>
      <c r="S7774" s="232"/>
      <c r="T7774" s="270"/>
    </row>
    <row r="7775" spans="14:20" x14ac:dyDescent="0.25">
      <c r="N7775" s="362"/>
      <c r="R7775" s="210"/>
      <c r="S7775" s="232"/>
      <c r="T7775" s="270"/>
    </row>
    <row r="7776" spans="14:20" x14ac:dyDescent="0.25">
      <c r="N7776" s="362"/>
      <c r="R7776" s="210"/>
      <c r="S7776" s="232"/>
      <c r="T7776" s="270"/>
    </row>
    <row r="7777" spans="14:20" x14ac:dyDescent="0.25">
      <c r="N7777" s="362"/>
      <c r="R7777" s="210"/>
      <c r="S7777" s="232"/>
      <c r="T7777" s="270"/>
    </row>
    <row r="7778" spans="14:20" x14ac:dyDescent="0.25">
      <c r="N7778" s="362"/>
      <c r="R7778" s="210"/>
      <c r="S7778" s="232"/>
      <c r="T7778" s="270"/>
    </row>
    <row r="7779" spans="14:20" x14ac:dyDescent="0.25">
      <c r="N7779" s="362"/>
      <c r="R7779" s="210"/>
      <c r="S7779" s="232"/>
      <c r="T7779" s="270"/>
    </row>
    <row r="7780" spans="14:20" x14ac:dyDescent="0.25">
      <c r="N7780" s="362"/>
      <c r="R7780" s="210"/>
      <c r="S7780" s="232"/>
      <c r="T7780" s="270"/>
    </row>
    <row r="7781" spans="14:20" x14ac:dyDescent="0.25">
      <c r="N7781" s="362"/>
      <c r="R7781" s="210"/>
      <c r="S7781" s="232"/>
      <c r="T7781" s="270"/>
    </row>
    <row r="7782" spans="14:20" x14ac:dyDescent="0.25">
      <c r="N7782" s="362"/>
      <c r="R7782" s="210"/>
      <c r="S7782" s="232"/>
      <c r="T7782" s="270"/>
    </row>
    <row r="7783" spans="14:20" x14ac:dyDescent="0.25">
      <c r="N7783" s="362"/>
      <c r="R7783" s="210"/>
      <c r="S7783" s="232"/>
      <c r="T7783" s="270"/>
    </row>
    <row r="7784" spans="14:20" x14ac:dyDescent="0.25">
      <c r="N7784" s="362"/>
      <c r="R7784" s="210"/>
      <c r="S7784" s="232"/>
      <c r="T7784" s="270"/>
    </row>
    <row r="7785" spans="14:20" x14ac:dyDescent="0.25">
      <c r="N7785" s="362"/>
      <c r="R7785" s="210"/>
      <c r="S7785" s="232"/>
      <c r="T7785" s="270"/>
    </row>
    <row r="7786" spans="14:20" x14ac:dyDescent="0.25">
      <c r="N7786" s="362"/>
      <c r="R7786" s="210"/>
      <c r="S7786" s="232"/>
      <c r="T7786" s="270"/>
    </row>
    <row r="7787" spans="14:20" x14ac:dyDescent="0.25">
      <c r="N7787" s="362"/>
      <c r="R7787" s="210"/>
      <c r="S7787" s="232"/>
      <c r="T7787" s="270"/>
    </row>
    <row r="7788" spans="14:20" x14ac:dyDescent="0.25">
      <c r="N7788" s="362"/>
      <c r="R7788" s="210"/>
      <c r="S7788" s="232"/>
      <c r="T7788" s="270"/>
    </row>
    <row r="7789" spans="14:20" x14ac:dyDescent="0.25">
      <c r="N7789" s="362"/>
      <c r="R7789" s="210"/>
      <c r="S7789" s="232"/>
      <c r="T7789" s="270"/>
    </row>
    <row r="7790" spans="14:20" x14ac:dyDescent="0.25">
      <c r="N7790" s="362"/>
      <c r="R7790" s="210"/>
      <c r="S7790" s="232"/>
      <c r="T7790" s="270"/>
    </row>
    <row r="7791" spans="14:20" x14ac:dyDescent="0.25">
      <c r="N7791" s="362"/>
      <c r="R7791" s="210"/>
      <c r="S7791" s="232"/>
      <c r="T7791" s="270"/>
    </row>
    <row r="7792" spans="14:20" x14ac:dyDescent="0.25">
      <c r="N7792" s="362"/>
      <c r="R7792" s="210"/>
      <c r="S7792" s="232"/>
      <c r="T7792" s="270"/>
    </row>
    <row r="7793" spans="14:20" x14ac:dyDescent="0.25">
      <c r="N7793" s="362"/>
      <c r="R7793" s="210"/>
      <c r="S7793" s="232"/>
      <c r="T7793" s="270"/>
    </row>
    <row r="7794" spans="14:20" x14ac:dyDescent="0.25">
      <c r="N7794" s="362"/>
      <c r="R7794" s="210"/>
      <c r="S7794" s="232"/>
      <c r="T7794" s="270"/>
    </row>
    <row r="7795" spans="14:20" x14ac:dyDescent="0.25">
      <c r="N7795" s="362"/>
      <c r="R7795" s="210"/>
      <c r="S7795" s="232"/>
      <c r="T7795" s="270"/>
    </row>
    <row r="7796" spans="14:20" x14ac:dyDescent="0.25">
      <c r="N7796" s="362"/>
      <c r="R7796" s="210"/>
      <c r="S7796" s="232"/>
      <c r="T7796" s="270"/>
    </row>
    <row r="7797" spans="14:20" x14ac:dyDescent="0.25">
      <c r="N7797" s="362"/>
      <c r="R7797" s="210"/>
      <c r="S7797" s="232"/>
      <c r="T7797" s="270"/>
    </row>
    <row r="7798" spans="14:20" x14ac:dyDescent="0.25">
      <c r="N7798" s="362"/>
      <c r="R7798" s="210"/>
      <c r="S7798" s="232"/>
      <c r="T7798" s="270"/>
    </row>
    <row r="7799" spans="14:20" x14ac:dyDescent="0.25">
      <c r="N7799" s="362"/>
      <c r="R7799" s="210"/>
      <c r="S7799" s="232"/>
      <c r="T7799" s="270"/>
    </row>
    <row r="7800" spans="14:20" x14ac:dyDescent="0.25">
      <c r="N7800" s="362"/>
      <c r="R7800" s="210"/>
      <c r="S7800" s="232"/>
      <c r="T7800" s="270"/>
    </row>
    <row r="7801" spans="14:20" x14ac:dyDescent="0.25">
      <c r="N7801" s="362"/>
      <c r="R7801" s="210"/>
      <c r="S7801" s="232"/>
      <c r="T7801" s="270"/>
    </row>
    <row r="7802" spans="14:20" x14ac:dyDescent="0.25">
      <c r="N7802" s="362"/>
      <c r="R7802" s="210"/>
      <c r="S7802" s="232"/>
      <c r="T7802" s="270"/>
    </row>
    <row r="7803" spans="14:20" x14ac:dyDescent="0.25">
      <c r="N7803" s="362"/>
      <c r="R7803" s="210"/>
      <c r="S7803" s="232"/>
      <c r="T7803" s="270"/>
    </row>
    <row r="7804" spans="14:20" x14ac:dyDescent="0.25">
      <c r="N7804" s="362"/>
      <c r="R7804" s="210"/>
      <c r="S7804" s="232"/>
      <c r="T7804" s="270"/>
    </row>
    <row r="7805" spans="14:20" x14ac:dyDescent="0.25">
      <c r="N7805" s="362"/>
      <c r="R7805" s="210"/>
      <c r="S7805" s="232"/>
      <c r="T7805" s="270"/>
    </row>
    <row r="7806" spans="14:20" x14ac:dyDescent="0.25">
      <c r="N7806" s="362"/>
      <c r="R7806" s="210"/>
      <c r="S7806" s="232"/>
      <c r="T7806" s="270"/>
    </row>
    <row r="7807" spans="14:20" x14ac:dyDescent="0.25">
      <c r="N7807" s="362"/>
      <c r="R7807" s="210"/>
      <c r="S7807" s="232"/>
      <c r="T7807" s="270"/>
    </row>
    <row r="7808" spans="14:20" x14ac:dyDescent="0.25">
      <c r="N7808" s="362"/>
      <c r="R7808" s="210"/>
      <c r="S7808" s="232"/>
      <c r="T7808" s="270"/>
    </row>
    <row r="7809" spans="14:20" x14ac:dyDescent="0.25">
      <c r="N7809" s="362"/>
      <c r="R7809" s="210"/>
      <c r="S7809" s="232"/>
      <c r="T7809" s="270"/>
    </row>
    <row r="7810" spans="14:20" x14ac:dyDescent="0.25">
      <c r="N7810" s="362"/>
      <c r="R7810" s="210"/>
      <c r="S7810" s="232"/>
      <c r="T7810" s="270"/>
    </row>
    <row r="7811" spans="14:20" x14ac:dyDescent="0.25">
      <c r="N7811" s="362"/>
      <c r="R7811" s="210"/>
      <c r="S7811" s="232"/>
      <c r="T7811" s="270"/>
    </row>
    <row r="7812" spans="14:20" x14ac:dyDescent="0.25">
      <c r="N7812" s="362"/>
      <c r="R7812" s="210"/>
      <c r="S7812" s="232"/>
      <c r="T7812" s="270"/>
    </row>
    <row r="7813" spans="14:20" x14ac:dyDescent="0.25">
      <c r="N7813" s="362"/>
      <c r="R7813" s="210"/>
      <c r="S7813" s="232"/>
      <c r="T7813" s="270"/>
    </row>
    <row r="7814" spans="14:20" x14ac:dyDescent="0.25">
      <c r="N7814" s="362"/>
      <c r="R7814" s="210"/>
      <c r="S7814" s="232"/>
      <c r="T7814" s="270"/>
    </row>
    <row r="7815" spans="14:20" x14ac:dyDescent="0.25">
      <c r="N7815" s="362"/>
      <c r="R7815" s="210"/>
      <c r="S7815" s="232"/>
      <c r="T7815" s="270"/>
    </row>
    <row r="7816" spans="14:20" x14ac:dyDescent="0.25">
      <c r="N7816" s="362"/>
      <c r="R7816" s="210"/>
      <c r="S7816" s="232"/>
      <c r="T7816" s="270"/>
    </row>
    <row r="7817" spans="14:20" x14ac:dyDescent="0.25">
      <c r="N7817" s="362"/>
      <c r="R7817" s="210"/>
      <c r="S7817" s="232"/>
      <c r="T7817" s="270"/>
    </row>
    <row r="7818" spans="14:20" x14ac:dyDescent="0.25">
      <c r="N7818" s="362"/>
      <c r="R7818" s="210"/>
      <c r="S7818" s="232"/>
      <c r="T7818" s="270"/>
    </row>
    <row r="7819" spans="14:20" x14ac:dyDescent="0.25">
      <c r="N7819" s="362"/>
      <c r="R7819" s="210"/>
      <c r="S7819" s="232"/>
      <c r="T7819" s="270"/>
    </row>
    <row r="7820" spans="14:20" x14ac:dyDescent="0.25">
      <c r="N7820" s="362"/>
      <c r="R7820" s="210"/>
      <c r="S7820" s="232"/>
      <c r="T7820" s="270"/>
    </row>
    <row r="7821" spans="14:20" x14ac:dyDescent="0.25">
      <c r="N7821" s="362"/>
      <c r="R7821" s="210"/>
      <c r="S7821" s="232"/>
      <c r="T7821" s="270"/>
    </row>
    <row r="7822" spans="14:20" x14ac:dyDescent="0.25">
      <c r="N7822" s="362"/>
      <c r="R7822" s="210"/>
      <c r="S7822" s="232"/>
      <c r="T7822" s="270"/>
    </row>
    <row r="7823" spans="14:20" x14ac:dyDescent="0.25">
      <c r="N7823" s="362"/>
      <c r="R7823" s="210"/>
      <c r="S7823" s="232"/>
      <c r="T7823" s="270"/>
    </row>
    <row r="7824" spans="14:20" x14ac:dyDescent="0.25">
      <c r="N7824" s="362"/>
      <c r="R7824" s="210"/>
      <c r="S7824" s="232"/>
      <c r="T7824" s="270"/>
    </row>
    <row r="7825" spans="14:20" x14ac:dyDescent="0.25">
      <c r="N7825" s="362"/>
      <c r="R7825" s="210"/>
      <c r="S7825" s="232"/>
      <c r="T7825" s="270"/>
    </row>
    <row r="7826" spans="14:20" x14ac:dyDescent="0.25">
      <c r="N7826" s="362"/>
      <c r="R7826" s="210"/>
      <c r="S7826" s="232"/>
      <c r="T7826" s="270"/>
    </row>
    <row r="7827" spans="14:20" x14ac:dyDescent="0.25">
      <c r="N7827" s="362"/>
      <c r="R7827" s="210"/>
      <c r="S7827" s="232"/>
      <c r="T7827" s="270"/>
    </row>
    <row r="7828" spans="14:20" x14ac:dyDescent="0.25">
      <c r="N7828" s="362"/>
      <c r="R7828" s="210"/>
      <c r="S7828" s="232"/>
      <c r="T7828" s="270"/>
    </row>
    <row r="7829" spans="14:20" x14ac:dyDescent="0.25">
      <c r="N7829" s="362"/>
      <c r="R7829" s="210"/>
      <c r="S7829" s="232"/>
      <c r="T7829" s="270"/>
    </row>
    <row r="7830" spans="14:20" x14ac:dyDescent="0.25">
      <c r="N7830" s="362"/>
      <c r="R7830" s="210"/>
      <c r="S7830" s="232"/>
      <c r="T7830" s="270"/>
    </row>
    <row r="7831" spans="14:20" x14ac:dyDescent="0.25">
      <c r="N7831" s="362"/>
      <c r="R7831" s="210"/>
      <c r="S7831" s="232"/>
      <c r="T7831" s="270"/>
    </row>
    <row r="7832" spans="14:20" x14ac:dyDescent="0.25">
      <c r="N7832" s="362"/>
      <c r="R7832" s="210"/>
      <c r="S7832" s="232"/>
      <c r="T7832" s="270"/>
    </row>
    <row r="7833" spans="14:20" x14ac:dyDescent="0.25">
      <c r="N7833" s="362"/>
      <c r="R7833" s="210"/>
      <c r="S7833" s="232"/>
      <c r="T7833" s="270"/>
    </row>
    <row r="7834" spans="14:20" x14ac:dyDescent="0.25">
      <c r="N7834" s="362"/>
      <c r="R7834" s="210"/>
      <c r="S7834" s="232"/>
      <c r="T7834" s="270"/>
    </row>
    <row r="7835" spans="14:20" x14ac:dyDescent="0.25">
      <c r="N7835" s="362"/>
      <c r="R7835" s="210"/>
      <c r="S7835" s="232"/>
      <c r="T7835" s="270"/>
    </row>
    <row r="7836" spans="14:20" x14ac:dyDescent="0.25">
      <c r="N7836" s="362"/>
      <c r="R7836" s="210"/>
      <c r="S7836" s="232"/>
      <c r="T7836" s="270"/>
    </row>
    <row r="7837" spans="14:20" x14ac:dyDescent="0.25">
      <c r="N7837" s="362"/>
      <c r="R7837" s="210"/>
      <c r="S7837" s="232"/>
      <c r="T7837" s="270"/>
    </row>
    <row r="7838" spans="14:20" x14ac:dyDescent="0.25">
      <c r="N7838" s="362"/>
      <c r="R7838" s="210"/>
      <c r="S7838" s="232"/>
      <c r="T7838" s="270"/>
    </row>
    <row r="7839" spans="14:20" x14ac:dyDescent="0.25">
      <c r="N7839" s="362"/>
      <c r="R7839" s="210"/>
      <c r="S7839" s="232"/>
      <c r="T7839" s="270"/>
    </row>
    <row r="7840" spans="14:20" x14ac:dyDescent="0.25">
      <c r="N7840" s="362"/>
      <c r="R7840" s="210"/>
      <c r="S7840" s="232"/>
      <c r="T7840" s="270"/>
    </row>
    <row r="7841" spans="14:20" x14ac:dyDescent="0.25">
      <c r="N7841" s="362"/>
      <c r="R7841" s="210"/>
      <c r="S7841" s="232"/>
      <c r="T7841" s="270"/>
    </row>
    <row r="7842" spans="14:20" x14ac:dyDescent="0.25">
      <c r="N7842" s="362"/>
      <c r="R7842" s="210"/>
      <c r="S7842" s="232"/>
      <c r="T7842" s="270"/>
    </row>
    <row r="7843" spans="14:20" x14ac:dyDescent="0.25">
      <c r="N7843" s="362"/>
      <c r="R7843" s="210"/>
      <c r="S7843" s="232"/>
      <c r="T7843" s="270"/>
    </row>
    <row r="7844" spans="14:20" x14ac:dyDescent="0.25">
      <c r="N7844" s="362"/>
      <c r="R7844" s="210"/>
      <c r="S7844" s="232"/>
      <c r="T7844" s="270"/>
    </row>
    <row r="7845" spans="14:20" x14ac:dyDescent="0.25">
      <c r="N7845" s="362"/>
      <c r="R7845" s="210"/>
      <c r="S7845" s="232"/>
      <c r="T7845" s="270"/>
    </row>
    <row r="7846" spans="14:20" x14ac:dyDescent="0.25">
      <c r="N7846" s="362"/>
      <c r="R7846" s="210"/>
      <c r="S7846" s="232"/>
      <c r="T7846" s="270"/>
    </row>
    <row r="7847" spans="14:20" x14ac:dyDescent="0.25">
      <c r="N7847" s="362"/>
      <c r="R7847" s="210"/>
      <c r="S7847" s="232"/>
      <c r="T7847" s="270"/>
    </row>
    <row r="7848" spans="14:20" x14ac:dyDescent="0.25">
      <c r="N7848" s="362"/>
      <c r="R7848" s="210"/>
      <c r="S7848" s="232"/>
      <c r="T7848" s="270"/>
    </row>
    <row r="7849" spans="14:20" x14ac:dyDescent="0.25">
      <c r="N7849" s="362"/>
      <c r="R7849" s="210"/>
      <c r="S7849" s="232"/>
      <c r="T7849" s="270"/>
    </row>
    <row r="7850" spans="14:20" x14ac:dyDescent="0.25">
      <c r="N7850" s="362"/>
      <c r="R7850" s="210"/>
      <c r="S7850" s="232"/>
      <c r="T7850" s="270"/>
    </row>
    <row r="7851" spans="14:20" x14ac:dyDescent="0.25">
      <c r="N7851" s="362"/>
      <c r="R7851" s="210"/>
      <c r="S7851" s="232"/>
      <c r="T7851" s="270"/>
    </row>
    <row r="7852" spans="14:20" x14ac:dyDescent="0.25">
      <c r="N7852" s="362"/>
      <c r="R7852" s="210"/>
      <c r="S7852" s="232"/>
      <c r="T7852" s="270"/>
    </row>
    <row r="7853" spans="14:20" x14ac:dyDescent="0.25">
      <c r="N7853" s="362"/>
      <c r="R7853" s="210"/>
      <c r="S7853" s="232"/>
      <c r="T7853" s="270"/>
    </row>
    <row r="7854" spans="14:20" x14ac:dyDescent="0.25">
      <c r="N7854" s="362"/>
      <c r="R7854" s="210"/>
      <c r="S7854" s="232"/>
      <c r="T7854" s="270"/>
    </row>
    <row r="7855" spans="14:20" x14ac:dyDescent="0.25">
      <c r="N7855" s="362"/>
      <c r="R7855" s="210"/>
      <c r="S7855" s="232"/>
      <c r="T7855" s="270"/>
    </row>
    <row r="7856" spans="14:20" x14ac:dyDescent="0.25">
      <c r="N7856" s="362"/>
      <c r="R7856" s="210"/>
      <c r="S7856" s="232"/>
      <c r="T7856" s="270"/>
    </row>
    <row r="7857" spans="14:20" x14ac:dyDescent="0.25">
      <c r="N7857" s="362"/>
      <c r="R7857" s="210"/>
      <c r="S7857" s="232"/>
      <c r="T7857" s="270"/>
    </row>
    <row r="7858" spans="14:20" x14ac:dyDescent="0.25">
      <c r="N7858" s="362"/>
      <c r="R7858" s="210"/>
      <c r="S7858" s="232"/>
      <c r="T7858" s="270"/>
    </row>
    <row r="7859" spans="14:20" x14ac:dyDescent="0.25">
      <c r="N7859" s="362"/>
      <c r="R7859" s="210"/>
      <c r="S7859" s="232"/>
      <c r="T7859" s="270"/>
    </row>
    <row r="7860" spans="14:20" x14ac:dyDescent="0.25">
      <c r="N7860" s="362"/>
      <c r="R7860" s="210"/>
      <c r="S7860" s="232"/>
      <c r="T7860" s="270"/>
    </row>
    <row r="7861" spans="14:20" x14ac:dyDescent="0.25">
      <c r="N7861" s="362"/>
      <c r="R7861" s="210"/>
      <c r="S7861" s="232"/>
      <c r="T7861" s="270"/>
    </row>
    <row r="7862" spans="14:20" x14ac:dyDescent="0.25">
      <c r="N7862" s="362"/>
      <c r="R7862" s="210"/>
      <c r="S7862" s="232"/>
      <c r="T7862" s="270"/>
    </row>
    <row r="7863" spans="14:20" x14ac:dyDescent="0.25">
      <c r="N7863" s="362"/>
      <c r="R7863" s="210"/>
      <c r="S7863" s="232"/>
      <c r="T7863" s="270"/>
    </row>
    <row r="7864" spans="14:20" x14ac:dyDescent="0.25">
      <c r="N7864" s="362"/>
      <c r="R7864" s="210"/>
      <c r="S7864" s="232"/>
      <c r="T7864" s="270"/>
    </row>
    <row r="7865" spans="14:20" x14ac:dyDescent="0.25">
      <c r="N7865" s="362"/>
      <c r="R7865" s="210"/>
      <c r="S7865" s="232"/>
      <c r="T7865" s="270"/>
    </row>
    <row r="7866" spans="14:20" x14ac:dyDescent="0.25">
      <c r="N7866" s="362"/>
      <c r="R7866" s="210"/>
      <c r="S7866" s="232"/>
      <c r="T7866" s="270"/>
    </row>
    <row r="7867" spans="14:20" x14ac:dyDescent="0.25">
      <c r="N7867" s="362"/>
      <c r="R7867" s="210"/>
      <c r="S7867" s="232"/>
      <c r="T7867" s="270"/>
    </row>
    <row r="7868" spans="14:20" x14ac:dyDescent="0.25">
      <c r="N7868" s="362"/>
      <c r="R7868" s="210"/>
      <c r="S7868" s="232"/>
      <c r="T7868" s="270"/>
    </row>
    <row r="7869" spans="14:20" x14ac:dyDescent="0.25">
      <c r="N7869" s="362"/>
      <c r="R7869" s="210"/>
      <c r="S7869" s="232"/>
      <c r="T7869" s="270"/>
    </row>
    <row r="7870" spans="14:20" x14ac:dyDescent="0.25">
      <c r="N7870" s="362"/>
      <c r="R7870" s="210"/>
      <c r="S7870" s="232"/>
      <c r="T7870" s="270"/>
    </row>
    <row r="7871" spans="14:20" x14ac:dyDescent="0.25">
      <c r="N7871" s="362"/>
      <c r="R7871" s="210"/>
      <c r="S7871" s="232"/>
      <c r="T7871" s="270"/>
    </row>
    <row r="7872" spans="14:20" x14ac:dyDescent="0.25">
      <c r="N7872" s="362"/>
      <c r="R7872" s="210"/>
      <c r="S7872" s="232"/>
      <c r="T7872" s="270"/>
    </row>
    <row r="7873" spans="14:20" x14ac:dyDescent="0.25">
      <c r="N7873" s="362"/>
      <c r="R7873" s="210"/>
      <c r="S7873" s="232"/>
      <c r="T7873" s="270"/>
    </row>
    <row r="7874" spans="14:20" x14ac:dyDescent="0.25">
      <c r="N7874" s="362"/>
      <c r="R7874" s="210"/>
      <c r="S7874" s="232"/>
      <c r="T7874" s="270"/>
    </row>
    <row r="7875" spans="14:20" x14ac:dyDescent="0.25">
      <c r="N7875" s="362"/>
      <c r="R7875" s="210"/>
      <c r="S7875" s="232"/>
      <c r="T7875" s="270"/>
    </row>
    <row r="7876" spans="14:20" x14ac:dyDescent="0.25">
      <c r="N7876" s="362"/>
      <c r="R7876" s="210"/>
      <c r="S7876" s="232"/>
      <c r="T7876" s="270"/>
    </row>
    <row r="7877" spans="14:20" x14ac:dyDescent="0.25">
      <c r="N7877" s="362"/>
      <c r="R7877" s="210"/>
      <c r="S7877" s="232"/>
      <c r="T7877" s="270"/>
    </row>
    <row r="7878" spans="14:20" x14ac:dyDescent="0.25">
      <c r="N7878" s="362"/>
      <c r="R7878" s="210"/>
      <c r="S7878" s="232"/>
      <c r="T7878" s="270"/>
    </row>
    <row r="7879" spans="14:20" x14ac:dyDescent="0.25">
      <c r="N7879" s="362"/>
      <c r="R7879" s="210"/>
      <c r="S7879" s="232"/>
      <c r="T7879" s="270"/>
    </row>
    <row r="7880" spans="14:20" x14ac:dyDescent="0.25">
      <c r="N7880" s="362"/>
      <c r="R7880" s="210"/>
      <c r="S7880" s="232"/>
      <c r="T7880" s="270"/>
    </row>
    <row r="7881" spans="14:20" x14ac:dyDescent="0.25">
      <c r="N7881" s="362"/>
      <c r="R7881" s="210"/>
      <c r="S7881" s="232"/>
      <c r="T7881" s="270"/>
    </row>
    <row r="7882" spans="14:20" x14ac:dyDescent="0.25">
      <c r="N7882" s="362"/>
      <c r="R7882" s="210"/>
      <c r="S7882" s="232"/>
      <c r="T7882" s="270"/>
    </row>
    <row r="7883" spans="14:20" x14ac:dyDescent="0.25">
      <c r="N7883" s="362"/>
      <c r="R7883" s="210"/>
      <c r="S7883" s="232"/>
      <c r="T7883" s="270"/>
    </row>
    <row r="7884" spans="14:20" x14ac:dyDescent="0.25">
      <c r="N7884" s="362"/>
      <c r="R7884" s="210"/>
      <c r="S7884" s="232"/>
      <c r="T7884" s="270"/>
    </row>
    <row r="7885" spans="14:20" x14ac:dyDescent="0.25">
      <c r="N7885" s="362"/>
      <c r="R7885" s="210"/>
      <c r="S7885" s="232"/>
      <c r="T7885" s="270"/>
    </row>
    <row r="7886" spans="14:20" x14ac:dyDescent="0.25">
      <c r="N7886" s="362"/>
      <c r="R7886" s="210"/>
      <c r="S7886" s="232"/>
      <c r="T7886" s="270"/>
    </row>
    <row r="7887" spans="14:20" x14ac:dyDescent="0.25">
      <c r="N7887" s="362"/>
      <c r="R7887" s="210"/>
      <c r="S7887" s="232"/>
      <c r="T7887" s="270"/>
    </row>
    <row r="7888" spans="14:20" x14ac:dyDescent="0.25">
      <c r="N7888" s="362"/>
      <c r="R7888" s="210"/>
      <c r="S7888" s="232"/>
      <c r="T7888" s="270"/>
    </row>
    <row r="7889" spans="14:20" x14ac:dyDescent="0.25">
      <c r="N7889" s="362"/>
      <c r="R7889" s="210"/>
      <c r="S7889" s="232"/>
      <c r="T7889" s="270"/>
    </row>
    <row r="7890" spans="14:20" x14ac:dyDescent="0.25">
      <c r="N7890" s="362"/>
      <c r="R7890" s="210"/>
      <c r="S7890" s="232"/>
      <c r="T7890" s="270"/>
    </row>
    <row r="7891" spans="14:20" x14ac:dyDescent="0.25">
      <c r="N7891" s="362"/>
      <c r="R7891" s="210"/>
      <c r="S7891" s="232"/>
      <c r="T7891" s="270"/>
    </row>
    <row r="7892" spans="14:20" x14ac:dyDescent="0.25">
      <c r="N7892" s="362"/>
      <c r="R7892" s="210"/>
      <c r="S7892" s="232"/>
      <c r="T7892" s="270"/>
    </row>
    <row r="7893" spans="14:20" x14ac:dyDescent="0.25">
      <c r="N7893" s="362"/>
      <c r="R7893" s="210"/>
      <c r="S7893" s="232"/>
      <c r="T7893" s="270"/>
    </row>
    <row r="7894" spans="14:20" x14ac:dyDescent="0.25">
      <c r="N7894" s="362"/>
      <c r="R7894" s="210"/>
      <c r="S7894" s="232"/>
      <c r="T7894" s="270"/>
    </row>
    <row r="7895" spans="14:20" x14ac:dyDescent="0.25">
      <c r="N7895" s="362"/>
      <c r="R7895" s="210"/>
      <c r="S7895" s="232"/>
      <c r="T7895" s="270"/>
    </row>
    <row r="7896" spans="14:20" x14ac:dyDescent="0.25">
      <c r="N7896" s="362"/>
      <c r="R7896" s="210"/>
      <c r="S7896" s="232"/>
      <c r="T7896" s="270"/>
    </row>
    <row r="7897" spans="14:20" x14ac:dyDescent="0.25">
      <c r="N7897" s="362"/>
      <c r="R7897" s="210"/>
      <c r="S7897" s="232"/>
      <c r="T7897" s="270"/>
    </row>
    <row r="7898" spans="14:20" x14ac:dyDescent="0.25">
      <c r="N7898" s="362"/>
      <c r="R7898" s="210"/>
      <c r="S7898" s="232"/>
      <c r="T7898" s="270"/>
    </row>
    <row r="7899" spans="14:20" x14ac:dyDescent="0.25">
      <c r="N7899" s="362"/>
      <c r="R7899" s="210"/>
      <c r="S7899" s="232"/>
      <c r="T7899" s="270"/>
    </row>
    <row r="7900" spans="14:20" x14ac:dyDescent="0.25">
      <c r="N7900" s="362"/>
      <c r="R7900" s="210"/>
      <c r="S7900" s="232"/>
      <c r="T7900" s="270"/>
    </row>
    <row r="7901" spans="14:20" x14ac:dyDescent="0.25">
      <c r="N7901" s="362"/>
      <c r="R7901" s="210"/>
      <c r="S7901" s="232"/>
      <c r="T7901" s="270"/>
    </row>
    <row r="7902" spans="14:20" x14ac:dyDescent="0.25">
      <c r="N7902" s="362"/>
      <c r="R7902" s="210"/>
      <c r="S7902" s="232"/>
      <c r="T7902" s="270"/>
    </row>
    <row r="7903" spans="14:20" x14ac:dyDescent="0.25">
      <c r="N7903" s="362"/>
      <c r="R7903" s="210"/>
      <c r="S7903" s="232"/>
      <c r="T7903" s="270"/>
    </row>
    <row r="7904" spans="14:20" x14ac:dyDescent="0.25">
      <c r="N7904" s="362"/>
      <c r="R7904" s="210"/>
      <c r="S7904" s="232"/>
      <c r="T7904" s="270"/>
    </row>
    <row r="7905" spans="14:20" x14ac:dyDescent="0.25">
      <c r="N7905" s="362"/>
      <c r="R7905" s="210"/>
      <c r="S7905" s="232"/>
      <c r="T7905" s="270"/>
    </row>
    <row r="7906" spans="14:20" x14ac:dyDescent="0.25">
      <c r="N7906" s="362"/>
      <c r="R7906" s="210"/>
      <c r="S7906" s="232"/>
      <c r="T7906" s="270"/>
    </row>
    <row r="7907" spans="14:20" x14ac:dyDescent="0.25">
      <c r="N7907" s="362"/>
      <c r="R7907" s="210"/>
      <c r="S7907" s="232"/>
      <c r="T7907" s="270"/>
    </row>
    <row r="7908" spans="14:20" x14ac:dyDescent="0.25">
      <c r="N7908" s="362"/>
      <c r="R7908" s="210"/>
      <c r="S7908" s="232"/>
      <c r="T7908" s="270"/>
    </row>
    <row r="7909" spans="14:20" x14ac:dyDescent="0.25">
      <c r="N7909" s="362"/>
      <c r="R7909" s="210"/>
      <c r="S7909" s="232"/>
      <c r="T7909" s="270"/>
    </row>
    <row r="7910" spans="14:20" x14ac:dyDescent="0.25">
      <c r="N7910" s="362"/>
      <c r="R7910" s="210"/>
      <c r="S7910" s="232"/>
      <c r="T7910" s="270"/>
    </row>
    <row r="7911" spans="14:20" x14ac:dyDescent="0.25">
      <c r="N7911" s="362"/>
      <c r="R7911" s="210"/>
      <c r="S7911" s="232"/>
      <c r="T7911" s="270"/>
    </row>
    <row r="7912" spans="14:20" x14ac:dyDescent="0.25">
      <c r="N7912" s="362"/>
      <c r="R7912" s="210"/>
      <c r="S7912" s="232"/>
      <c r="T7912" s="270"/>
    </row>
    <row r="7913" spans="14:20" x14ac:dyDescent="0.25">
      <c r="N7913" s="362"/>
      <c r="R7913" s="210"/>
      <c r="S7913" s="232"/>
      <c r="T7913" s="270"/>
    </row>
    <row r="7914" spans="14:20" x14ac:dyDescent="0.25">
      <c r="N7914" s="362"/>
      <c r="R7914" s="210"/>
      <c r="S7914" s="232"/>
      <c r="T7914" s="270"/>
    </row>
    <row r="7915" spans="14:20" x14ac:dyDescent="0.25">
      <c r="N7915" s="362"/>
      <c r="R7915" s="210"/>
      <c r="S7915" s="232"/>
      <c r="T7915" s="270"/>
    </row>
    <row r="7916" spans="14:20" x14ac:dyDescent="0.25">
      <c r="N7916" s="362"/>
      <c r="R7916" s="210"/>
      <c r="S7916" s="232"/>
      <c r="T7916" s="270"/>
    </row>
    <row r="7917" spans="14:20" x14ac:dyDescent="0.25">
      <c r="N7917" s="362"/>
      <c r="R7917" s="210"/>
      <c r="S7917" s="232"/>
      <c r="T7917" s="270"/>
    </row>
    <row r="7918" spans="14:20" x14ac:dyDescent="0.25">
      <c r="N7918" s="362"/>
      <c r="R7918" s="210"/>
      <c r="S7918" s="232"/>
      <c r="T7918" s="270"/>
    </row>
    <row r="7919" spans="14:20" x14ac:dyDescent="0.25">
      <c r="N7919" s="362"/>
      <c r="R7919" s="210"/>
      <c r="S7919" s="232"/>
      <c r="T7919" s="270"/>
    </row>
    <row r="7920" spans="14:20" x14ac:dyDescent="0.25">
      <c r="N7920" s="362"/>
      <c r="R7920" s="210"/>
      <c r="S7920" s="232"/>
      <c r="T7920" s="270"/>
    </row>
    <row r="7921" spans="14:20" x14ac:dyDescent="0.25">
      <c r="N7921" s="362"/>
      <c r="R7921" s="210"/>
      <c r="S7921" s="232"/>
      <c r="T7921" s="270"/>
    </row>
    <row r="7922" spans="14:20" x14ac:dyDescent="0.25">
      <c r="N7922" s="362"/>
      <c r="R7922" s="210"/>
      <c r="S7922" s="232"/>
      <c r="T7922" s="270"/>
    </row>
    <row r="7923" spans="14:20" x14ac:dyDescent="0.25">
      <c r="N7923" s="362"/>
      <c r="R7923" s="210"/>
      <c r="S7923" s="232"/>
      <c r="T7923" s="270"/>
    </row>
    <row r="7924" spans="14:20" x14ac:dyDescent="0.25">
      <c r="N7924" s="362"/>
      <c r="R7924" s="210"/>
      <c r="S7924" s="232"/>
      <c r="T7924" s="270"/>
    </row>
    <row r="7925" spans="14:20" x14ac:dyDescent="0.25">
      <c r="N7925" s="362"/>
      <c r="R7925" s="210"/>
      <c r="S7925" s="232"/>
      <c r="T7925" s="270"/>
    </row>
    <row r="7926" spans="14:20" x14ac:dyDescent="0.25">
      <c r="N7926" s="362"/>
      <c r="R7926" s="210"/>
      <c r="S7926" s="232"/>
      <c r="T7926" s="270"/>
    </row>
    <row r="7927" spans="14:20" x14ac:dyDescent="0.25">
      <c r="N7927" s="362"/>
      <c r="R7927" s="210"/>
      <c r="S7927" s="232"/>
      <c r="T7927" s="270"/>
    </row>
    <row r="7928" spans="14:20" x14ac:dyDescent="0.25">
      <c r="N7928" s="362"/>
      <c r="R7928" s="210"/>
      <c r="S7928" s="232"/>
      <c r="T7928" s="270"/>
    </row>
    <row r="7929" spans="14:20" x14ac:dyDescent="0.25">
      <c r="N7929" s="362"/>
      <c r="R7929" s="210"/>
      <c r="S7929" s="232"/>
      <c r="T7929" s="270"/>
    </row>
    <row r="7930" spans="14:20" x14ac:dyDescent="0.25">
      <c r="N7930" s="362"/>
      <c r="R7930" s="210"/>
      <c r="S7930" s="232"/>
      <c r="T7930" s="270"/>
    </row>
    <row r="7931" spans="14:20" x14ac:dyDescent="0.25">
      <c r="N7931" s="362"/>
      <c r="R7931" s="210"/>
      <c r="S7931" s="232"/>
      <c r="T7931" s="270"/>
    </row>
    <row r="7932" spans="14:20" x14ac:dyDescent="0.25">
      <c r="N7932" s="362"/>
      <c r="R7932" s="210"/>
      <c r="S7932" s="232"/>
      <c r="T7932" s="270"/>
    </row>
    <row r="7933" spans="14:20" x14ac:dyDescent="0.25">
      <c r="N7933" s="362"/>
      <c r="R7933" s="210"/>
      <c r="S7933" s="232"/>
      <c r="T7933" s="270"/>
    </row>
    <row r="7934" spans="14:20" x14ac:dyDescent="0.25">
      <c r="N7934" s="362"/>
      <c r="R7934" s="210"/>
      <c r="S7934" s="232"/>
      <c r="T7934" s="270"/>
    </row>
    <row r="7935" spans="14:20" x14ac:dyDescent="0.25">
      <c r="N7935" s="362"/>
      <c r="R7935" s="210"/>
      <c r="S7935" s="232"/>
      <c r="T7935" s="270"/>
    </row>
    <row r="7936" spans="14:20" x14ac:dyDescent="0.25">
      <c r="N7936" s="362"/>
      <c r="R7936" s="210"/>
      <c r="S7936" s="232"/>
      <c r="T7936" s="270"/>
    </row>
    <row r="7937" spans="14:20" x14ac:dyDescent="0.25">
      <c r="N7937" s="362"/>
      <c r="R7937" s="210"/>
      <c r="S7937" s="232"/>
      <c r="T7937" s="270"/>
    </row>
    <row r="7938" spans="14:20" x14ac:dyDescent="0.25">
      <c r="N7938" s="362"/>
      <c r="R7938" s="210"/>
      <c r="S7938" s="232"/>
      <c r="T7938" s="270"/>
    </row>
    <row r="7939" spans="14:20" x14ac:dyDescent="0.25">
      <c r="N7939" s="362"/>
      <c r="R7939" s="210"/>
      <c r="S7939" s="232"/>
      <c r="T7939" s="270"/>
    </row>
    <row r="7940" spans="14:20" x14ac:dyDescent="0.25">
      <c r="N7940" s="362"/>
      <c r="R7940" s="210"/>
      <c r="S7940" s="232"/>
      <c r="T7940" s="270"/>
    </row>
    <row r="7941" spans="14:20" x14ac:dyDescent="0.25">
      <c r="N7941" s="362"/>
      <c r="R7941" s="210"/>
      <c r="S7941" s="232"/>
      <c r="T7941" s="270"/>
    </row>
    <row r="7942" spans="14:20" x14ac:dyDescent="0.25">
      <c r="N7942" s="362"/>
      <c r="R7942" s="210"/>
      <c r="S7942" s="232"/>
      <c r="T7942" s="270"/>
    </row>
    <row r="7943" spans="14:20" x14ac:dyDescent="0.25">
      <c r="N7943" s="362"/>
      <c r="R7943" s="210"/>
      <c r="S7943" s="232"/>
      <c r="T7943" s="270"/>
    </row>
    <row r="7944" spans="14:20" x14ac:dyDescent="0.25">
      <c r="N7944" s="362"/>
      <c r="R7944" s="210"/>
      <c r="S7944" s="232"/>
      <c r="T7944" s="270"/>
    </row>
    <row r="7945" spans="14:20" x14ac:dyDescent="0.25">
      <c r="N7945" s="362"/>
      <c r="R7945" s="210"/>
      <c r="S7945" s="232"/>
      <c r="T7945" s="270"/>
    </row>
    <row r="7946" spans="14:20" x14ac:dyDescent="0.25">
      <c r="N7946" s="362"/>
      <c r="R7946" s="210"/>
      <c r="S7946" s="232"/>
      <c r="T7946" s="270"/>
    </row>
    <row r="7947" spans="14:20" x14ac:dyDescent="0.25">
      <c r="N7947" s="362"/>
      <c r="R7947" s="210"/>
      <c r="S7947" s="232"/>
      <c r="T7947" s="270"/>
    </row>
    <row r="7948" spans="14:20" x14ac:dyDescent="0.25">
      <c r="N7948" s="362"/>
      <c r="R7948" s="210"/>
      <c r="S7948" s="232"/>
      <c r="T7948" s="270"/>
    </row>
    <row r="7949" spans="14:20" x14ac:dyDescent="0.25">
      <c r="N7949" s="362"/>
      <c r="R7949" s="210"/>
      <c r="S7949" s="232"/>
      <c r="T7949" s="270"/>
    </row>
    <row r="7950" spans="14:20" x14ac:dyDescent="0.25">
      <c r="N7950" s="362"/>
      <c r="R7950" s="210"/>
      <c r="S7950" s="232"/>
      <c r="T7950" s="270"/>
    </row>
    <row r="7951" spans="14:20" x14ac:dyDescent="0.25">
      <c r="N7951" s="362"/>
      <c r="R7951" s="210"/>
      <c r="S7951" s="232"/>
      <c r="T7951" s="270"/>
    </row>
    <row r="7952" spans="14:20" x14ac:dyDescent="0.25">
      <c r="N7952" s="362"/>
      <c r="R7952" s="210"/>
      <c r="S7952" s="232"/>
      <c r="T7952" s="270"/>
    </row>
    <row r="7953" spans="14:20" x14ac:dyDescent="0.25">
      <c r="N7953" s="362"/>
      <c r="R7953" s="210"/>
      <c r="S7953" s="232"/>
      <c r="T7953" s="270"/>
    </row>
    <row r="7954" spans="14:20" x14ac:dyDescent="0.25">
      <c r="N7954" s="362"/>
      <c r="R7954" s="210"/>
      <c r="S7954" s="232"/>
      <c r="T7954" s="270"/>
    </row>
    <row r="7955" spans="14:20" x14ac:dyDescent="0.25">
      <c r="N7955" s="362"/>
      <c r="R7955" s="210"/>
      <c r="S7955" s="232"/>
      <c r="T7955" s="270"/>
    </row>
    <row r="7956" spans="14:20" x14ac:dyDescent="0.25">
      <c r="N7956" s="362"/>
      <c r="R7956" s="210"/>
      <c r="S7956" s="232"/>
      <c r="T7956" s="270"/>
    </row>
    <row r="7957" spans="14:20" x14ac:dyDescent="0.25">
      <c r="N7957" s="362"/>
      <c r="R7957" s="210"/>
      <c r="S7957" s="232"/>
      <c r="T7957" s="270"/>
    </row>
    <row r="7958" spans="14:20" x14ac:dyDescent="0.25">
      <c r="N7958" s="362"/>
      <c r="R7958" s="210"/>
      <c r="S7958" s="232"/>
      <c r="T7958" s="270"/>
    </row>
    <row r="7959" spans="14:20" x14ac:dyDescent="0.25">
      <c r="N7959" s="362"/>
      <c r="R7959" s="210"/>
      <c r="S7959" s="232"/>
      <c r="T7959" s="270"/>
    </row>
    <row r="7960" spans="14:20" x14ac:dyDescent="0.25">
      <c r="N7960" s="362"/>
      <c r="R7960" s="210"/>
      <c r="S7960" s="232"/>
      <c r="T7960" s="270"/>
    </row>
    <row r="7961" spans="14:20" x14ac:dyDescent="0.25">
      <c r="N7961" s="362"/>
      <c r="R7961" s="210"/>
      <c r="S7961" s="232"/>
      <c r="T7961" s="270"/>
    </row>
    <row r="7962" spans="14:20" x14ac:dyDescent="0.25">
      <c r="N7962" s="362"/>
      <c r="R7962" s="210"/>
      <c r="S7962" s="232"/>
      <c r="T7962" s="270"/>
    </row>
    <row r="7963" spans="14:20" x14ac:dyDescent="0.25">
      <c r="N7963" s="362"/>
      <c r="R7963" s="210"/>
      <c r="S7963" s="232"/>
      <c r="T7963" s="270"/>
    </row>
    <row r="7964" spans="14:20" x14ac:dyDescent="0.25">
      <c r="N7964" s="362"/>
      <c r="R7964" s="210"/>
      <c r="S7964" s="232"/>
      <c r="T7964" s="270"/>
    </row>
    <row r="7965" spans="14:20" x14ac:dyDescent="0.25">
      <c r="N7965" s="362"/>
      <c r="R7965" s="210"/>
      <c r="S7965" s="232"/>
      <c r="T7965" s="270"/>
    </row>
    <row r="7966" spans="14:20" x14ac:dyDescent="0.25">
      <c r="N7966" s="362"/>
      <c r="R7966" s="210"/>
      <c r="S7966" s="232"/>
      <c r="T7966" s="270"/>
    </row>
    <row r="7967" spans="14:20" x14ac:dyDescent="0.25">
      <c r="N7967" s="362"/>
      <c r="R7967" s="210"/>
      <c r="S7967" s="232"/>
      <c r="T7967" s="270"/>
    </row>
    <row r="7968" spans="14:20" x14ac:dyDescent="0.25">
      <c r="N7968" s="362"/>
      <c r="R7968" s="210"/>
      <c r="S7968" s="232"/>
      <c r="T7968" s="270"/>
    </row>
    <row r="7969" spans="14:20" x14ac:dyDescent="0.25">
      <c r="N7969" s="362"/>
      <c r="R7969" s="210"/>
      <c r="S7969" s="232"/>
      <c r="T7969" s="270"/>
    </row>
    <row r="7970" spans="14:20" x14ac:dyDescent="0.25">
      <c r="N7970" s="362"/>
      <c r="R7970" s="210"/>
      <c r="S7970" s="232"/>
      <c r="T7970" s="270"/>
    </row>
    <row r="7971" spans="14:20" x14ac:dyDescent="0.25">
      <c r="N7971" s="362"/>
      <c r="R7971" s="210"/>
      <c r="S7971" s="232"/>
      <c r="T7971" s="270"/>
    </row>
    <row r="7972" spans="14:20" x14ac:dyDescent="0.25">
      <c r="N7972" s="362"/>
      <c r="R7972" s="210"/>
      <c r="S7972" s="232"/>
      <c r="T7972" s="270"/>
    </row>
    <row r="7973" spans="14:20" x14ac:dyDescent="0.25">
      <c r="N7973" s="362"/>
      <c r="R7973" s="210"/>
      <c r="S7973" s="232"/>
      <c r="T7973" s="270"/>
    </row>
    <row r="7974" spans="14:20" x14ac:dyDescent="0.25">
      <c r="N7974" s="362"/>
      <c r="R7974" s="210"/>
      <c r="S7974" s="232"/>
      <c r="T7974" s="270"/>
    </row>
    <row r="7975" spans="14:20" x14ac:dyDescent="0.25">
      <c r="N7975" s="362"/>
      <c r="R7975" s="210"/>
      <c r="S7975" s="232"/>
      <c r="T7975" s="270"/>
    </row>
    <row r="7976" spans="14:20" x14ac:dyDescent="0.25">
      <c r="N7976" s="362"/>
      <c r="R7976" s="210"/>
      <c r="S7976" s="232"/>
      <c r="T7976" s="270"/>
    </row>
    <row r="7977" spans="14:20" x14ac:dyDescent="0.25">
      <c r="N7977" s="362"/>
      <c r="R7977" s="210"/>
      <c r="S7977" s="232"/>
      <c r="T7977" s="270"/>
    </row>
    <row r="7978" spans="14:20" x14ac:dyDescent="0.25">
      <c r="N7978" s="362"/>
      <c r="R7978" s="210"/>
      <c r="S7978" s="232"/>
      <c r="T7978" s="270"/>
    </row>
    <row r="7979" spans="14:20" x14ac:dyDescent="0.25">
      <c r="N7979" s="362"/>
      <c r="R7979" s="210"/>
      <c r="S7979" s="232"/>
      <c r="T7979" s="270"/>
    </row>
    <row r="7980" spans="14:20" x14ac:dyDescent="0.25">
      <c r="N7980" s="362"/>
      <c r="R7980" s="210"/>
      <c r="S7980" s="232"/>
      <c r="T7980" s="270"/>
    </row>
    <row r="7981" spans="14:20" x14ac:dyDescent="0.25">
      <c r="N7981" s="362"/>
      <c r="R7981" s="210"/>
      <c r="S7981" s="232"/>
      <c r="T7981" s="270"/>
    </row>
    <row r="7982" spans="14:20" x14ac:dyDescent="0.25">
      <c r="N7982" s="362"/>
      <c r="R7982" s="210"/>
      <c r="S7982" s="232"/>
      <c r="T7982" s="270"/>
    </row>
    <row r="7983" spans="14:20" x14ac:dyDescent="0.25">
      <c r="N7983" s="362"/>
      <c r="R7983" s="210"/>
      <c r="S7983" s="232"/>
      <c r="T7983" s="270"/>
    </row>
    <row r="7984" spans="14:20" x14ac:dyDescent="0.25">
      <c r="N7984" s="362"/>
      <c r="R7984" s="210"/>
      <c r="S7984" s="232"/>
      <c r="T7984" s="270"/>
    </row>
    <row r="7985" spans="14:20" x14ac:dyDescent="0.25">
      <c r="N7985" s="362"/>
      <c r="R7985" s="210"/>
      <c r="S7985" s="232"/>
      <c r="T7985" s="270"/>
    </row>
    <row r="7986" spans="14:20" x14ac:dyDescent="0.25">
      <c r="N7986" s="362"/>
      <c r="R7986" s="210"/>
      <c r="S7986" s="232"/>
      <c r="T7986" s="270"/>
    </row>
    <row r="7987" spans="14:20" x14ac:dyDescent="0.25">
      <c r="N7987" s="362"/>
      <c r="R7987" s="210"/>
      <c r="S7987" s="232"/>
      <c r="T7987" s="270"/>
    </row>
    <row r="7988" spans="14:20" x14ac:dyDescent="0.25">
      <c r="N7988" s="362"/>
      <c r="R7988" s="210"/>
      <c r="S7988" s="232"/>
      <c r="T7988" s="270"/>
    </row>
    <row r="7989" spans="14:20" x14ac:dyDescent="0.25">
      <c r="N7989" s="362"/>
      <c r="R7989" s="210"/>
      <c r="S7989" s="232"/>
      <c r="T7989" s="270"/>
    </row>
    <row r="7990" spans="14:20" x14ac:dyDescent="0.25">
      <c r="N7990" s="362"/>
      <c r="R7990" s="210"/>
      <c r="S7990" s="232"/>
      <c r="T7990" s="270"/>
    </row>
    <row r="7991" spans="14:20" x14ac:dyDescent="0.25">
      <c r="N7991" s="362"/>
      <c r="R7991" s="210"/>
      <c r="S7991" s="232"/>
      <c r="T7991" s="270"/>
    </row>
    <row r="7992" spans="14:20" x14ac:dyDescent="0.25">
      <c r="N7992" s="362"/>
      <c r="R7992" s="210"/>
      <c r="S7992" s="232"/>
      <c r="T7992" s="270"/>
    </row>
    <row r="7993" spans="14:20" x14ac:dyDescent="0.25">
      <c r="N7993" s="362"/>
      <c r="R7993" s="210"/>
      <c r="S7993" s="232"/>
      <c r="T7993" s="270"/>
    </row>
    <row r="7994" spans="14:20" x14ac:dyDescent="0.25">
      <c r="N7994" s="362"/>
      <c r="R7994" s="210"/>
      <c r="S7994" s="232"/>
      <c r="T7994" s="270"/>
    </row>
    <row r="7995" spans="14:20" x14ac:dyDescent="0.25">
      <c r="N7995" s="362"/>
      <c r="R7995" s="210"/>
      <c r="S7995" s="232"/>
      <c r="T7995" s="270"/>
    </row>
    <row r="7996" spans="14:20" x14ac:dyDescent="0.25">
      <c r="N7996" s="362"/>
      <c r="R7996" s="210"/>
      <c r="S7996" s="232"/>
      <c r="T7996" s="270"/>
    </row>
    <row r="7997" spans="14:20" x14ac:dyDescent="0.25">
      <c r="N7997" s="362"/>
      <c r="R7997" s="210"/>
      <c r="S7997" s="232"/>
      <c r="T7997" s="270"/>
    </row>
    <row r="7998" spans="14:20" x14ac:dyDescent="0.25">
      <c r="N7998" s="362"/>
      <c r="R7998" s="210"/>
      <c r="S7998" s="232"/>
      <c r="T7998" s="270"/>
    </row>
    <row r="7999" spans="14:20" x14ac:dyDescent="0.25">
      <c r="N7999" s="362"/>
      <c r="R7999" s="210"/>
      <c r="S7999" s="232"/>
      <c r="T7999" s="270"/>
    </row>
    <row r="8000" spans="14:20" x14ac:dyDescent="0.25">
      <c r="N8000" s="362"/>
      <c r="R8000" s="210"/>
      <c r="S8000" s="232"/>
      <c r="T8000" s="270"/>
    </row>
    <row r="8001" spans="14:20" x14ac:dyDescent="0.25">
      <c r="N8001" s="362"/>
      <c r="R8001" s="210"/>
      <c r="S8001" s="232"/>
      <c r="T8001" s="270"/>
    </row>
    <row r="8002" spans="14:20" x14ac:dyDescent="0.25">
      <c r="N8002" s="362"/>
      <c r="R8002" s="210"/>
      <c r="S8002" s="232"/>
      <c r="T8002" s="270"/>
    </row>
    <row r="8003" spans="14:20" x14ac:dyDescent="0.25">
      <c r="N8003" s="362"/>
      <c r="R8003" s="210"/>
      <c r="S8003" s="232"/>
      <c r="T8003" s="270"/>
    </row>
    <row r="8004" spans="14:20" x14ac:dyDescent="0.25">
      <c r="N8004" s="362"/>
      <c r="R8004" s="210"/>
      <c r="S8004" s="232"/>
      <c r="T8004" s="270"/>
    </row>
    <row r="8005" spans="14:20" x14ac:dyDescent="0.25">
      <c r="N8005" s="362"/>
      <c r="R8005" s="210"/>
      <c r="S8005" s="232"/>
      <c r="T8005" s="270"/>
    </row>
    <row r="8006" spans="14:20" x14ac:dyDescent="0.25">
      <c r="N8006" s="362"/>
      <c r="R8006" s="210"/>
      <c r="S8006" s="232"/>
      <c r="T8006" s="270"/>
    </row>
    <row r="8007" spans="14:20" x14ac:dyDescent="0.25">
      <c r="N8007" s="362"/>
      <c r="R8007" s="210"/>
      <c r="S8007" s="232"/>
      <c r="T8007" s="270"/>
    </row>
    <row r="8008" spans="14:20" x14ac:dyDescent="0.25">
      <c r="N8008" s="362"/>
      <c r="R8008" s="210"/>
      <c r="S8008" s="232"/>
      <c r="T8008" s="270"/>
    </row>
    <row r="8009" spans="14:20" x14ac:dyDescent="0.25">
      <c r="N8009" s="362"/>
      <c r="R8009" s="210"/>
      <c r="S8009" s="232"/>
      <c r="T8009" s="270"/>
    </row>
    <row r="8010" spans="14:20" x14ac:dyDescent="0.25">
      <c r="N8010" s="362"/>
      <c r="R8010" s="210"/>
      <c r="S8010" s="232"/>
      <c r="T8010" s="270"/>
    </row>
    <row r="8011" spans="14:20" x14ac:dyDescent="0.25">
      <c r="N8011" s="362"/>
      <c r="R8011" s="210"/>
      <c r="S8011" s="232"/>
      <c r="T8011" s="270"/>
    </row>
    <row r="8012" spans="14:20" x14ac:dyDescent="0.25">
      <c r="N8012" s="362"/>
      <c r="R8012" s="210"/>
      <c r="S8012" s="232"/>
      <c r="T8012" s="270"/>
    </row>
    <row r="8013" spans="14:20" x14ac:dyDescent="0.25">
      <c r="N8013" s="362"/>
      <c r="R8013" s="210"/>
      <c r="S8013" s="232"/>
      <c r="T8013" s="270"/>
    </row>
    <row r="8014" spans="14:20" x14ac:dyDescent="0.25">
      <c r="N8014" s="362"/>
      <c r="R8014" s="210"/>
      <c r="S8014" s="232"/>
      <c r="T8014" s="270"/>
    </row>
    <row r="8015" spans="14:20" x14ac:dyDescent="0.25">
      <c r="N8015" s="362"/>
      <c r="R8015" s="210"/>
      <c r="S8015" s="232"/>
      <c r="T8015" s="270"/>
    </row>
    <row r="8016" spans="14:20" x14ac:dyDescent="0.25">
      <c r="N8016" s="362"/>
      <c r="R8016" s="210"/>
      <c r="S8016" s="232"/>
      <c r="T8016" s="270"/>
    </row>
    <row r="8017" spans="14:20" x14ac:dyDescent="0.25">
      <c r="N8017" s="362"/>
      <c r="R8017" s="210"/>
      <c r="S8017" s="232"/>
      <c r="T8017" s="270"/>
    </row>
    <row r="8018" spans="14:20" x14ac:dyDescent="0.25">
      <c r="N8018" s="362"/>
      <c r="R8018" s="210"/>
      <c r="S8018" s="232"/>
      <c r="T8018" s="270"/>
    </row>
    <row r="8019" spans="14:20" x14ac:dyDescent="0.25">
      <c r="N8019" s="362"/>
      <c r="R8019" s="210"/>
      <c r="S8019" s="232"/>
      <c r="T8019" s="270"/>
    </row>
    <row r="8020" spans="14:20" x14ac:dyDescent="0.25">
      <c r="N8020" s="362"/>
      <c r="R8020" s="210"/>
      <c r="S8020" s="232"/>
      <c r="T8020" s="270"/>
    </row>
    <row r="8021" spans="14:20" x14ac:dyDescent="0.25">
      <c r="N8021" s="362"/>
      <c r="R8021" s="210"/>
      <c r="S8021" s="232"/>
      <c r="T8021" s="270"/>
    </row>
    <row r="8022" spans="14:20" x14ac:dyDescent="0.25">
      <c r="N8022" s="362"/>
      <c r="R8022" s="210"/>
      <c r="S8022" s="232"/>
      <c r="T8022" s="270"/>
    </row>
    <row r="8023" spans="14:20" x14ac:dyDescent="0.25">
      <c r="N8023" s="362"/>
      <c r="R8023" s="210"/>
      <c r="S8023" s="232"/>
      <c r="T8023" s="270"/>
    </row>
    <row r="8024" spans="14:20" x14ac:dyDescent="0.25">
      <c r="N8024" s="362"/>
      <c r="R8024" s="210"/>
      <c r="S8024" s="232"/>
      <c r="T8024" s="270"/>
    </row>
    <row r="8025" spans="14:20" x14ac:dyDescent="0.25">
      <c r="N8025" s="362"/>
      <c r="R8025" s="210"/>
      <c r="S8025" s="232"/>
      <c r="T8025" s="270"/>
    </row>
    <row r="8026" spans="14:20" x14ac:dyDescent="0.25">
      <c r="N8026" s="362"/>
      <c r="R8026" s="210"/>
      <c r="S8026" s="232"/>
      <c r="T8026" s="270"/>
    </row>
    <row r="8027" spans="14:20" x14ac:dyDescent="0.25">
      <c r="N8027" s="362"/>
      <c r="R8027" s="210"/>
      <c r="S8027" s="232"/>
      <c r="T8027" s="270"/>
    </row>
    <row r="8028" spans="14:20" x14ac:dyDescent="0.25">
      <c r="N8028" s="362"/>
      <c r="R8028" s="210"/>
      <c r="S8028" s="232"/>
      <c r="T8028" s="270"/>
    </row>
    <row r="8029" spans="14:20" x14ac:dyDescent="0.25">
      <c r="N8029" s="362"/>
      <c r="R8029" s="210"/>
      <c r="S8029" s="232"/>
      <c r="T8029" s="270"/>
    </row>
    <row r="8030" spans="14:20" x14ac:dyDescent="0.25">
      <c r="N8030" s="362"/>
      <c r="R8030" s="210"/>
      <c r="S8030" s="232"/>
      <c r="T8030" s="270"/>
    </row>
    <row r="8031" spans="14:20" x14ac:dyDescent="0.25">
      <c r="N8031" s="362"/>
      <c r="R8031" s="210"/>
      <c r="S8031" s="232"/>
      <c r="T8031" s="270"/>
    </row>
    <row r="8032" spans="14:20" x14ac:dyDescent="0.25">
      <c r="N8032" s="362"/>
      <c r="R8032" s="210"/>
      <c r="S8032" s="232"/>
      <c r="T8032" s="270"/>
    </row>
    <row r="8033" spans="14:20" x14ac:dyDescent="0.25">
      <c r="N8033" s="362"/>
      <c r="R8033" s="210"/>
      <c r="S8033" s="232"/>
      <c r="T8033" s="270"/>
    </row>
    <row r="8034" spans="14:20" x14ac:dyDescent="0.25">
      <c r="N8034" s="362"/>
      <c r="R8034" s="210"/>
      <c r="S8034" s="232"/>
      <c r="T8034" s="270"/>
    </row>
    <row r="8035" spans="14:20" x14ac:dyDescent="0.25">
      <c r="N8035" s="362"/>
      <c r="R8035" s="210"/>
      <c r="S8035" s="232"/>
      <c r="T8035" s="270"/>
    </row>
    <row r="8036" spans="14:20" x14ac:dyDescent="0.25">
      <c r="N8036" s="362"/>
      <c r="R8036" s="210"/>
      <c r="S8036" s="232"/>
      <c r="T8036" s="270"/>
    </row>
    <row r="8037" spans="14:20" x14ac:dyDescent="0.25">
      <c r="N8037" s="362"/>
      <c r="R8037" s="210"/>
      <c r="S8037" s="232"/>
      <c r="T8037" s="270"/>
    </row>
    <row r="8038" spans="14:20" x14ac:dyDescent="0.25">
      <c r="N8038" s="362"/>
      <c r="R8038" s="210"/>
      <c r="S8038" s="232"/>
      <c r="T8038" s="270"/>
    </row>
    <row r="8039" spans="14:20" x14ac:dyDescent="0.25">
      <c r="N8039" s="362"/>
      <c r="R8039" s="210"/>
      <c r="S8039" s="232"/>
      <c r="T8039" s="270"/>
    </row>
    <row r="8040" spans="14:20" x14ac:dyDescent="0.25">
      <c r="N8040" s="362"/>
      <c r="R8040" s="210"/>
      <c r="S8040" s="232"/>
      <c r="T8040" s="270"/>
    </row>
    <row r="8041" spans="14:20" x14ac:dyDescent="0.25">
      <c r="N8041" s="362"/>
      <c r="R8041" s="210"/>
      <c r="S8041" s="232"/>
      <c r="T8041" s="270"/>
    </row>
    <row r="8042" spans="14:20" x14ac:dyDescent="0.25">
      <c r="N8042" s="362"/>
      <c r="R8042" s="210"/>
      <c r="S8042" s="232"/>
      <c r="T8042" s="270"/>
    </row>
    <row r="8043" spans="14:20" x14ac:dyDescent="0.25">
      <c r="N8043" s="362"/>
      <c r="R8043" s="210"/>
      <c r="S8043" s="232"/>
      <c r="T8043" s="270"/>
    </row>
    <row r="8044" spans="14:20" x14ac:dyDescent="0.25">
      <c r="N8044" s="362"/>
      <c r="R8044" s="210"/>
      <c r="S8044" s="232"/>
      <c r="T8044" s="270"/>
    </row>
    <row r="8045" spans="14:20" x14ac:dyDescent="0.25">
      <c r="N8045" s="362"/>
      <c r="R8045" s="210"/>
      <c r="S8045" s="232"/>
      <c r="T8045" s="270"/>
    </row>
    <row r="8046" spans="14:20" x14ac:dyDescent="0.25">
      <c r="N8046" s="362"/>
      <c r="R8046" s="210"/>
      <c r="S8046" s="232"/>
      <c r="T8046" s="270"/>
    </row>
    <row r="8047" spans="14:20" x14ac:dyDescent="0.25">
      <c r="N8047" s="362"/>
      <c r="R8047" s="210"/>
      <c r="S8047" s="232"/>
      <c r="T8047" s="270"/>
    </row>
    <row r="8048" spans="14:20" x14ac:dyDescent="0.25">
      <c r="N8048" s="362"/>
      <c r="R8048" s="210"/>
      <c r="S8048" s="232"/>
      <c r="T8048" s="270"/>
    </row>
    <row r="8049" spans="14:20" x14ac:dyDescent="0.25">
      <c r="N8049" s="362"/>
      <c r="R8049" s="210"/>
      <c r="S8049" s="232"/>
      <c r="T8049" s="270"/>
    </row>
    <row r="8050" spans="14:20" x14ac:dyDescent="0.25">
      <c r="N8050" s="362"/>
      <c r="R8050" s="210"/>
      <c r="S8050" s="232"/>
      <c r="T8050" s="270"/>
    </row>
    <row r="8051" spans="14:20" x14ac:dyDescent="0.25">
      <c r="N8051" s="362"/>
      <c r="R8051" s="210"/>
      <c r="S8051" s="232"/>
      <c r="T8051" s="270"/>
    </row>
    <row r="8052" spans="14:20" x14ac:dyDescent="0.25">
      <c r="N8052" s="362"/>
      <c r="R8052" s="210"/>
      <c r="S8052" s="232"/>
      <c r="T8052" s="270"/>
    </row>
    <row r="8053" spans="14:20" x14ac:dyDescent="0.25">
      <c r="N8053" s="362"/>
      <c r="R8053" s="210"/>
      <c r="S8053" s="232"/>
      <c r="T8053" s="270"/>
    </row>
    <row r="8054" spans="14:20" x14ac:dyDescent="0.25">
      <c r="N8054" s="362"/>
      <c r="R8054" s="210"/>
      <c r="S8054" s="232"/>
      <c r="T8054" s="270"/>
    </row>
    <row r="8055" spans="14:20" x14ac:dyDescent="0.25">
      <c r="N8055" s="362"/>
      <c r="R8055" s="210"/>
      <c r="S8055" s="232"/>
      <c r="T8055" s="270"/>
    </row>
    <row r="8056" spans="14:20" x14ac:dyDescent="0.25">
      <c r="N8056" s="362"/>
      <c r="R8056" s="210"/>
      <c r="S8056" s="232"/>
      <c r="T8056" s="270"/>
    </row>
    <row r="8057" spans="14:20" x14ac:dyDescent="0.25">
      <c r="N8057" s="362"/>
      <c r="R8057" s="210"/>
      <c r="S8057" s="232"/>
      <c r="T8057" s="270"/>
    </row>
    <row r="8058" spans="14:20" x14ac:dyDescent="0.25">
      <c r="N8058" s="362"/>
      <c r="R8058" s="210"/>
      <c r="S8058" s="232"/>
      <c r="T8058" s="270"/>
    </row>
    <row r="8059" spans="14:20" x14ac:dyDescent="0.25">
      <c r="N8059" s="362"/>
      <c r="R8059" s="210"/>
      <c r="S8059" s="232"/>
      <c r="T8059" s="270"/>
    </row>
    <row r="8060" spans="14:20" x14ac:dyDescent="0.25">
      <c r="N8060" s="362"/>
      <c r="R8060" s="210"/>
      <c r="S8060" s="232"/>
      <c r="T8060" s="270"/>
    </row>
    <row r="8061" spans="14:20" x14ac:dyDescent="0.25">
      <c r="N8061" s="362"/>
      <c r="R8061" s="210"/>
      <c r="S8061" s="232"/>
      <c r="T8061" s="270"/>
    </row>
    <row r="8062" spans="14:20" x14ac:dyDescent="0.25">
      <c r="N8062" s="362"/>
      <c r="R8062" s="210"/>
      <c r="S8062" s="232"/>
      <c r="T8062" s="270"/>
    </row>
    <row r="8063" spans="14:20" x14ac:dyDescent="0.25">
      <c r="N8063" s="362"/>
      <c r="R8063" s="210"/>
      <c r="S8063" s="232"/>
      <c r="T8063" s="270"/>
    </row>
    <row r="8064" spans="14:20" x14ac:dyDescent="0.25">
      <c r="N8064" s="362"/>
      <c r="R8064" s="210"/>
      <c r="S8064" s="232"/>
      <c r="T8064" s="270"/>
    </row>
    <row r="8065" spans="14:20" x14ac:dyDescent="0.25">
      <c r="N8065" s="362"/>
      <c r="R8065" s="210"/>
      <c r="S8065" s="232"/>
      <c r="T8065" s="270"/>
    </row>
    <row r="8066" spans="14:20" x14ac:dyDescent="0.25">
      <c r="N8066" s="362"/>
      <c r="R8066" s="210"/>
      <c r="S8066" s="232"/>
      <c r="T8066" s="270"/>
    </row>
    <row r="8067" spans="14:20" x14ac:dyDescent="0.25">
      <c r="N8067" s="362"/>
      <c r="R8067" s="210"/>
      <c r="S8067" s="232"/>
      <c r="T8067" s="270"/>
    </row>
    <row r="8068" spans="14:20" x14ac:dyDescent="0.25">
      <c r="N8068" s="362"/>
      <c r="R8068" s="210"/>
      <c r="S8068" s="232"/>
      <c r="T8068" s="270"/>
    </row>
    <row r="8069" spans="14:20" x14ac:dyDescent="0.25">
      <c r="N8069" s="362"/>
      <c r="R8069" s="210"/>
      <c r="S8069" s="232"/>
      <c r="T8069" s="270"/>
    </row>
    <row r="8070" spans="14:20" x14ac:dyDescent="0.25">
      <c r="N8070" s="362"/>
      <c r="R8070" s="210"/>
      <c r="S8070" s="232"/>
      <c r="T8070" s="270"/>
    </row>
    <row r="8071" spans="14:20" x14ac:dyDescent="0.25">
      <c r="N8071" s="362"/>
      <c r="R8071" s="210"/>
      <c r="S8071" s="232"/>
      <c r="T8071" s="270"/>
    </row>
    <row r="8072" spans="14:20" x14ac:dyDescent="0.25">
      <c r="N8072" s="362"/>
      <c r="R8072" s="210"/>
      <c r="S8072" s="232"/>
      <c r="T8072" s="270"/>
    </row>
    <row r="8073" spans="14:20" x14ac:dyDescent="0.25">
      <c r="N8073" s="362"/>
      <c r="R8073" s="210"/>
      <c r="S8073" s="232"/>
      <c r="T8073" s="270"/>
    </row>
    <row r="8074" spans="14:20" x14ac:dyDescent="0.25">
      <c r="N8074" s="362"/>
      <c r="R8074" s="210"/>
      <c r="S8074" s="232"/>
      <c r="T8074" s="270"/>
    </row>
    <row r="8075" spans="14:20" x14ac:dyDescent="0.25">
      <c r="N8075" s="362"/>
      <c r="R8075" s="210"/>
      <c r="S8075" s="232"/>
      <c r="T8075" s="270"/>
    </row>
    <row r="8076" spans="14:20" x14ac:dyDescent="0.25">
      <c r="N8076" s="362"/>
      <c r="R8076" s="210"/>
      <c r="S8076" s="232"/>
      <c r="T8076" s="270"/>
    </row>
    <row r="8077" spans="14:20" x14ac:dyDescent="0.25">
      <c r="N8077" s="362"/>
      <c r="R8077" s="210"/>
      <c r="S8077" s="232"/>
      <c r="T8077" s="270"/>
    </row>
    <row r="8078" spans="14:20" x14ac:dyDescent="0.25">
      <c r="N8078" s="362"/>
      <c r="R8078" s="210"/>
      <c r="S8078" s="232"/>
      <c r="T8078" s="270"/>
    </row>
    <row r="8079" spans="14:20" x14ac:dyDescent="0.25">
      <c r="N8079" s="362"/>
      <c r="R8079" s="210"/>
      <c r="S8079" s="232"/>
      <c r="T8079" s="270"/>
    </row>
    <row r="8080" spans="14:20" x14ac:dyDescent="0.25">
      <c r="N8080" s="362"/>
      <c r="R8080" s="210"/>
      <c r="S8080" s="232"/>
      <c r="T8080" s="270"/>
    </row>
    <row r="8081" spans="14:20" x14ac:dyDescent="0.25">
      <c r="N8081" s="362"/>
      <c r="R8081" s="210"/>
      <c r="S8081" s="232"/>
      <c r="T8081" s="270"/>
    </row>
    <row r="8082" spans="14:20" x14ac:dyDescent="0.25">
      <c r="N8082" s="362"/>
      <c r="R8082" s="210"/>
      <c r="S8082" s="232"/>
      <c r="T8082" s="270"/>
    </row>
    <row r="8083" spans="14:20" x14ac:dyDescent="0.25">
      <c r="N8083" s="362"/>
      <c r="R8083" s="210"/>
      <c r="S8083" s="232"/>
      <c r="T8083" s="270"/>
    </row>
    <row r="8084" spans="14:20" x14ac:dyDescent="0.25">
      <c r="N8084" s="362"/>
      <c r="R8084" s="210"/>
      <c r="S8084" s="232"/>
      <c r="T8084" s="270"/>
    </row>
    <row r="8085" spans="14:20" x14ac:dyDescent="0.25">
      <c r="N8085" s="362"/>
      <c r="R8085" s="210"/>
      <c r="S8085" s="232"/>
      <c r="T8085" s="270"/>
    </row>
    <row r="8086" spans="14:20" x14ac:dyDescent="0.25">
      <c r="N8086" s="362"/>
      <c r="R8086" s="210"/>
      <c r="S8086" s="232"/>
      <c r="T8086" s="270"/>
    </row>
    <row r="8087" spans="14:20" x14ac:dyDescent="0.25">
      <c r="N8087" s="362"/>
      <c r="R8087" s="210"/>
      <c r="S8087" s="232"/>
      <c r="T8087" s="270"/>
    </row>
    <row r="8088" spans="14:20" x14ac:dyDescent="0.25">
      <c r="N8088" s="362"/>
      <c r="R8088" s="210"/>
      <c r="S8088" s="232"/>
      <c r="T8088" s="270"/>
    </row>
    <row r="8089" spans="14:20" x14ac:dyDescent="0.25">
      <c r="N8089" s="362"/>
      <c r="R8089" s="210"/>
      <c r="S8089" s="232"/>
      <c r="T8089" s="270"/>
    </row>
    <row r="8090" spans="14:20" x14ac:dyDescent="0.25">
      <c r="N8090" s="362"/>
      <c r="R8090" s="210"/>
      <c r="S8090" s="232"/>
      <c r="T8090" s="270"/>
    </row>
    <row r="8091" spans="14:20" x14ac:dyDescent="0.25">
      <c r="N8091" s="362"/>
      <c r="R8091" s="210"/>
      <c r="S8091" s="232"/>
      <c r="T8091" s="270"/>
    </row>
    <row r="8092" spans="14:20" x14ac:dyDescent="0.25">
      <c r="N8092" s="362"/>
      <c r="R8092" s="210"/>
      <c r="S8092" s="232"/>
      <c r="T8092" s="270"/>
    </row>
    <row r="8093" spans="14:20" x14ac:dyDescent="0.25">
      <c r="N8093" s="362"/>
      <c r="R8093" s="210"/>
      <c r="S8093" s="232"/>
      <c r="T8093" s="270"/>
    </row>
    <row r="8094" spans="14:20" x14ac:dyDescent="0.25">
      <c r="N8094" s="362"/>
      <c r="R8094" s="210"/>
      <c r="S8094" s="232"/>
      <c r="T8094" s="270"/>
    </row>
    <row r="8095" spans="14:20" x14ac:dyDescent="0.25">
      <c r="N8095" s="362"/>
      <c r="R8095" s="210"/>
      <c r="S8095" s="232"/>
      <c r="T8095" s="270"/>
    </row>
    <row r="8096" spans="14:20" x14ac:dyDescent="0.25">
      <c r="N8096" s="362"/>
      <c r="R8096" s="210"/>
      <c r="S8096" s="232"/>
      <c r="T8096" s="270"/>
    </row>
    <row r="8097" spans="14:20" x14ac:dyDescent="0.25">
      <c r="N8097" s="362"/>
      <c r="R8097" s="210"/>
      <c r="S8097" s="232"/>
      <c r="T8097" s="270"/>
    </row>
    <row r="8098" spans="14:20" x14ac:dyDescent="0.25">
      <c r="N8098" s="362"/>
      <c r="R8098" s="210"/>
      <c r="S8098" s="232"/>
      <c r="T8098" s="270"/>
    </row>
    <row r="8099" spans="14:20" x14ac:dyDescent="0.25">
      <c r="N8099" s="362"/>
      <c r="R8099" s="210"/>
      <c r="S8099" s="232"/>
      <c r="T8099" s="270"/>
    </row>
    <row r="8100" spans="14:20" x14ac:dyDescent="0.25">
      <c r="N8100" s="362"/>
      <c r="R8100" s="210"/>
      <c r="S8100" s="232"/>
      <c r="T8100" s="270"/>
    </row>
    <row r="8101" spans="14:20" x14ac:dyDescent="0.25">
      <c r="N8101" s="362"/>
      <c r="R8101" s="210"/>
      <c r="S8101" s="232"/>
      <c r="T8101" s="270"/>
    </row>
    <row r="8102" spans="14:20" x14ac:dyDescent="0.25">
      <c r="N8102" s="362"/>
      <c r="R8102" s="210"/>
      <c r="S8102" s="232"/>
      <c r="T8102" s="270"/>
    </row>
    <row r="8103" spans="14:20" x14ac:dyDescent="0.25">
      <c r="N8103" s="362"/>
      <c r="R8103" s="210"/>
      <c r="S8103" s="232"/>
      <c r="T8103" s="270"/>
    </row>
    <row r="8104" spans="14:20" x14ac:dyDescent="0.25">
      <c r="N8104" s="362"/>
      <c r="R8104" s="210"/>
      <c r="S8104" s="232"/>
      <c r="T8104" s="270"/>
    </row>
    <row r="8105" spans="14:20" x14ac:dyDescent="0.25">
      <c r="N8105" s="362"/>
      <c r="R8105" s="210"/>
      <c r="S8105" s="232"/>
      <c r="T8105" s="270"/>
    </row>
    <row r="8106" spans="14:20" x14ac:dyDescent="0.25">
      <c r="N8106" s="362"/>
      <c r="R8106" s="210"/>
      <c r="S8106" s="232"/>
      <c r="T8106" s="270"/>
    </row>
    <row r="8107" spans="14:20" x14ac:dyDescent="0.25">
      <c r="N8107" s="362"/>
      <c r="R8107" s="210"/>
      <c r="S8107" s="232"/>
      <c r="T8107" s="270"/>
    </row>
    <row r="8108" spans="14:20" x14ac:dyDescent="0.25">
      <c r="N8108" s="362"/>
      <c r="R8108" s="210"/>
      <c r="S8108" s="232"/>
      <c r="T8108" s="270"/>
    </row>
    <row r="8109" spans="14:20" x14ac:dyDescent="0.25">
      <c r="N8109" s="362"/>
      <c r="R8109" s="210"/>
      <c r="S8109" s="232"/>
      <c r="T8109" s="270"/>
    </row>
    <row r="8110" spans="14:20" x14ac:dyDescent="0.25">
      <c r="N8110" s="362"/>
      <c r="R8110" s="210"/>
      <c r="S8110" s="232"/>
      <c r="T8110" s="270"/>
    </row>
    <row r="8111" spans="14:20" x14ac:dyDescent="0.25">
      <c r="N8111" s="362"/>
      <c r="R8111" s="210"/>
      <c r="S8111" s="232"/>
      <c r="T8111" s="270"/>
    </row>
    <row r="8112" spans="14:20" x14ac:dyDescent="0.25">
      <c r="N8112" s="362"/>
      <c r="R8112" s="210"/>
      <c r="S8112" s="232"/>
      <c r="T8112" s="270"/>
    </row>
    <row r="8113" spans="14:20" x14ac:dyDescent="0.25">
      <c r="N8113" s="362"/>
      <c r="R8113" s="210"/>
      <c r="S8113" s="232"/>
      <c r="T8113" s="270"/>
    </row>
    <row r="8114" spans="14:20" x14ac:dyDescent="0.25">
      <c r="N8114" s="362"/>
      <c r="R8114" s="210"/>
      <c r="S8114" s="232"/>
      <c r="T8114" s="270"/>
    </row>
    <row r="8115" spans="14:20" x14ac:dyDescent="0.25">
      <c r="N8115" s="362"/>
      <c r="R8115" s="210"/>
      <c r="S8115" s="232"/>
      <c r="T8115" s="270"/>
    </row>
    <row r="8116" spans="14:20" x14ac:dyDescent="0.25">
      <c r="N8116" s="362"/>
      <c r="R8116" s="210"/>
      <c r="S8116" s="232"/>
      <c r="T8116" s="270"/>
    </row>
    <row r="8117" spans="14:20" x14ac:dyDescent="0.25">
      <c r="N8117" s="362"/>
      <c r="R8117" s="210"/>
      <c r="S8117" s="232"/>
      <c r="T8117" s="270"/>
    </row>
    <row r="8118" spans="14:20" x14ac:dyDescent="0.25">
      <c r="N8118" s="362"/>
      <c r="R8118" s="210"/>
      <c r="S8118" s="232"/>
      <c r="T8118" s="270"/>
    </row>
    <row r="8119" spans="14:20" x14ac:dyDescent="0.25">
      <c r="N8119" s="362"/>
      <c r="R8119" s="210"/>
      <c r="S8119" s="232"/>
      <c r="T8119" s="270"/>
    </row>
    <row r="8120" spans="14:20" x14ac:dyDescent="0.25">
      <c r="N8120" s="362"/>
      <c r="R8120" s="210"/>
      <c r="S8120" s="232"/>
      <c r="T8120" s="270"/>
    </row>
    <row r="8121" spans="14:20" x14ac:dyDescent="0.25">
      <c r="N8121" s="362"/>
      <c r="R8121" s="210"/>
      <c r="S8121" s="232"/>
      <c r="T8121" s="270"/>
    </row>
    <row r="8122" spans="14:20" x14ac:dyDescent="0.25">
      <c r="N8122" s="362"/>
      <c r="R8122" s="210"/>
      <c r="S8122" s="232"/>
      <c r="T8122" s="270"/>
    </row>
    <row r="8123" spans="14:20" x14ac:dyDescent="0.25">
      <c r="N8123" s="362"/>
      <c r="R8123" s="210"/>
      <c r="S8123" s="232"/>
      <c r="T8123" s="270"/>
    </row>
    <row r="8124" spans="14:20" x14ac:dyDescent="0.25">
      <c r="N8124" s="362"/>
      <c r="R8124" s="210"/>
      <c r="S8124" s="232"/>
      <c r="T8124" s="270"/>
    </row>
    <row r="8125" spans="14:20" x14ac:dyDescent="0.25">
      <c r="N8125" s="362"/>
      <c r="R8125" s="210"/>
      <c r="S8125" s="232"/>
      <c r="T8125" s="270"/>
    </row>
    <row r="8126" spans="14:20" x14ac:dyDescent="0.25">
      <c r="N8126" s="362"/>
      <c r="R8126" s="210"/>
      <c r="S8126" s="232"/>
      <c r="T8126" s="270"/>
    </row>
    <row r="8127" spans="14:20" x14ac:dyDescent="0.25">
      <c r="N8127" s="362"/>
      <c r="R8127" s="210"/>
      <c r="S8127" s="232"/>
      <c r="T8127" s="270"/>
    </row>
    <row r="8128" spans="14:20" x14ac:dyDescent="0.25">
      <c r="N8128" s="362"/>
      <c r="R8128" s="210"/>
      <c r="S8128" s="232"/>
      <c r="T8128" s="270"/>
    </row>
    <row r="8129" spans="14:20" x14ac:dyDescent="0.25">
      <c r="N8129" s="362"/>
      <c r="R8129" s="210"/>
      <c r="S8129" s="232"/>
      <c r="T8129" s="270"/>
    </row>
    <row r="8130" spans="14:20" x14ac:dyDescent="0.25">
      <c r="N8130" s="362"/>
      <c r="R8130" s="210"/>
      <c r="S8130" s="232"/>
      <c r="T8130" s="270"/>
    </row>
    <row r="8131" spans="14:20" x14ac:dyDescent="0.25">
      <c r="N8131" s="362"/>
      <c r="R8131" s="210"/>
      <c r="S8131" s="232"/>
      <c r="T8131" s="270"/>
    </row>
    <row r="8132" spans="14:20" x14ac:dyDescent="0.25">
      <c r="N8132" s="362"/>
      <c r="R8132" s="210"/>
      <c r="S8132" s="232"/>
      <c r="T8132" s="270"/>
    </row>
    <row r="8133" spans="14:20" x14ac:dyDescent="0.25">
      <c r="N8133" s="362"/>
      <c r="R8133" s="210"/>
      <c r="S8133" s="232"/>
      <c r="T8133" s="270"/>
    </row>
    <row r="8134" spans="14:20" x14ac:dyDescent="0.25">
      <c r="N8134" s="362"/>
      <c r="R8134" s="210"/>
      <c r="S8134" s="232"/>
      <c r="T8134" s="270"/>
    </row>
    <row r="8135" spans="14:20" x14ac:dyDescent="0.25">
      <c r="N8135" s="362"/>
      <c r="R8135" s="210"/>
      <c r="S8135" s="232"/>
      <c r="T8135" s="270"/>
    </row>
    <row r="8136" spans="14:20" x14ac:dyDescent="0.25">
      <c r="N8136" s="362"/>
      <c r="R8136" s="210"/>
      <c r="S8136" s="232"/>
      <c r="T8136" s="270"/>
    </row>
    <row r="8137" spans="14:20" x14ac:dyDescent="0.25">
      <c r="N8137" s="362"/>
      <c r="R8137" s="210"/>
      <c r="S8137" s="232"/>
      <c r="T8137" s="270"/>
    </row>
    <row r="8138" spans="14:20" x14ac:dyDescent="0.25">
      <c r="N8138" s="362"/>
      <c r="R8138" s="210"/>
      <c r="S8138" s="232"/>
      <c r="T8138" s="270"/>
    </row>
    <row r="8139" spans="14:20" x14ac:dyDescent="0.25">
      <c r="N8139" s="362"/>
      <c r="R8139" s="210"/>
      <c r="S8139" s="232"/>
      <c r="T8139" s="270"/>
    </row>
    <row r="8140" spans="14:20" x14ac:dyDescent="0.25">
      <c r="N8140" s="362"/>
      <c r="R8140" s="210"/>
      <c r="S8140" s="232"/>
      <c r="T8140" s="270"/>
    </row>
    <row r="8141" spans="14:20" x14ac:dyDescent="0.25">
      <c r="N8141" s="362"/>
      <c r="R8141" s="210"/>
      <c r="S8141" s="232"/>
      <c r="T8141" s="270"/>
    </row>
    <row r="8142" spans="14:20" x14ac:dyDescent="0.25">
      <c r="N8142" s="362"/>
      <c r="R8142" s="210"/>
      <c r="S8142" s="232"/>
      <c r="T8142" s="270"/>
    </row>
    <row r="8143" spans="14:20" x14ac:dyDescent="0.25">
      <c r="N8143" s="362"/>
      <c r="R8143" s="210"/>
      <c r="S8143" s="232"/>
      <c r="T8143" s="270"/>
    </row>
    <row r="8144" spans="14:20" x14ac:dyDescent="0.25">
      <c r="N8144" s="362"/>
      <c r="R8144" s="210"/>
      <c r="S8144" s="232"/>
      <c r="T8144" s="270"/>
    </row>
    <row r="8145" spans="14:20" x14ac:dyDescent="0.25">
      <c r="N8145" s="362"/>
      <c r="R8145" s="210"/>
      <c r="S8145" s="232"/>
      <c r="T8145" s="270"/>
    </row>
    <row r="8146" spans="14:20" x14ac:dyDescent="0.25">
      <c r="N8146" s="362"/>
      <c r="R8146" s="210"/>
      <c r="S8146" s="232"/>
      <c r="T8146" s="270"/>
    </row>
    <row r="8147" spans="14:20" x14ac:dyDescent="0.25">
      <c r="N8147" s="362"/>
      <c r="R8147" s="210"/>
      <c r="S8147" s="232"/>
      <c r="T8147" s="270"/>
    </row>
    <row r="8148" spans="14:20" x14ac:dyDescent="0.25">
      <c r="N8148" s="362"/>
      <c r="R8148" s="210"/>
      <c r="S8148" s="232"/>
      <c r="T8148" s="270"/>
    </row>
    <row r="8149" spans="14:20" x14ac:dyDescent="0.25">
      <c r="N8149" s="362"/>
      <c r="R8149" s="210"/>
      <c r="S8149" s="232"/>
      <c r="T8149" s="270"/>
    </row>
    <row r="8150" spans="14:20" x14ac:dyDescent="0.25">
      <c r="N8150" s="362"/>
      <c r="R8150" s="210"/>
      <c r="S8150" s="232"/>
      <c r="T8150" s="270"/>
    </row>
    <row r="8151" spans="14:20" x14ac:dyDescent="0.25">
      <c r="N8151" s="362"/>
      <c r="R8151" s="210"/>
      <c r="S8151" s="232"/>
      <c r="T8151" s="270"/>
    </row>
    <row r="8152" spans="14:20" x14ac:dyDescent="0.25">
      <c r="N8152" s="362"/>
      <c r="R8152" s="210"/>
      <c r="S8152" s="232"/>
      <c r="T8152" s="270"/>
    </row>
    <row r="8153" spans="14:20" x14ac:dyDescent="0.25">
      <c r="N8153" s="362"/>
      <c r="R8153" s="210"/>
      <c r="S8153" s="232"/>
      <c r="T8153" s="270"/>
    </row>
    <row r="8154" spans="14:20" x14ac:dyDescent="0.25">
      <c r="N8154" s="362"/>
      <c r="R8154" s="210"/>
      <c r="S8154" s="232"/>
      <c r="T8154" s="270"/>
    </row>
    <row r="8155" spans="14:20" x14ac:dyDescent="0.25">
      <c r="N8155" s="362"/>
      <c r="R8155" s="210"/>
      <c r="S8155" s="232"/>
      <c r="T8155" s="270"/>
    </row>
    <row r="8156" spans="14:20" x14ac:dyDescent="0.25">
      <c r="N8156" s="362"/>
      <c r="R8156" s="210"/>
      <c r="S8156" s="232"/>
      <c r="T8156" s="270"/>
    </row>
    <row r="8157" spans="14:20" x14ac:dyDescent="0.25">
      <c r="N8157" s="362"/>
      <c r="R8157" s="210"/>
      <c r="S8157" s="232"/>
      <c r="T8157" s="270"/>
    </row>
    <row r="8158" spans="14:20" x14ac:dyDescent="0.25">
      <c r="N8158" s="362"/>
      <c r="R8158" s="210"/>
      <c r="S8158" s="232"/>
      <c r="T8158" s="270"/>
    </row>
    <row r="8159" spans="14:20" x14ac:dyDescent="0.25">
      <c r="N8159" s="362"/>
      <c r="R8159" s="210"/>
      <c r="S8159" s="232"/>
      <c r="T8159" s="270"/>
    </row>
    <row r="8160" spans="14:20" x14ac:dyDescent="0.25">
      <c r="N8160" s="362"/>
      <c r="R8160" s="210"/>
      <c r="S8160" s="232"/>
      <c r="T8160" s="270"/>
    </row>
    <row r="8161" spans="14:20" x14ac:dyDescent="0.25">
      <c r="N8161" s="362"/>
      <c r="R8161" s="210"/>
      <c r="S8161" s="232"/>
      <c r="T8161" s="270"/>
    </row>
    <row r="8162" spans="14:20" x14ac:dyDescent="0.25">
      <c r="N8162" s="362"/>
      <c r="R8162" s="210"/>
      <c r="S8162" s="232"/>
      <c r="T8162" s="270"/>
    </row>
    <row r="8163" spans="14:20" x14ac:dyDescent="0.25">
      <c r="N8163" s="362"/>
      <c r="R8163" s="210"/>
      <c r="S8163" s="232"/>
      <c r="T8163" s="270"/>
    </row>
    <row r="8164" spans="14:20" x14ac:dyDescent="0.25">
      <c r="N8164" s="362"/>
      <c r="R8164" s="210"/>
      <c r="S8164" s="232"/>
      <c r="T8164" s="270"/>
    </row>
    <row r="8165" spans="14:20" x14ac:dyDescent="0.25">
      <c r="N8165" s="362"/>
      <c r="R8165" s="210"/>
      <c r="S8165" s="232"/>
      <c r="T8165" s="270"/>
    </row>
    <row r="8166" spans="14:20" x14ac:dyDescent="0.25">
      <c r="N8166" s="362"/>
      <c r="R8166" s="210"/>
      <c r="S8166" s="232"/>
      <c r="T8166" s="270"/>
    </row>
    <row r="8167" spans="14:20" x14ac:dyDescent="0.25">
      <c r="N8167" s="362"/>
      <c r="R8167" s="210"/>
      <c r="S8167" s="232"/>
      <c r="T8167" s="270"/>
    </row>
    <row r="8168" spans="14:20" x14ac:dyDescent="0.25">
      <c r="N8168" s="362"/>
      <c r="R8168" s="210"/>
      <c r="S8168" s="232"/>
      <c r="T8168" s="270"/>
    </row>
    <row r="8169" spans="14:20" x14ac:dyDescent="0.25">
      <c r="N8169" s="362"/>
      <c r="R8169" s="210"/>
      <c r="S8169" s="232"/>
      <c r="T8169" s="270"/>
    </row>
    <row r="8170" spans="14:20" x14ac:dyDescent="0.25">
      <c r="N8170" s="362"/>
      <c r="R8170" s="210"/>
      <c r="S8170" s="232"/>
      <c r="T8170" s="270"/>
    </row>
    <row r="8171" spans="14:20" x14ac:dyDescent="0.25">
      <c r="N8171" s="362"/>
      <c r="R8171" s="210"/>
      <c r="S8171" s="232"/>
      <c r="T8171" s="270"/>
    </row>
    <row r="8172" spans="14:20" x14ac:dyDescent="0.25">
      <c r="N8172" s="362"/>
      <c r="R8172" s="210"/>
      <c r="S8172" s="232"/>
      <c r="T8172" s="270"/>
    </row>
    <row r="8173" spans="14:20" x14ac:dyDescent="0.25">
      <c r="N8173" s="362"/>
      <c r="R8173" s="210"/>
      <c r="S8173" s="232"/>
      <c r="T8173" s="270"/>
    </row>
    <row r="8174" spans="14:20" x14ac:dyDescent="0.25">
      <c r="N8174" s="362"/>
      <c r="R8174" s="210"/>
      <c r="S8174" s="232"/>
      <c r="T8174" s="270"/>
    </row>
    <row r="8175" spans="14:20" x14ac:dyDescent="0.25">
      <c r="N8175" s="362"/>
      <c r="R8175" s="210"/>
      <c r="S8175" s="232"/>
      <c r="T8175" s="270"/>
    </row>
    <row r="8176" spans="14:20" x14ac:dyDescent="0.25">
      <c r="N8176" s="362"/>
      <c r="R8176" s="210"/>
      <c r="S8176" s="232"/>
      <c r="T8176" s="270"/>
    </row>
    <row r="8177" spans="14:20" x14ac:dyDescent="0.25">
      <c r="N8177" s="362"/>
      <c r="R8177" s="210"/>
      <c r="S8177" s="232"/>
      <c r="T8177" s="270"/>
    </row>
    <row r="8178" spans="14:20" x14ac:dyDescent="0.25">
      <c r="N8178" s="362"/>
      <c r="R8178" s="210"/>
      <c r="S8178" s="232"/>
      <c r="T8178" s="270"/>
    </row>
    <row r="8179" spans="14:20" x14ac:dyDescent="0.25">
      <c r="N8179" s="362"/>
      <c r="R8179" s="210"/>
      <c r="S8179" s="232"/>
      <c r="T8179" s="270"/>
    </row>
    <row r="8180" spans="14:20" x14ac:dyDescent="0.25">
      <c r="N8180" s="362"/>
      <c r="R8180" s="210"/>
      <c r="S8180" s="232"/>
      <c r="T8180" s="270"/>
    </row>
    <row r="8181" spans="14:20" x14ac:dyDescent="0.25">
      <c r="N8181" s="362"/>
      <c r="R8181" s="210"/>
      <c r="S8181" s="232"/>
      <c r="T8181" s="270"/>
    </row>
    <row r="8182" spans="14:20" x14ac:dyDescent="0.25">
      <c r="N8182" s="362"/>
      <c r="R8182" s="210"/>
      <c r="S8182" s="232"/>
      <c r="T8182" s="270"/>
    </row>
    <row r="8183" spans="14:20" x14ac:dyDescent="0.25">
      <c r="N8183" s="362"/>
      <c r="R8183" s="210"/>
      <c r="S8183" s="232"/>
      <c r="T8183" s="270"/>
    </row>
    <row r="8184" spans="14:20" x14ac:dyDescent="0.25">
      <c r="N8184" s="362"/>
      <c r="R8184" s="210"/>
      <c r="S8184" s="232"/>
      <c r="T8184" s="270"/>
    </row>
    <row r="8185" spans="14:20" x14ac:dyDescent="0.25">
      <c r="N8185" s="362"/>
      <c r="R8185" s="210"/>
      <c r="S8185" s="232"/>
      <c r="T8185" s="270"/>
    </row>
    <row r="8186" spans="14:20" x14ac:dyDescent="0.25">
      <c r="N8186" s="362"/>
      <c r="R8186" s="210"/>
      <c r="S8186" s="232"/>
      <c r="T8186" s="270"/>
    </row>
    <row r="8187" spans="14:20" x14ac:dyDescent="0.25">
      <c r="N8187" s="362"/>
      <c r="R8187" s="210"/>
      <c r="S8187" s="232"/>
      <c r="T8187" s="270"/>
    </row>
    <row r="8188" spans="14:20" x14ac:dyDescent="0.25">
      <c r="N8188" s="362"/>
      <c r="R8188" s="210"/>
      <c r="S8188" s="232"/>
      <c r="T8188" s="270"/>
    </row>
    <row r="8189" spans="14:20" x14ac:dyDescent="0.25">
      <c r="N8189" s="362"/>
      <c r="R8189" s="210"/>
      <c r="S8189" s="232"/>
      <c r="T8189" s="270"/>
    </row>
    <row r="8190" spans="14:20" x14ac:dyDescent="0.25">
      <c r="N8190" s="362"/>
      <c r="R8190" s="210"/>
      <c r="S8190" s="232"/>
      <c r="T8190" s="270"/>
    </row>
    <row r="8191" spans="14:20" x14ac:dyDescent="0.25">
      <c r="N8191" s="362"/>
      <c r="R8191" s="210"/>
      <c r="S8191" s="232"/>
      <c r="T8191" s="270"/>
    </row>
    <row r="8192" spans="14:20" x14ac:dyDescent="0.25">
      <c r="N8192" s="362"/>
      <c r="R8192" s="210"/>
      <c r="S8192" s="232"/>
      <c r="T8192" s="270"/>
    </row>
    <row r="8193" spans="14:20" x14ac:dyDescent="0.25">
      <c r="N8193" s="362"/>
      <c r="R8193" s="210"/>
      <c r="S8193" s="232"/>
      <c r="T8193" s="270"/>
    </row>
    <row r="8194" spans="14:20" x14ac:dyDescent="0.25">
      <c r="N8194" s="362"/>
      <c r="R8194" s="210"/>
      <c r="S8194" s="232"/>
      <c r="T8194" s="270"/>
    </row>
    <row r="8195" spans="14:20" x14ac:dyDescent="0.25">
      <c r="N8195" s="362"/>
      <c r="R8195" s="210"/>
      <c r="S8195" s="232"/>
      <c r="T8195" s="270"/>
    </row>
    <row r="8196" spans="14:20" x14ac:dyDescent="0.25">
      <c r="N8196" s="362"/>
      <c r="R8196" s="210"/>
      <c r="S8196" s="232"/>
      <c r="T8196" s="270"/>
    </row>
    <row r="8197" spans="14:20" x14ac:dyDescent="0.25">
      <c r="N8197" s="362"/>
      <c r="R8197" s="210"/>
      <c r="S8197" s="232"/>
      <c r="T8197" s="270"/>
    </row>
    <row r="8198" spans="14:20" x14ac:dyDescent="0.25">
      <c r="N8198" s="362"/>
      <c r="R8198" s="210"/>
      <c r="S8198" s="232"/>
      <c r="T8198" s="270"/>
    </row>
    <row r="8199" spans="14:20" x14ac:dyDescent="0.25">
      <c r="N8199" s="362"/>
      <c r="R8199" s="210"/>
      <c r="S8199" s="232"/>
      <c r="T8199" s="270"/>
    </row>
    <row r="8200" spans="14:20" x14ac:dyDescent="0.25">
      <c r="N8200" s="362"/>
      <c r="R8200" s="210"/>
      <c r="S8200" s="232"/>
      <c r="T8200" s="270"/>
    </row>
    <row r="8201" spans="14:20" x14ac:dyDescent="0.25">
      <c r="N8201" s="362"/>
      <c r="R8201" s="210"/>
      <c r="S8201" s="232"/>
      <c r="T8201" s="270"/>
    </row>
    <row r="8202" spans="14:20" x14ac:dyDescent="0.25">
      <c r="N8202" s="362"/>
      <c r="R8202" s="210"/>
      <c r="S8202" s="232"/>
      <c r="T8202" s="270"/>
    </row>
    <row r="8203" spans="14:20" x14ac:dyDescent="0.25">
      <c r="N8203" s="362"/>
      <c r="R8203" s="210"/>
      <c r="S8203" s="232"/>
      <c r="T8203" s="270"/>
    </row>
    <row r="8204" spans="14:20" x14ac:dyDescent="0.25">
      <c r="N8204" s="362"/>
      <c r="R8204" s="210"/>
      <c r="S8204" s="232"/>
      <c r="T8204" s="270"/>
    </row>
    <row r="8205" spans="14:20" x14ac:dyDescent="0.25">
      <c r="N8205" s="362"/>
      <c r="R8205" s="210"/>
      <c r="S8205" s="232"/>
      <c r="T8205" s="270"/>
    </row>
    <row r="8206" spans="14:20" x14ac:dyDescent="0.25">
      <c r="N8206" s="362"/>
      <c r="R8206" s="210"/>
      <c r="S8206" s="232"/>
      <c r="T8206" s="270"/>
    </row>
    <row r="8207" spans="14:20" x14ac:dyDescent="0.25">
      <c r="N8207" s="362"/>
      <c r="R8207" s="210"/>
      <c r="S8207" s="232"/>
      <c r="T8207" s="270"/>
    </row>
    <row r="8208" spans="14:20" x14ac:dyDescent="0.25">
      <c r="N8208" s="362"/>
      <c r="R8208" s="210"/>
      <c r="S8208" s="232"/>
      <c r="T8208" s="270"/>
    </row>
    <row r="8209" spans="14:20" x14ac:dyDescent="0.25">
      <c r="N8209" s="362"/>
      <c r="R8209" s="210"/>
      <c r="S8209" s="232"/>
      <c r="T8209" s="270"/>
    </row>
    <row r="8210" spans="14:20" x14ac:dyDescent="0.25">
      <c r="N8210" s="362"/>
      <c r="R8210" s="210"/>
      <c r="S8210" s="232"/>
      <c r="T8210" s="270"/>
    </row>
    <row r="8211" spans="14:20" x14ac:dyDescent="0.25">
      <c r="N8211" s="362"/>
      <c r="R8211" s="210"/>
      <c r="S8211" s="232"/>
      <c r="T8211" s="270"/>
    </row>
    <row r="8212" spans="14:20" x14ac:dyDescent="0.25">
      <c r="N8212" s="362"/>
      <c r="R8212" s="210"/>
      <c r="S8212" s="232"/>
      <c r="T8212" s="270"/>
    </row>
    <row r="8213" spans="14:20" x14ac:dyDescent="0.25">
      <c r="N8213" s="362"/>
      <c r="R8213" s="210"/>
      <c r="S8213" s="232"/>
      <c r="T8213" s="270"/>
    </row>
    <row r="8214" spans="14:20" x14ac:dyDescent="0.25">
      <c r="N8214" s="362"/>
      <c r="R8214" s="210"/>
      <c r="S8214" s="232"/>
      <c r="T8214" s="270"/>
    </row>
    <row r="8215" spans="14:20" x14ac:dyDescent="0.25">
      <c r="N8215" s="362"/>
      <c r="R8215" s="210"/>
      <c r="S8215" s="232"/>
      <c r="T8215" s="270"/>
    </row>
    <row r="8216" spans="14:20" x14ac:dyDescent="0.25">
      <c r="N8216" s="362"/>
      <c r="R8216" s="210"/>
      <c r="S8216" s="232"/>
      <c r="T8216" s="270"/>
    </row>
    <row r="8217" spans="14:20" x14ac:dyDescent="0.25">
      <c r="N8217" s="362"/>
      <c r="R8217" s="210"/>
      <c r="S8217" s="232"/>
      <c r="T8217" s="270"/>
    </row>
    <row r="8218" spans="14:20" x14ac:dyDescent="0.25">
      <c r="N8218" s="362"/>
      <c r="R8218" s="210"/>
      <c r="S8218" s="232"/>
      <c r="T8218" s="270"/>
    </row>
    <row r="8219" spans="14:20" x14ac:dyDescent="0.25">
      <c r="N8219" s="362"/>
      <c r="R8219" s="210"/>
      <c r="S8219" s="232"/>
      <c r="T8219" s="270"/>
    </row>
    <row r="8220" spans="14:20" x14ac:dyDescent="0.25">
      <c r="N8220" s="362"/>
      <c r="R8220" s="210"/>
      <c r="S8220" s="232"/>
      <c r="T8220" s="270"/>
    </row>
    <row r="8221" spans="14:20" x14ac:dyDescent="0.25">
      <c r="N8221" s="362"/>
      <c r="R8221" s="210"/>
      <c r="S8221" s="232"/>
      <c r="T8221" s="270"/>
    </row>
    <row r="8222" spans="14:20" x14ac:dyDescent="0.25">
      <c r="N8222" s="362"/>
      <c r="R8222" s="210"/>
      <c r="S8222" s="232"/>
      <c r="T8222" s="270"/>
    </row>
    <row r="8223" spans="14:20" x14ac:dyDescent="0.25">
      <c r="N8223" s="362"/>
      <c r="R8223" s="210"/>
      <c r="S8223" s="232"/>
      <c r="T8223" s="270"/>
    </row>
    <row r="8224" spans="14:20" x14ac:dyDescent="0.25">
      <c r="N8224" s="362"/>
      <c r="R8224" s="210"/>
      <c r="S8224" s="232"/>
      <c r="T8224" s="270"/>
    </row>
    <row r="8225" spans="14:20" x14ac:dyDescent="0.25">
      <c r="N8225" s="362"/>
      <c r="R8225" s="210"/>
      <c r="S8225" s="232"/>
      <c r="T8225" s="270"/>
    </row>
    <row r="8226" spans="14:20" x14ac:dyDescent="0.25">
      <c r="N8226" s="362"/>
      <c r="R8226" s="210"/>
      <c r="S8226" s="232"/>
      <c r="T8226" s="270"/>
    </row>
    <row r="8227" spans="14:20" x14ac:dyDescent="0.25">
      <c r="N8227" s="362"/>
      <c r="R8227" s="210"/>
      <c r="S8227" s="232"/>
      <c r="T8227" s="270"/>
    </row>
    <row r="8228" spans="14:20" x14ac:dyDescent="0.25">
      <c r="N8228" s="362"/>
      <c r="R8228" s="210"/>
      <c r="S8228" s="232"/>
      <c r="T8228" s="270"/>
    </row>
    <row r="8229" spans="14:20" x14ac:dyDescent="0.25">
      <c r="N8229" s="362"/>
      <c r="R8229" s="210"/>
      <c r="S8229" s="232"/>
      <c r="T8229" s="270"/>
    </row>
    <row r="8230" spans="14:20" x14ac:dyDescent="0.25">
      <c r="N8230" s="362"/>
      <c r="R8230" s="210"/>
      <c r="S8230" s="232"/>
      <c r="T8230" s="270"/>
    </row>
    <row r="8231" spans="14:20" x14ac:dyDescent="0.25">
      <c r="N8231" s="362"/>
      <c r="R8231" s="210"/>
      <c r="S8231" s="232"/>
      <c r="T8231" s="270"/>
    </row>
    <row r="8232" spans="14:20" x14ac:dyDescent="0.25">
      <c r="N8232" s="362"/>
      <c r="R8232" s="210"/>
      <c r="S8232" s="232"/>
      <c r="T8232" s="270"/>
    </row>
    <row r="8233" spans="14:20" x14ac:dyDescent="0.25">
      <c r="N8233" s="362"/>
      <c r="R8233" s="210"/>
      <c r="S8233" s="232"/>
      <c r="T8233" s="270"/>
    </row>
    <row r="8234" spans="14:20" x14ac:dyDescent="0.25">
      <c r="N8234" s="362"/>
      <c r="R8234" s="210"/>
      <c r="S8234" s="232"/>
      <c r="T8234" s="270"/>
    </row>
    <row r="8235" spans="14:20" x14ac:dyDescent="0.25">
      <c r="N8235" s="362"/>
      <c r="R8235" s="210"/>
      <c r="S8235" s="232"/>
      <c r="T8235" s="270"/>
    </row>
    <row r="8236" spans="14:20" x14ac:dyDescent="0.25">
      <c r="N8236" s="362"/>
      <c r="R8236" s="210"/>
      <c r="S8236" s="232"/>
      <c r="T8236" s="270"/>
    </row>
    <row r="8237" spans="14:20" x14ac:dyDescent="0.25">
      <c r="N8237" s="362"/>
      <c r="R8237" s="210"/>
      <c r="S8237" s="232"/>
      <c r="T8237" s="270"/>
    </row>
    <row r="8238" spans="14:20" x14ac:dyDescent="0.25">
      <c r="N8238" s="362"/>
      <c r="R8238" s="210"/>
      <c r="S8238" s="232"/>
      <c r="T8238" s="270"/>
    </row>
    <row r="8239" spans="14:20" x14ac:dyDescent="0.25">
      <c r="N8239" s="362"/>
      <c r="R8239" s="210"/>
      <c r="S8239" s="232"/>
      <c r="T8239" s="270"/>
    </row>
    <row r="8240" spans="14:20" x14ac:dyDescent="0.25">
      <c r="N8240" s="362"/>
      <c r="R8240" s="210"/>
      <c r="S8240" s="232"/>
      <c r="T8240" s="270"/>
    </row>
    <row r="8241" spans="14:20" x14ac:dyDescent="0.25">
      <c r="N8241" s="362"/>
      <c r="R8241" s="210"/>
      <c r="S8241" s="232"/>
      <c r="T8241" s="270"/>
    </row>
    <row r="8242" spans="14:20" x14ac:dyDescent="0.25">
      <c r="N8242" s="362"/>
      <c r="R8242" s="210"/>
      <c r="S8242" s="232"/>
      <c r="T8242" s="270"/>
    </row>
    <row r="8243" spans="14:20" x14ac:dyDescent="0.25">
      <c r="N8243" s="362"/>
      <c r="R8243" s="210"/>
      <c r="S8243" s="232"/>
      <c r="T8243" s="270"/>
    </row>
    <row r="8244" spans="14:20" x14ac:dyDescent="0.25">
      <c r="N8244" s="362"/>
      <c r="R8244" s="210"/>
      <c r="S8244" s="232"/>
      <c r="T8244" s="270"/>
    </row>
    <row r="8245" spans="14:20" x14ac:dyDescent="0.25">
      <c r="N8245" s="362"/>
      <c r="R8245" s="210"/>
      <c r="S8245" s="232"/>
      <c r="T8245" s="270"/>
    </row>
    <row r="8246" spans="14:20" x14ac:dyDescent="0.25">
      <c r="N8246" s="362"/>
      <c r="R8246" s="210"/>
      <c r="S8246" s="232"/>
      <c r="T8246" s="270"/>
    </row>
    <row r="8247" spans="14:20" x14ac:dyDescent="0.25">
      <c r="N8247" s="362"/>
      <c r="R8247" s="210"/>
      <c r="S8247" s="232"/>
      <c r="T8247" s="270"/>
    </row>
    <row r="8248" spans="14:20" x14ac:dyDescent="0.25">
      <c r="N8248" s="362"/>
      <c r="R8248" s="210"/>
      <c r="S8248" s="232"/>
      <c r="T8248" s="270"/>
    </row>
    <row r="8249" spans="14:20" x14ac:dyDescent="0.25">
      <c r="N8249" s="362"/>
      <c r="R8249" s="210"/>
      <c r="S8249" s="232"/>
      <c r="T8249" s="270"/>
    </row>
    <row r="8250" spans="14:20" x14ac:dyDescent="0.25">
      <c r="N8250" s="362"/>
      <c r="R8250" s="210"/>
      <c r="S8250" s="232"/>
      <c r="T8250" s="270"/>
    </row>
    <row r="8251" spans="14:20" x14ac:dyDescent="0.25">
      <c r="N8251" s="362"/>
      <c r="R8251" s="210"/>
      <c r="S8251" s="232"/>
      <c r="T8251" s="270"/>
    </row>
    <row r="8252" spans="14:20" x14ac:dyDescent="0.25">
      <c r="N8252" s="362"/>
      <c r="R8252" s="210"/>
      <c r="S8252" s="232"/>
      <c r="T8252" s="270"/>
    </row>
    <row r="8253" spans="14:20" x14ac:dyDescent="0.25">
      <c r="N8253" s="362"/>
      <c r="R8253" s="210"/>
      <c r="S8253" s="232"/>
      <c r="T8253" s="270"/>
    </row>
    <row r="8254" spans="14:20" x14ac:dyDescent="0.25">
      <c r="N8254" s="362"/>
      <c r="R8254" s="210"/>
      <c r="S8254" s="232"/>
      <c r="T8254" s="270"/>
    </row>
    <row r="8255" spans="14:20" x14ac:dyDescent="0.25">
      <c r="N8255" s="362"/>
      <c r="R8255" s="210"/>
      <c r="S8255" s="232"/>
      <c r="T8255" s="270"/>
    </row>
    <row r="8256" spans="14:20" x14ac:dyDescent="0.25">
      <c r="N8256" s="362"/>
      <c r="R8256" s="210"/>
      <c r="S8256" s="232"/>
      <c r="T8256" s="270"/>
    </row>
    <row r="8257" spans="14:20" x14ac:dyDescent="0.25">
      <c r="N8257" s="362"/>
      <c r="R8257" s="210"/>
      <c r="S8257" s="232"/>
      <c r="T8257" s="270"/>
    </row>
    <row r="8258" spans="14:20" x14ac:dyDescent="0.25">
      <c r="N8258" s="362"/>
      <c r="R8258" s="210"/>
      <c r="S8258" s="232"/>
      <c r="T8258" s="270"/>
    </row>
    <row r="8259" spans="14:20" x14ac:dyDescent="0.25">
      <c r="N8259" s="362"/>
      <c r="R8259" s="210"/>
      <c r="S8259" s="232"/>
      <c r="T8259" s="270"/>
    </row>
    <row r="8260" spans="14:20" x14ac:dyDescent="0.25">
      <c r="N8260" s="362"/>
      <c r="R8260" s="210"/>
      <c r="S8260" s="232"/>
      <c r="T8260" s="270"/>
    </row>
    <row r="8261" spans="14:20" x14ac:dyDescent="0.25">
      <c r="N8261" s="362"/>
      <c r="R8261" s="210"/>
      <c r="S8261" s="232"/>
      <c r="T8261" s="270"/>
    </row>
    <row r="8262" spans="14:20" x14ac:dyDescent="0.25">
      <c r="N8262" s="362"/>
      <c r="R8262" s="210"/>
      <c r="S8262" s="232"/>
      <c r="T8262" s="270"/>
    </row>
    <row r="8263" spans="14:20" x14ac:dyDescent="0.25">
      <c r="N8263" s="362"/>
      <c r="R8263" s="210"/>
      <c r="S8263" s="232"/>
      <c r="T8263" s="270"/>
    </row>
    <row r="8264" spans="14:20" x14ac:dyDescent="0.25">
      <c r="N8264" s="362"/>
      <c r="R8264" s="210"/>
      <c r="S8264" s="232"/>
      <c r="T8264" s="270"/>
    </row>
    <row r="8265" spans="14:20" x14ac:dyDescent="0.25">
      <c r="N8265" s="362"/>
      <c r="R8265" s="210"/>
      <c r="S8265" s="232"/>
      <c r="T8265" s="270"/>
    </row>
    <row r="8266" spans="14:20" x14ac:dyDescent="0.25">
      <c r="N8266" s="362"/>
      <c r="R8266" s="210"/>
      <c r="S8266" s="232"/>
      <c r="T8266" s="270"/>
    </row>
    <row r="8267" spans="14:20" x14ac:dyDescent="0.25">
      <c r="N8267" s="362"/>
      <c r="R8267" s="210"/>
      <c r="S8267" s="232"/>
      <c r="T8267" s="270"/>
    </row>
    <row r="8268" spans="14:20" x14ac:dyDescent="0.25">
      <c r="N8268" s="362"/>
      <c r="R8268" s="210"/>
      <c r="S8268" s="232"/>
      <c r="T8268" s="270"/>
    </row>
    <row r="8269" spans="14:20" x14ac:dyDescent="0.25">
      <c r="N8269" s="362"/>
      <c r="R8269" s="210"/>
      <c r="S8269" s="232"/>
      <c r="T8269" s="270"/>
    </row>
    <row r="8270" spans="14:20" x14ac:dyDescent="0.25">
      <c r="N8270" s="362"/>
      <c r="R8270" s="210"/>
      <c r="S8270" s="232"/>
      <c r="T8270" s="270"/>
    </row>
    <row r="8271" spans="14:20" x14ac:dyDescent="0.25">
      <c r="N8271" s="362"/>
      <c r="R8271" s="210"/>
      <c r="S8271" s="232"/>
      <c r="T8271" s="270"/>
    </row>
    <row r="8272" spans="14:20" x14ac:dyDescent="0.25">
      <c r="N8272" s="362"/>
      <c r="R8272" s="210"/>
      <c r="S8272" s="232"/>
      <c r="T8272" s="270"/>
    </row>
    <row r="8273" spans="14:20" x14ac:dyDescent="0.25">
      <c r="N8273" s="362"/>
      <c r="R8273" s="210"/>
      <c r="S8273" s="232"/>
      <c r="T8273" s="270"/>
    </row>
    <row r="8274" spans="14:20" x14ac:dyDescent="0.25">
      <c r="N8274" s="362"/>
      <c r="R8274" s="210"/>
      <c r="S8274" s="232"/>
      <c r="T8274" s="270"/>
    </row>
    <row r="8275" spans="14:20" x14ac:dyDescent="0.25">
      <c r="N8275" s="362"/>
      <c r="R8275" s="210"/>
      <c r="S8275" s="232"/>
      <c r="T8275" s="270"/>
    </row>
    <row r="8276" spans="14:20" x14ac:dyDescent="0.25">
      <c r="N8276" s="362"/>
      <c r="R8276" s="210"/>
      <c r="S8276" s="232"/>
      <c r="T8276" s="270"/>
    </row>
    <row r="8277" spans="14:20" x14ac:dyDescent="0.25">
      <c r="N8277" s="362"/>
      <c r="R8277" s="210"/>
      <c r="S8277" s="232"/>
      <c r="T8277" s="270"/>
    </row>
    <row r="8278" spans="14:20" x14ac:dyDescent="0.25">
      <c r="N8278" s="362"/>
      <c r="R8278" s="210"/>
      <c r="S8278" s="232"/>
      <c r="T8278" s="270"/>
    </row>
    <row r="8279" spans="14:20" x14ac:dyDescent="0.25">
      <c r="N8279" s="362"/>
      <c r="R8279" s="210"/>
      <c r="S8279" s="232"/>
      <c r="T8279" s="270"/>
    </row>
    <row r="8280" spans="14:20" x14ac:dyDescent="0.25">
      <c r="N8280" s="362"/>
      <c r="R8280" s="210"/>
      <c r="S8280" s="232"/>
      <c r="T8280" s="270"/>
    </row>
    <row r="8281" spans="14:20" x14ac:dyDescent="0.25">
      <c r="N8281" s="362"/>
      <c r="R8281" s="210"/>
      <c r="S8281" s="232"/>
      <c r="T8281" s="270"/>
    </row>
    <row r="8282" spans="14:20" x14ac:dyDescent="0.25">
      <c r="N8282" s="362"/>
      <c r="R8282" s="210"/>
      <c r="S8282" s="232"/>
      <c r="T8282" s="270"/>
    </row>
    <row r="8283" spans="14:20" x14ac:dyDescent="0.25">
      <c r="N8283" s="362"/>
      <c r="R8283" s="210"/>
      <c r="S8283" s="232"/>
      <c r="T8283" s="270"/>
    </row>
    <row r="8284" spans="14:20" x14ac:dyDescent="0.25">
      <c r="N8284" s="362"/>
      <c r="R8284" s="210"/>
      <c r="S8284" s="232"/>
      <c r="T8284" s="270"/>
    </row>
    <row r="8285" spans="14:20" x14ac:dyDescent="0.25">
      <c r="N8285" s="362"/>
      <c r="R8285" s="210"/>
      <c r="S8285" s="232"/>
      <c r="T8285" s="270"/>
    </row>
    <row r="8286" spans="14:20" x14ac:dyDescent="0.25">
      <c r="N8286" s="362"/>
      <c r="R8286" s="210"/>
      <c r="S8286" s="232"/>
      <c r="T8286" s="270"/>
    </row>
    <row r="8287" spans="14:20" x14ac:dyDescent="0.25">
      <c r="N8287" s="362"/>
      <c r="R8287" s="210"/>
      <c r="S8287" s="232"/>
      <c r="T8287" s="270"/>
    </row>
    <row r="8288" spans="14:20" x14ac:dyDescent="0.25">
      <c r="N8288" s="362"/>
      <c r="R8288" s="210"/>
      <c r="S8288" s="232"/>
      <c r="T8288" s="270"/>
    </row>
    <row r="8289" spans="14:20" x14ac:dyDescent="0.25">
      <c r="N8289" s="362"/>
      <c r="R8289" s="210"/>
      <c r="S8289" s="232"/>
      <c r="T8289" s="270"/>
    </row>
    <row r="8290" spans="14:20" x14ac:dyDescent="0.25">
      <c r="N8290" s="362"/>
      <c r="R8290" s="210"/>
      <c r="S8290" s="232"/>
      <c r="T8290" s="270"/>
    </row>
    <row r="8291" spans="14:20" x14ac:dyDescent="0.25">
      <c r="N8291" s="362"/>
      <c r="R8291" s="210"/>
      <c r="S8291" s="232"/>
      <c r="T8291" s="270"/>
    </row>
    <row r="8292" spans="14:20" x14ac:dyDescent="0.25">
      <c r="N8292" s="362"/>
      <c r="R8292" s="210"/>
      <c r="S8292" s="232"/>
      <c r="T8292" s="270"/>
    </row>
    <row r="8293" spans="14:20" x14ac:dyDescent="0.25">
      <c r="N8293" s="362"/>
      <c r="R8293" s="210"/>
      <c r="S8293" s="232"/>
      <c r="T8293" s="270"/>
    </row>
    <row r="8294" spans="14:20" x14ac:dyDescent="0.25">
      <c r="N8294" s="362"/>
      <c r="R8294" s="210"/>
      <c r="S8294" s="232"/>
      <c r="T8294" s="270"/>
    </row>
    <row r="8295" spans="14:20" x14ac:dyDescent="0.25">
      <c r="N8295" s="362"/>
      <c r="R8295" s="210"/>
      <c r="S8295" s="232"/>
      <c r="T8295" s="270"/>
    </row>
    <row r="8296" spans="14:20" x14ac:dyDescent="0.25">
      <c r="N8296" s="362"/>
      <c r="R8296" s="210"/>
      <c r="S8296" s="232"/>
      <c r="T8296" s="270"/>
    </row>
    <row r="8297" spans="14:20" x14ac:dyDescent="0.25">
      <c r="N8297" s="362"/>
      <c r="R8297" s="210"/>
      <c r="S8297" s="232"/>
      <c r="T8297" s="270"/>
    </row>
    <row r="8298" spans="14:20" x14ac:dyDescent="0.25">
      <c r="N8298" s="362"/>
      <c r="R8298" s="210"/>
      <c r="S8298" s="232"/>
      <c r="T8298" s="270"/>
    </row>
    <row r="8299" spans="14:20" x14ac:dyDescent="0.25">
      <c r="N8299" s="362"/>
      <c r="R8299" s="210"/>
      <c r="S8299" s="232"/>
      <c r="T8299" s="270"/>
    </row>
    <row r="8300" spans="14:20" x14ac:dyDescent="0.25">
      <c r="N8300" s="362"/>
      <c r="R8300" s="210"/>
      <c r="S8300" s="232"/>
      <c r="T8300" s="270"/>
    </row>
    <row r="8301" spans="14:20" x14ac:dyDescent="0.25">
      <c r="N8301" s="362"/>
      <c r="R8301" s="210"/>
      <c r="S8301" s="232"/>
      <c r="T8301" s="270"/>
    </row>
    <row r="8302" spans="14:20" x14ac:dyDescent="0.25">
      <c r="N8302" s="362"/>
      <c r="R8302" s="210"/>
      <c r="S8302" s="232"/>
      <c r="T8302" s="270"/>
    </row>
    <row r="8303" spans="14:20" x14ac:dyDescent="0.25">
      <c r="N8303" s="362"/>
      <c r="R8303" s="210"/>
      <c r="S8303" s="232"/>
      <c r="T8303" s="270"/>
    </row>
    <row r="8304" spans="14:20" x14ac:dyDescent="0.25">
      <c r="N8304" s="362"/>
      <c r="R8304" s="210"/>
      <c r="S8304" s="232"/>
      <c r="T8304" s="270"/>
    </row>
    <row r="8305" spans="14:20" x14ac:dyDescent="0.25">
      <c r="N8305" s="362"/>
      <c r="R8305" s="210"/>
      <c r="S8305" s="232"/>
      <c r="T8305" s="270"/>
    </row>
    <row r="8306" spans="14:20" x14ac:dyDescent="0.25">
      <c r="N8306" s="362"/>
      <c r="R8306" s="210"/>
      <c r="S8306" s="232"/>
      <c r="T8306" s="270"/>
    </row>
    <row r="8307" spans="14:20" x14ac:dyDescent="0.25">
      <c r="N8307" s="362"/>
      <c r="R8307" s="210"/>
      <c r="S8307" s="232"/>
      <c r="T8307" s="270"/>
    </row>
    <row r="8308" spans="14:20" x14ac:dyDescent="0.25">
      <c r="N8308" s="362"/>
      <c r="R8308" s="210"/>
      <c r="S8308" s="232"/>
      <c r="T8308" s="270"/>
    </row>
    <row r="8309" spans="14:20" x14ac:dyDescent="0.25">
      <c r="N8309" s="362"/>
      <c r="R8309" s="210"/>
      <c r="S8309" s="232"/>
      <c r="T8309" s="270"/>
    </row>
    <row r="8310" spans="14:20" x14ac:dyDescent="0.25">
      <c r="N8310" s="362"/>
      <c r="R8310" s="210"/>
      <c r="S8310" s="232"/>
      <c r="T8310" s="270"/>
    </row>
    <row r="8311" spans="14:20" x14ac:dyDescent="0.25">
      <c r="N8311" s="362"/>
      <c r="R8311" s="210"/>
      <c r="S8311" s="232"/>
      <c r="T8311" s="270"/>
    </row>
    <row r="8312" spans="14:20" x14ac:dyDescent="0.25">
      <c r="N8312" s="362"/>
      <c r="R8312" s="210"/>
      <c r="S8312" s="232"/>
      <c r="T8312" s="270"/>
    </row>
    <row r="8313" spans="14:20" x14ac:dyDescent="0.25">
      <c r="N8313" s="362"/>
      <c r="R8313" s="210"/>
      <c r="S8313" s="232"/>
      <c r="T8313" s="270"/>
    </row>
    <row r="8314" spans="14:20" x14ac:dyDescent="0.25">
      <c r="N8314" s="362"/>
      <c r="R8314" s="210"/>
      <c r="S8314" s="232"/>
      <c r="T8314" s="270"/>
    </row>
    <row r="8315" spans="14:20" x14ac:dyDescent="0.25">
      <c r="N8315" s="362"/>
      <c r="R8315" s="210"/>
      <c r="S8315" s="232"/>
      <c r="T8315" s="270"/>
    </row>
    <row r="8316" spans="14:20" x14ac:dyDescent="0.25">
      <c r="N8316" s="362"/>
      <c r="R8316" s="210"/>
      <c r="S8316" s="232"/>
      <c r="T8316" s="270"/>
    </row>
    <row r="8317" spans="14:20" x14ac:dyDescent="0.25">
      <c r="N8317" s="362"/>
      <c r="R8317" s="210"/>
      <c r="S8317" s="232"/>
      <c r="T8317" s="270"/>
    </row>
    <row r="8318" spans="14:20" x14ac:dyDescent="0.25">
      <c r="N8318" s="362"/>
      <c r="R8318" s="210"/>
      <c r="S8318" s="232"/>
      <c r="T8318" s="270"/>
    </row>
    <row r="8319" spans="14:20" x14ac:dyDescent="0.25">
      <c r="N8319" s="362"/>
      <c r="R8319" s="210"/>
      <c r="S8319" s="232"/>
      <c r="T8319" s="270"/>
    </row>
    <row r="8320" spans="14:20" x14ac:dyDescent="0.25">
      <c r="N8320" s="362"/>
      <c r="R8320" s="210"/>
      <c r="S8320" s="232"/>
      <c r="T8320" s="270"/>
    </row>
    <row r="8321" spans="14:20" x14ac:dyDescent="0.25">
      <c r="N8321" s="362"/>
      <c r="R8321" s="210"/>
      <c r="S8321" s="232"/>
      <c r="T8321" s="270"/>
    </row>
    <row r="8322" spans="14:20" x14ac:dyDescent="0.25">
      <c r="N8322" s="362"/>
      <c r="R8322" s="210"/>
      <c r="S8322" s="232"/>
      <c r="T8322" s="270"/>
    </row>
    <row r="8323" spans="14:20" x14ac:dyDescent="0.25">
      <c r="N8323" s="362"/>
      <c r="R8323" s="210"/>
      <c r="S8323" s="232"/>
      <c r="T8323" s="270"/>
    </row>
    <row r="8324" spans="14:20" x14ac:dyDescent="0.25">
      <c r="N8324" s="362"/>
      <c r="R8324" s="210"/>
      <c r="S8324" s="232"/>
      <c r="T8324" s="270"/>
    </row>
    <row r="8325" spans="14:20" x14ac:dyDescent="0.25">
      <c r="N8325" s="362"/>
      <c r="R8325" s="210"/>
      <c r="S8325" s="232"/>
      <c r="T8325" s="270"/>
    </row>
    <row r="8326" spans="14:20" x14ac:dyDescent="0.25">
      <c r="N8326" s="362"/>
      <c r="R8326" s="210"/>
      <c r="S8326" s="232"/>
      <c r="T8326" s="270"/>
    </row>
    <row r="8327" spans="14:20" x14ac:dyDescent="0.25">
      <c r="N8327" s="362"/>
      <c r="R8327" s="210"/>
      <c r="S8327" s="232"/>
      <c r="T8327" s="270"/>
    </row>
    <row r="8328" spans="14:20" x14ac:dyDescent="0.25">
      <c r="N8328" s="362"/>
      <c r="R8328" s="210"/>
      <c r="S8328" s="232"/>
      <c r="T8328" s="270"/>
    </row>
    <row r="8329" spans="14:20" x14ac:dyDescent="0.25">
      <c r="N8329" s="362"/>
      <c r="R8329" s="210"/>
      <c r="S8329" s="232"/>
      <c r="T8329" s="270"/>
    </row>
    <row r="8330" spans="14:20" x14ac:dyDescent="0.25">
      <c r="N8330" s="362"/>
      <c r="R8330" s="210"/>
      <c r="S8330" s="232"/>
      <c r="T8330" s="270"/>
    </row>
    <row r="8331" spans="14:20" x14ac:dyDescent="0.25">
      <c r="N8331" s="362"/>
      <c r="R8331" s="210"/>
      <c r="S8331" s="232"/>
      <c r="T8331" s="270"/>
    </row>
    <row r="8332" spans="14:20" x14ac:dyDescent="0.25">
      <c r="N8332" s="362"/>
      <c r="R8332" s="210"/>
      <c r="S8332" s="232"/>
      <c r="T8332" s="270"/>
    </row>
    <row r="8333" spans="14:20" x14ac:dyDescent="0.25">
      <c r="N8333" s="362"/>
      <c r="R8333" s="210"/>
      <c r="S8333" s="232"/>
      <c r="T8333" s="270"/>
    </row>
    <row r="8334" spans="14:20" x14ac:dyDescent="0.25">
      <c r="N8334" s="362"/>
      <c r="R8334" s="210"/>
      <c r="S8334" s="232"/>
      <c r="T8334" s="270"/>
    </row>
    <row r="8335" spans="14:20" x14ac:dyDescent="0.25">
      <c r="N8335" s="362"/>
      <c r="R8335" s="210"/>
      <c r="S8335" s="232"/>
      <c r="T8335" s="270"/>
    </row>
    <row r="8336" spans="14:20" x14ac:dyDescent="0.25">
      <c r="N8336" s="362"/>
      <c r="R8336" s="210"/>
      <c r="S8336" s="232"/>
      <c r="T8336" s="270"/>
    </row>
    <row r="8337" spans="14:20" x14ac:dyDescent="0.25">
      <c r="N8337" s="362"/>
      <c r="R8337" s="210"/>
      <c r="S8337" s="232"/>
      <c r="T8337" s="270"/>
    </row>
    <row r="8338" spans="14:20" x14ac:dyDescent="0.25">
      <c r="N8338" s="362"/>
      <c r="R8338" s="210"/>
      <c r="S8338" s="232"/>
      <c r="T8338" s="270"/>
    </row>
    <row r="8339" spans="14:20" x14ac:dyDescent="0.25">
      <c r="N8339" s="362"/>
      <c r="R8339" s="210"/>
      <c r="S8339" s="232"/>
      <c r="T8339" s="270"/>
    </row>
    <row r="8340" spans="14:20" x14ac:dyDescent="0.25">
      <c r="N8340" s="362"/>
      <c r="R8340" s="210"/>
      <c r="S8340" s="232"/>
      <c r="T8340" s="270"/>
    </row>
    <row r="8341" spans="14:20" x14ac:dyDescent="0.25">
      <c r="N8341" s="362"/>
      <c r="R8341" s="210"/>
      <c r="S8341" s="232"/>
      <c r="T8341" s="270"/>
    </row>
    <row r="8342" spans="14:20" x14ac:dyDescent="0.25">
      <c r="N8342" s="362"/>
      <c r="R8342" s="210"/>
      <c r="S8342" s="232"/>
      <c r="T8342" s="270"/>
    </row>
    <row r="8343" spans="14:20" x14ac:dyDescent="0.25">
      <c r="N8343" s="362"/>
      <c r="R8343" s="210"/>
      <c r="S8343" s="232"/>
      <c r="T8343" s="270"/>
    </row>
    <row r="8344" spans="14:20" x14ac:dyDescent="0.25">
      <c r="N8344" s="362"/>
      <c r="R8344" s="210"/>
      <c r="S8344" s="232"/>
      <c r="T8344" s="270"/>
    </row>
    <row r="8345" spans="14:20" x14ac:dyDescent="0.25">
      <c r="N8345" s="362"/>
      <c r="R8345" s="210"/>
      <c r="S8345" s="232"/>
      <c r="T8345" s="270"/>
    </row>
    <row r="8346" spans="14:20" x14ac:dyDescent="0.25">
      <c r="N8346" s="362"/>
      <c r="R8346" s="210"/>
      <c r="S8346" s="232"/>
      <c r="T8346" s="270"/>
    </row>
    <row r="8347" spans="14:20" x14ac:dyDescent="0.25">
      <c r="N8347" s="362"/>
      <c r="R8347" s="210"/>
      <c r="S8347" s="232"/>
      <c r="T8347" s="270"/>
    </row>
    <row r="8348" spans="14:20" x14ac:dyDescent="0.25">
      <c r="N8348" s="362"/>
      <c r="R8348" s="210"/>
      <c r="S8348" s="232"/>
      <c r="T8348" s="270"/>
    </row>
    <row r="8349" spans="14:20" x14ac:dyDescent="0.25">
      <c r="N8349" s="362"/>
      <c r="R8349" s="210"/>
      <c r="S8349" s="232"/>
      <c r="T8349" s="270"/>
    </row>
    <row r="8350" spans="14:20" x14ac:dyDescent="0.25">
      <c r="N8350" s="362"/>
      <c r="R8350" s="210"/>
      <c r="S8350" s="232"/>
      <c r="T8350" s="270"/>
    </row>
    <row r="8351" spans="14:20" x14ac:dyDescent="0.25">
      <c r="N8351" s="362"/>
      <c r="R8351" s="210"/>
      <c r="S8351" s="232"/>
      <c r="T8351" s="270"/>
    </row>
    <row r="8352" spans="14:20" x14ac:dyDescent="0.25">
      <c r="N8352" s="362"/>
      <c r="R8352" s="210"/>
      <c r="S8352" s="232"/>
      <c r="T8352" s="270"/>
    </row>
    <row r="8353" spans="14:20" x14ac:dyDescent="0.25">
      <c r="N8353" s="362"/>
      <c r="R8353" s="210"/>
      <c r="S8353" s="232"/>
      <c r="T8353" s="270"/>
    </row>
    <row r="8354" spans="14:20" x14ac:dyDescent="0.25">
      <c r="N8354" s="362"/>
      <c r="R8354" s="210"/>
      <c r="S8354" s="232"/>
      <c r="T8354" s="270"/>
    </row>
    <row r="8355" spans="14:20" x14ac:dyDescent="0.25">
      <c r="N8355" s="362"/>
      <c r="R8355" s="210"/>
      <c r="S8355" s="232"/>
      <c r="T8355" s="270"/>
    </row>
    <row r="8356" spans="14:20" x14ac:dyDescent="0.25">
      <c r="N8356" s="362"/>
      <c r="R8356" s="210"/>
      <c r="S8356" s="232"/>
      <c r="T8356" s="270"/>
    </row>
    <row r="8357" spans="14:20" x14ac:dyDescent="0.25">
      <c r="N8357" s="362"/>
      <c r="R8357" s="210"/>
      <c r="S8357" s="232"/>
      <c r="T8357" s="270"/>
    </row>
    <row r="8358" spans="14:20" x14ac:dyDescent="0.25">
      <c r="N8358" s="362"/>
      <c r="R8358" s="210"/>
      <c r="S8358" s="232"/>
      <c r="T8358" s="270"/>
    </row>
    <row r="8359" spans="14:20" x14ac:dyDescent="0.25">
      <c r="N8359" s="362"/>
      <c r="R8359" s="210"/>
      <c r="S8359" s="232"/>
      <c r="T8359" s="270"/>
    </row>
    <row r="8360" spans="14:20" x14ac:dyDescent="0.25">
      <c r="N8360" s="362"/>
      <c r="R8360" s="210"/>
      <c r="S8360" s="232"/>
      <c r="T8360" s="270"/>
    </row>
    <row r="8361" spans="14:20" x14ac:dyDescent="0.25">
      <c r="N8361" s="362"/>
      <c r="R8361" s="210"/>
      <c r="S8361" s="232"/>
      <c r="T8361" s="270"/>
    </row>
    <row r="8362" spans="14:20" x14ac:dyDescent="0.25">
      <c r="N8362" s="362"/>
      <c r="R8362" s="210"/>
      <c r="S8362" s="232"/>
      <c r="T8362" s="270"/>
    </row>
    <row r="8363" spans="14:20" x14ac:dyDescent="0.25">
      <c r="N8363" s="362"/>
      <c r="R8363" s="210"/>
      <c r="S8363" s="232"/>
      <c r="T8363" s="270"/>
    </row>
    <row r="8364" spans="14:20" x14ac:dyDescent="0.25">
      <c r="N8364" s="362"/>
      <c r="R8364" s="210"/>
      <c r="S8364" s="232"/>
      <c r="T8364" s="270"/>
    </row>
    <row r="8365" spans="14:20" x14ac:dyDescent="0.25">
      <c r="N8365" s="362"/>
      <c r="R8365" s="210"/>
      <c r="S8365" s="232"/>
      <c r="T8365" s="270"/>
    </row>
    <row r="8366" spans="14:20" x14ac:dyDescent="0.25">
      <c r="N8366" s="362"/>
      <c r="R8366" s="210"/>
      <c r="S8366" s="232"/>
      <c r="T8366" s="270"/>
    </row>
    <row r="8367" spans="14:20" x14ac:dyDescent="0.25">
      <c r="N8367" s="362"/>
      <c r="R8367" s="210"/>
      <c r="S8367" s="232"/>
      <c r="T8367" s="270"/>
    </row>
    <row r="8368" spans="14:20" x14ac:dyDescent="0.25">
      <c r="N8368" s="362"/>
      <c r="R8368" s="210"/>
      <c r="S8368" s="232"/>
      <c r="T8368" s="270"/>
    </row>
    <row r="8369" spans="14:20" x14ac:dyDescent="0.25">
      <c r="N8369" s="362"/>
      <c r="R8369" s="210"/>
      <c r="S8369" s="232"/>
      <c r="T8369" s="270"/>
    </row>
    <row r="8370" spans="14:20" x14ac:dyDescent="0.25">
      <c r="N8370" s="362"/>
      <c r="R8370" s="210"/>
      <c r="S8370" s="232"/>
      <c r="T8370" s="270"/>
    </row>
    <row r="8371" spans="14:20" x14ac:dyDescent="0.25">
      <c r="N8371" s="362"/>
      <c r="R8371" s="210"/>
      <c r="S8371" s="232"/>
      <c r="T8371" s="270"/>
    </row>
    <row r="8372" spans="14:20" x14ac:dyDescent="0.25">
      <c r="N8372" s="362"/>
      <c r="R8372" s="210"/>
      <c r="S8372" s="232"/>
      <c r="T8372" s="270"/>
    </row>
    <row r="8373" spans="14:20" x14ac:dyDescent="0.25">
      <c r="N8373" s="362"/>
      <c r="R8373" s="210"/>
      <c r="S8373" s="232"/>
      <c r="T8373" s="270"/>
    </row>
    <row r="8374" spans="14:20" x14ac:dyDescent="0.25">
      <c r="N8374" s="362"/>
      <c r="R8374" s="210"/>
      <c r="S8374" s="232"/>
      <c r="T8374" s="270"/>
    </row>
    <row r="8375" spans="14:20" x14ac:dyDescent="0.25">
      <c r="N8375" s="362"/>
      <c r="R8375" s="210"/>
      <c r="S8375" s="232"/>
      <c r="T8375" s="270"/>
    </row>
    <row r="8376" spans="14:20" x14ac:dyDescent="0.25">
      <c r="N8376" s="362"/>
      <c r="R8376" s="210"/>
      <c r="S8376" s="232"/>
      <c r="T8376" s="270"/>
    </row>
    <row r="8377" spans="14:20" x14ac:dyDescent="0.25">
      <c r="N8377" s="362"/>
      <c r="R8377" s="210"/>
      <c r="S8377" s="232"/>
      <c r="T8377" s="270"/>
    </row>
    <row r="8378" spans="14:20" x14ac:dyDescent="0.25">
      <c r="N8378" s="362"/>
      <c r="R8378" s="210"/>
      <c r="S8378" s="232"/>
      <c r="T8378" s="270"/>
    </row>
    <row r="8379" spans="14:20" x14ac:dyDescent="0.25">
      <c r="N8379" s="362"/>
      <c r="R8379" s="210"/>
      <c r="S8379" s="232"/>
      <c r="T8379" s="270"/>
    </row>
    <row r="8380" spans="14:20" x14ac:dyDescent="0.25">
      <c r="N8380" s="362"/>
      <c r="R8380" s="210"/>
      <c r="S8380" s="232"/>
      <c r="T8380" s="270"/>
    </row>
    <row r="8381" spans="14:20" x14ac:dyDescent="0.25">
      <c r="N8381" s="362"/>
      <c r="R8381" s="210"/>
      <c r="S8381" s="232"/>
      <c r="T8381" s="270"/>
    </row>
    <row r="8382" spans="14:20" x14ac:dyDescent="0.25">
      <c r="N8382" s="362"/>
      <c r="R8382" s="210"/>
      <c r="S8382" s="232"/>
      <c r="T8382" s="270"/>
    </row>
    <row r="8383" spans="14:20" x14ac:dyDescent="0.25">
      <c r="N8383" s="362"/>
      <c r="R8383" s="210"/>
      <c r="S8383" s="232"/>
      <c r="T8383" s="270"/>
    </row>
    <row r="8384" spans="14:20" x14ac:dyDescent="0.25">
      <c r="N8384" s="362"/>
      <c r="R8384" s="210"/>
      <c r="S8384" s="232"/>
      <c r="T8384" s="270"/>
    </row>
    <row r="8385" spans="14:20" x14ac:dyDescent="0.25">
      <c r="N8385" s="362"/>
      <c r="R8385" s="210"/>
      <c r="S8385" s="232"/>
      <c r="T8385" s="270"/>
    </row>
    <row r="8386" spans="14:20" x14ac:dyDescent="0.25">
      <c r="N8386" s="362"/>
      <c r="R8386" s="210"/>
      <c r="S8386" s="232"/>
      <c r="T8386" s="270"/>
    </row>
    <row r="8387" spans="14:20" x14ac:dyDescent="0.25">
      <c r="N8387" s="362"/>
      <c r="R8387" s="210"/>
      <c r="S8387" s="232"/>
      <c r="T8387" s="270"/>
    </row>
    <row r="8388" spans="14:20" x14ac:dyDescent="0.25">
      <c r="N8388" s="362"/>
      <c r="R8388" s="210"/>
      <c r="S8388" s="232"/>
      <c r="T8388" s="270"/>
    </row>
    <row r="8389" spans="14:20" x14ac:dyDescent="0.25">
      <c r="N8389" s="362"/>
      <c r="R8389" s="210"/>
      <c r="S8389" s="232"/>
      <c r="T8389" s="270"/>
    </row>
    <row r="8390" spans="14:20" x14ac:dyDescent="0.25">
      <c r="N8390" s="362"/>
      <c r="R8390" s="210"/>
      <c r="S8390" s="232"/>
      <c r="T8390" s="270"/>
    </row>
    <row r="8391" spans="14:20" x14ac:dyDescent="0.25">
      <c r="N8391" s="362"/>
      <c r="R8391" s="210"/>
      <c r="S8391" s="232"/>
      <c r="T8391" s="270"/>
    </row>
    <row r="8392" spans="14:20" x14ac:dyDescent="0.25">
      <c r="N8392" s="362"/>
      <c r="R8392" s="210"/>
      <c r="S8392" s="232"/>
      <c r="T8392" s="270"/>
    </row>
    <row r="8393" spans="14:20" x14ac:dyDescent="0.25">
      <c r="N8393" s="362"/>
      <c r="R8393" s="210"/>
      <c r="S8393" s="232"/>
      <c r="T8393" s="270"/>
    </row>
    <row r="8394" spans="14:20" x14ac:dyDescent="0.25">
      <c r="N8394" s="362"/>
      <c r="R8394" s="210"/>
      <c r="S8394" s="232"/>
      <c r="T8394" s="270"/>
    </row>
    <row r="8395" spans="14:20" x14ac:dyDescent="0.25">
      <c r="N8395" s="362"/>
      <c r="R8395" s="210"/>
      <c r="S8395" s="232"/>
      <c r="T8395" s="270"/>
    </row>
    <row r="8396" spans="14:20" x14ac:dyDescent="0.25">
      <c r="N8396" s="362"/>
      <c r="R8396" s="210"/>
      <c r="S8396" s="232"/>
      <c r="T8396" s="270"/>
    </row>
    <row r="8397" spans="14:20" x14ac:dyDescent="0.25">
      <c r="N8397" s="362"/>
      <c r="R8397" s="210"/>
      <c r="S8397" s="232"/>
      <c r="T8397" s="270"/>
    </row>
    <row r="8398" spans="14:20" x14ac:dyDescent="0.25">
      <c r="N8398" s="362"/>
      <c r="R8398" s="210"/>
      <c r="S8398" s="232"/>
      <c r="T8398" s="270"/>
    </row>
    <row r="8399" spans="14:20" x14ac:dyDescent="0.25">
      <c r="N8399" s="362"/>
      <c r="R8399" s="210"/>
      <c r="S8399" s="232"/>
      <c r="T8399" s="270"/>
    </row>
    <row r="8400" spans="14:20" x14ac:dyDescent="0.25">
      <c r="N8400" s="362"/>
      <c r="R8400" s="210"/>
      <c r="S8400" s="232"/>
      <c r="T8400" s="270"/>
    </row>
    <row r="8401" spans="14:20" x14ac:dyDescent="0.25">
      <c r="N8401" s="362"/>
      <c r="R8401" s="210"/>
      <c r="S8401" s="232"/>
      <c r="T8401" s="270"/>
    </row>
    <row r="8402" spans="14:20" x14ac:dyDescent="0.25">
      <c r="N8402" s="362"/>
      <c r="R8402" s="210"/>
      <c r="S8402" s="232"/>
      <c r="T8402" s="270"/>
    </row>
    <row r="8403" spans="14:20" x14ac:dyDescent="0.25">
      <c r="N8403" s="362"/>
      <c r="R8403" s="210"/>
      <c r="S8403" s="232"/>
      <c r="T8403" s="270"/>
    </row>
    <row r="8404" spans="14:20" x14ac:dyDescent="0.25">
      <c r="N8404" s="362"/>
      <c r="R8404" s="210"/>
      <c r="S8404" s="232"/>
      <c r="T8404" s="270"/>
    </row>
    <row r="8405" spans="14:20" x14ac:dyDescent="0.25">
      <c r="N8405" s="362"/>
      <c r="R8405" s="210"/>
      <c r="S8405" s="232"/>
      <c r="T8405" s="270"/>
    </row>
    <row r="8406" spans="14:20" x14ac:dyDescent="0.25">
      <c r="N8406" s="362"/>
      <c r="R8406" s="210"/>
      <c r="S8406" s="232"/>
      <c r="T8406" s="270"/>
    </row>
    <row r="8407" spans="14:20" x14ac:dyDescent="0.25">
      <c r="N8407" s="362"/>
      <c r="R8407" s="210"/>
      <c r="S8407" s="232"/>
      <c r="T8407" s="270"/>
    </row>
    <row r="8408" spans="14:20" x14ac:dyDescent="0.25">
      <c r="N8408" s="362"/>
      <c r="R8408" s="210"/>
      <c r="S8408" s="232"/>
      <c r="T8408" s="270"/>
    </row>
    <row r="8409" spans="14:20" x14ac:dyDescent="0.25">
      <c r="N8409" s="362"/>
      <c r="R8409" s="210"/>
      <c r="S8409" s="232"/>
      <c r="T8409" s="270"/>
    </row>
    <row r="8410" spans="14:20" x14ac:dyDescent="0.25">
      <c r="N8410" s="362"/>
      <c r="R8410" s="210"/>
      <c r="S8410" s="232"/>
      <c r="T8410" s="270"/>
    </row>
    <row r="8411" spans="14:20" x14ac:dyDescent="0.25">
      <c r="N8411" s="362"/>
      <c r="R8411" s="210"/>
      <c r="S8411" s="232"/>
      <c r="T8411" s="270"/>
    </row>
    <row r="8412" spans="14:20" x14ac:dyDescent="0.25">
      <c r="N8412" s="362"/>
      <c r="R8412" s="210"/>
      <c r="S8412" s="232"/>
      <c r="T8412" s="270"/>
    </row>
    <row r="8413" spans="14:20" x14ac:dyDescent="0.25">
      <c r="N8413" s="362"/>
      <c r="R8413" s="210"/>
      <c r="S8413" s="232"/>
      <c r="T8413" s="270"/>
    </row>
    <row r="8414" spans="14:20" x14ac:dyDescent="0.25">
      <c r="N8414" s="362"/>
      <c r="R8414" s="210"/>
      <c r="S8414" s="232"/>
      <c r="T8414" s="270"/>
    </row>
    <row r="8415" spans="14:20" x14ac:dyDescent="0.25">
      <c r="N8415" s="362"/>
      <c r="R8415" s="210"/>
      <c r="S8415" s="232"/>
      <c r="T8415" s="270"/>
    </row>
    <row r="8416" spans="14:20" x14ac:dyDescent="0.25">
      <c r="N8416" s="362"/>
      <c r="R8416" s="210"/>
      <c r="S8416" s="232"/>
      <c r="T8416" s="270"/>
    </row>
    <row r="8417" spans="14:20" x14ac:dyDescent="0.25">
      <c r="N8417" s="362"/>
      <c r="R8417" s="210"/>
      <c r="S8417" s="232"/>
      <c r="T8417" s="270"/>
    </row>
    <row r="8418" spans="14:20" x14ac:dyDescent="0.25">
      <c r="N8418" s="362"/>
      <c r="R8418" s="210"/>
      <c r="S8418" s="232"/>
      <c r="T8418" s="270"/>
    </row>
    <row r="8419" spans="14:20" x14ac:dyDescent="0.25">
      <c r="N8419" s="362"/>
      <c r="R8419" s="210"/>
      <c r="S8419" s="232"/>
      <c r="T8419" s="270"/>
    </row>
    <row r="8420" spans="14:20" x14ac:dyDescent="0.25">
      <c r="N8420" s="362"/>
      <c r="R8420" s="210"/>
      <c r="S8420" s="232"/>
      <c r="T8420" s="270"/>
    </row>
    <row r="8421" spans="14:20" x14ac:dyDescent="0.25">
      <c r="N8421" s="362"/>
      <c r="R8421" s="210"/>
      <c r="S8421" s="232"/>
      <c r="T8421" s="270"/>
    </row>
    <row r="8422" spans="14:20" x14ac:dyDescent="0.25">
      <c r="N8422" s="362"/>
      <c r="R8422" s="210"/>
      <c r="S8422" s="232"/>
      <c r="T8422" s="270"/>
    </row>
    <row r="8423" spans="14:20" x14ac:dyDescent="0.25">
      <c r="N8423" s="362"/>
      <c r="R8423" s="210"/>
      <c r="S8423" s="232"/>
      <c r="T8423" s="270"/>
    </row>
    <row r="8424" spans="14:20" x14ac:dyDescent="0.25">
      <c r="N8424" s="362"/>
      <c r="R8424" s="210"/>
      <c r="S8424" s="232"/>
      <c r="T8424" s="270"/>
    </row>
    <row r="8425" spans="14:20" x14ac:dyDescent="0.25">
      <c r="N8425" s="362"/>
      <c r="R8425" s="210"/>
      <c r="S8425" s="232"/>
      <c r="T8425" s="270"/>
    </row>
    <row r="8426" spans="14:20" x14ac:dyDescent="0.25">
      <c r="N8426" s="362"/>
      <c r="R8426" s="210"/>
      <c r="S8426" s="232"/>
      <c r="T8426" s="270"/>
    </row>
    <row r="8427" spans="14:20" x14ac:dyDescent="0.25">
      <c r="N8427" s="362"/>
      <c r="R8427" s="210"/>
      <c r="S8427" s="232"/>
      <c r="T8427" s="270"/>
    </row>
    <row r="8428" spans="14:20" x14ac:dyDescent="0.25">
      <c r="N8428" s="362"/>
      <c r="R8428" s="210"/>
      <c r="S8428" s="232"/>
      <c r="T8428" s="270"/>
    </row>
    <row r="8429" spans="14:20" x14ac:dyDescent="0.25">
      <c r="N8429" s="362"/>
      <c r="R8429" s="210"/>
      <c r="S8429" s="232"/>
      <c r="T8429" s="270"/>
    </row>
    <row r="8430" spans="14:20" x14ac:dyDescent="0.25">
      <c r="N8430" s="362"/>
      <c r="R8430" s="210"/>
      <c r="S8430" s="232"/>
      <c r="T8430" s="270"/>
    </row>
    <row r="8431" spans="14:20" x14ac:dyDescent="0.25">
      <c r="N8431" s="362"/>
      <c r="R8431" s="210"/>
      <c r="S8431" s="232"/>
      <c r="T8431" s="270"/>
    </row>
    <row r="8432" spans="14:20" x14ac:dyDescent="0.25">
      <c r="N8432" s="362"/>
      <c r="R8432" s="210"/>
      <c r="S8432" s="232"/>
      <c r="T8432" s="270"/>
    </row>
    <row r="8433" spans="14:20" x14ac:dyDescent="0.25">
      <c r="N8433" s="362"/>
      <c r="R8433" s="210"/>
      <c r="S8433" s="232"/>
      <c r="T8433" s="270"/>
    </row>
    <row r="8434" spans="14:20" x14ac:dyDescent="0.25">
      <c r="N8434" s="362"/>
      <c r="R8434" s="210"/>
      <c r="S8434" s="232"/>
      <c r="T8434" s="270"/>
    </row>
    <row r="8435" spans="14:20" x14ac:dyDescent="0.25">
      <c r="N8435" s="362"/>
      <c r="R8435" s="210"/>
      <c r="S8435" s="232"/>
      <c r="T8435" s="270"/>
    </row>
    <row r="8436" spans="14:20" x14ac:dyDescent="0.25">
      <c r="N8436" s="362"/>
      <c r="R8436" s="210"/>
      <c r="S8436" s="232"/>
      <c r="T8436" s="270"/>
    </row>
    <row r="8437" spans="14:20" x14ac:dyDescent="0.25">
      <c r="N8437" s="362"/>
      <c r="R8437" s="210"/>
      <c r="S8437" s="232"/>
      <c r="T8437" s="270"/>
    </row>
    <row r="8438" spans="14:20" x14ac:dyDescent="0.25">
      <c r="N8438" s="362"/>
      <c r="R8438" s="210"/>
      <c r="S8438" s="232"/>
      <c r="T8438" s="270"/>
    </row>
    <row r="8439" spans="14:20" x14ac:dyDescent="0.25">
      <c r="N8439" s="362"/>
      <c r="R8439" s="210"/>
      <c r="S8439" s="232"/>
      <c r="T8439" s="270"/>
    </row>
    <row r="8440" spans="14:20" x14ac:dyDescent="0.25">
      <c r="N8440" s="362"/>
      <c r="R8440" s="210"/>
      <c r="S8440" s="232"/>
      <c r="T8440" s="270"/>
    </row>
    <row r="8441" spans="14:20" x14ac:dyDescent="0.25">
      <c r="N8441" s="362"/>
      <c r="R8441" s="210"/>
      <c r="S8441" s="232"/>
      <c r="T8441" s="270"/>
    </row>
    <row r="8442" spans="14:20" x14ac:dyDescent="0.25">
      <c r="N8442" s="362"/>
      <c r="R8442" s="210"/>
      <c r="S8442" s="232"/>
      <c r="T8442" s="270"/>
    </row>
    <row r="8443" spans="14:20" x14ac:dyDescent="0.25">
      <c r="N8443" s="362"/>
      <c r="R8443" s="210"/>
      <c r="S8443" s="232"/>
      <c r="T8443" s="270"/>
    </row>
    <row r="8444" spans="14:20" x14ac:dyDescent="0.25">
      <c r="N8444" s="362"/>
      <c r="R8444" s="210"/>
      <c r="S8444" s="232"/>
      <c r="T8444" s="270"/>
    </row>
    <row r="8445" spans="14:20" x14ac:dyDescent="0.25">
      <c r="N8445" s="362"/>
      <c r="R8445" s="210"/>
      <c r="S8445" s="232"/>
      <c r="T8445" s="270"/>
    </row>
    <row r="8446" spans="14:20" x14ac:dyDescent="0.25">
      <c r="N8446" s="362"/>
      <c r="R8446" s="210"/>
      <c r="S8446" s="232"/>
      <c r="T8446" s="270"/>
    </row>
    <row r="8447" spans="14:20" x14ac:dyDescent="0.25">
      <c r="N8447" s="362"/>
      <c r="R8447" s="210"/>
      <c r="S8447" s="232"/>
      <c r="T8447" s="270"/>
    </row>
    <row r="8448" spans="14:20" x14ac:dyDescent="0.25">
      <c r="N8448" s="362"/>
      <c r="R8448" s="210"/>
      <c r="S8448" s="232"/>
      <c r="T8448" s="270"/>
    </row>
    <row r="8449" spans="14:20" x14ac:dyDescent="0.25">
      <c r="N8449" s="362"/>
      <c r="R8449" s="210"/>
      <c r="S8449" s="232"/>
      <c r="T8449" s="270"/>
    </row>
    <row r="8450" spans="14:20" x14ac:dyDescent="0.25">
      <c r="N8450" s="362"/>
      <c r="R8450" s="210"/>
      <c r="S8450" s="232"/>
      <c r="T8450" s="270"/>
    </row>
    <row r="8451" spans="14:20" x14ac:dyDescent="0.25">
      <c r="N8451" s="362"/>
      <c r="R8451" s="210"/>
      <c r="S8451" s="232"/>
      <c r="T8451" s="270"/>
    </row>
    <row r="8452" spans="14:20" x14ac:dyDescent="0.25">
      <c r="N8452" s="362"/>
      <c r="R8452" s="210"/>
      <c r="S8452" s="232"/>
      <c r="T8452" s="270"/>
    </row>
    <row r="8453" spans="14:20" x14ac:dyDescent="0.25">
      <c r="N8453" s="362"/>
      <c r="R8453" s="210"/>
      <c r="S8453" s="232"/>
      <c r="T8453" s="270"/>
    </row>
    <row r="8454" spans="14:20" x14ac:dyDescent="0.25">
      <c r="N8454" s="362"/>
      <c r="R8454" s="210"/>
      <c r="S8454" s="232"/>
      <c r="T8454" s="270"/>
    </row>
    <row r="8455" spans="14:20" x14ac:dyDescent="0.25">
      <c r="N8455" s="362"/>
      <c r="R8455" s="210"/>
      <c r="S8455" s="232"/>
      <c r="T8455" s="270"/>
    </row>
    <row r="8456" spans="14:20" x14ac:dyDescent="0.25">
      <c r="N8456" s="362"/>
      <c r="R8456" s="210"/>
      <c r="S8456" s="232"/>
      <c r="T8456" s="270"/>
    </row>
    <row r="8457" spans="14:20" x14ac:dyDescent="0.25">
      <c r="N8457" s="362"/>
      <c r="R8457" s="210"/>
      <c r="S8457" s="232"/>
      <c r="T8457" s="270"/>
    </row>
    <row r="8458" spans="14:20" x14ac:dyDescent="0.25">
      <c r="N8458" s="362"/>
      <c r="R8458" s="210"/>
      <c r="S8458" s="232"/>
      <c r="T8458" s="270"/>
    </row>
    <row r="8459" spans="14:20" x14ac:dyDescent="0.25">
      <c r="N8459" s="362"/>
      <c r="R8459" s="210"/>
      <c r="S8459" s="232"/>
      <c r="T8459" s="270"/>
    </row>
    <row r="8460" spans="14:20" x14ac:dyDescent="0.25">
      <c r="N8460" s="362"/>
      <c r="R8460" s="210"/>
      <c r="S8460" s="232"/>
      <c r="T8460" s="270"/>
    </row>
    <row r="8461" spans="14:20" x14ac:dyDescent="0.25">
      <c r="N8461" s="362"/>
      <c r="R8461" s="210"/>
      <c r="S8461" s="232"/>
      <c r="T8461" s="270"/>
    </row>
    <row r="8462" spans="14:20" x14ac:dyDescent="0.25">
      <c r="N8462" s="362"/>
      <c r="R8462" s="210"/>
      <c r="S8462" s="232"/>
      <c r="T8462" s="270"/>
    </row>
    <row r="8463" spans="14:20" x14ac:dyDescent="0.25">
      <c r="N8463" s="362"/>
      <c r="R8463" s="210"/>
      <c r="S8463" s="232"/>
      <c r="T8463" s="270"/>
    </row>
    <row r="8464" spans="14:20" x14ac:dyDescent="0.25">
      <c r="N8464" s="362"/>
      <c r="R8464" s="210"/>
      <c r="S8464" s="232"/>
      <c r="T8464" s="270"/>
    </row>
    <row r="8465" spans="14:20" x14ac:dyDescent="0.25">
      <c r="N8465" s="362"/>
      <c r="R8465" s="210"/>
      <c r="S8465" s="232"/>
      <c r="T8465" s="270"/>
    </row>
    <row r="8466" spans="14:20" x14ac:dyDescent="0.25">
      <c r="N8466" s="362"/>
      <c r="R8466" s="210"/>
      <c r="S8466" s="232"/>
      <c r="T8466" s="270"/>
    </row>
    <row r="8467" spans="14:20" x14ac:dyDescent="0.25">
      <c r="N8467" s="362"/>
      <c r="R8467" s="210"/>
      <c r="S8467" s="232"/>
      <c r="T8467" s="270"/>
    </row>
    <row r="8468" spans="14:20" x14ac:dyDescent="0.25">
      <c r="N8468" s="362"/>
      <c r="R8468" s="210"/>
      <c r="S8468" s="232"/>
      <c r="T8468" s="270"/>
    </row>
    <row r="8469" spans="14:20" x14ac:dyDescent="0.25">
      <c r="N8469" s="362"/>
      <c r="R8469" s="210"/>
      <c r="S8469" s="232"/>
      <c r="T8469" s="270"/>
    </row>
    <row r="8470" spans="14:20" x14ac:dyDescent="0.25">
      <c r="N8470" s="362"/>
      <c r="R8470" s="210"/>
      <c r="S8470" s="232"/>
      <c r="T8470" s="270"/>
    </row>
    <row r="8471" spans="14:20" x14ac:dyDescent="0.25">
      <c r="N8471" s="362"/>
      <c r="R8471" s="210"/>
      <c r="S8471" s="232"/>
      <c r="T8471" s="270"/>
    </row>
    <row r="8472" spans="14:20" x14ac:dyDescent="0.25">
      <c r="N8472" s="362"/>
      <c r="R8472" s="210"/>
      <c r="S8472" s="232"/>
      <c r="T8472" s="270"/>
    </row>
    <row r="8473" spans="14:20" x14ac:dyDescent="0.25">
      <c r="N8473" s="362"/>
      <c r="R8473" s="210"/>
      <c r="S8473" s="232"/>
      <c r="T8473" s="270"/>
    </row>
    <row r="8474" spans="14:20" x14ac:dyDescent="0.25">
      <c r="N8474" s="362"/>
      <c r="R8474" s="210"/>
      <c r="S8474" s="232"/>
      <c r="T8474" s="270"/>
    </row>
    <row r="8475" spans="14:20" x14ac:dyDescent="0.25">
      <c r="N8475" s="362"/>
      <c r="R8475" s="210"/>
      <c r="S8475" s="232"/>
      <c r="T8475" s="270"/>
    </row>
    <row r="8476" spans="14:20" x14ac:dyDescent="0.25">
      <c r="N8476" s="362"/>
      <c r="R8476" s="210"/>
      <c r="S8476" s="232"/>
      <c r="T8476" s="270"/>
    </row>
    <row r="8477" spans="14:20" x14ac:dyDescent="0.25">
      <c r="N8477" s="362"/>
      <c r="R8477" s="210"/>
      <c r="S8477" s="232"/>
      <c r="T8477" s="270"/>
    </row>
    <row r="8478" spans="14:20" x14ac:dyDescent="0.25">
      <c r="N8478" s="362"/>
      <c r="R8478" s="210"/>
      <c r="S8478" s="232"/>
      <c r="T8478" s="270"/>
    </row>
    <row r="8479" spans="14:20" x14ac:dyDescent="0.25">
      <c r="N8479" s="362"/>
      <c r="R8479" s="210"/>
      <c r="S8479" s="232"/>
      <c r="T8479" s="270"/>
    </row>
    <row r="8480" spans="14:20" x14ac:dyDescent="0.25">
      <c r="N8480" s="362"/>
      <c r="R8480" s="210"/>
      <c r="S8480" s="232"/>
      <c r="T8480" s="270"/>
    </row>
    <row r="8481" spans="14:20" x14ac:dyDescent="0.25">
      <c r="N8481" s="362"/>
      <c r="R8481" s="210"/>
      <c r="S8481" s="232"/>
      <c r="T8481" s="270"/>
    </row>
    <row r="8482" spans="14:20" x14ac:dyDescent="0.25">
      <c r="N8482" s="362"/>
      <c r="R8482" s="210"/>
      <c r="S8482" s="232"/>
      <c r="T8482" s="270"/>
    </row>
    <row r="8483" spans="14:20" x14ac:dyDescent="0.25">
      <c r="N8483" s="362"/>
      <c r="R8483" s="210"/>
      <c r="S8483" s="232"/>
      <c r="T8483" s="270"/>
    </row>
    <row r="8484" spans="14:20" x14ac:dyDescent="0.25">
      <c r="N8484" s="362"/>
      <c r="R8484" s="210"/>
      <c r="S8484" s="232"/>
      <c r="T8484" s="270"/>
    </row>
    <row r="8485" spans="14:20" x14ac:dyDescent="0.25">
      <c r="N8485" s="362"/>
      <c r="R8485" s="210"/>
      <c r="S8485" s="232"/>
      <c r="T8485" s="270"/>
    </row>
    <row r="8486" spans="14:20" x14ac:dyDescent="0.25">
      <c r="N8486" s="362"/>
      <c r="R8486" s="210"/>
      <c r="S8486" s="232"/>
      <c r="T8486" s="270"/>
    </row>
    <row r="8487" spans="14:20" x14ac:dyDescent="0.25">
      <c r="N8487" s="362"/>
      <c r="R8487" s="210"/>
      <c r="S8487" s="232"/>
      <c r="T8487" s="270"/>
    </row>
    <row r="8488" spans="14:20" x14ac:dyDescent="0.25">
      <c r="N8488" s="362"/>
      <c r="R8488" s="210"/>
      <c r="S8488" s="232"/>
      <c r="T8488" s="270"/>
    </row>
    <row r="8489" spans="14:20" x14ac:dyDescent="0.25">
      <c r="N8489" s="362"/>
      <c r="R8489" s="210"/>
      <c r="S8489" s="232"/>
      <c r="T8489" s="270"/>
    </row>
    <row r="8490" spans="14:20" x14ac:dyDescent="0.25">
      <c r="N8490" s="362"/>
      <c r="R8490" s="210"/>
      <c r="S8490" s="232"/>
      <c r="T8490" s="270"/>
    </row>
    <row r="8491" spans="14:20" x14ac:dyDescent="0.25">
      <c r="N8491" s="362"/>
      <c r="R8491" s="210"/>
      <c r="S8491" s="232"/>
      <c r="T8491" s="270"/>
    </row>
    <row r="8492" spans="14:20" x14ac:dyDescent="0.25">
      <c r="N8492" s="362"/>
      <c r="R8492" s="210"/>
      <c r="S8492" s="232"/>
      <c r="T8492" s="270"/>
    </row>
    <row r="8493" spans="14:20" x14ac:dyDescent="0.25">
      <c r="N8493" s="362"/>
      <c r="R8493" s="210"/>
      <c r="S8493" s="232"/>
      <c r="T8493" s="270"/>
    </row>
    <row r="8494" spans="14:20" x14ac:dyDescent="0.25">
      <c r="N8494" s="362"/>
      <c r="R8494" s="210"/>
      <c r="S8494" s="232"/>
      <c r="T8494" s="270"/>
    </row>
    <row r="8495" spans="14:20" x14ac:dyDescent="0.25">
      <c r="N8495" s="362"/>
      <c r="R8495" s="210"/>
      <c r="S8495" s="232"/>
      <c r="T8495" s="270"/>
    </row>
    <row r="8496" spans="14:20" x14ac:dyDescent="0.25">
      <c r="N8496" s="362"/>
      <c r="R8496" s="210"/>
      <c r="S8496" s="232"/>
      <c r="T8496" s="270"/>
    </row>
    <row r="8497" spans="14:20" x14ac:dyDescent="0.25">
      <c r="N8497" s="362"/>
      <c r="R8497" s="210"/>
      <c r="S8497" s="232"/>
      <c r="T8497" s="270"/>
    </row>
    <row r="8498" spans="14:20" x14ac:dyDescent="0.25">
      <c r="N8498" s="362"/>
      <c r="R8498" s="210"/>
      <c r="S8498" s="232"/>
      <c r="T8498" s="270"/>
    </row>
    <row r="8499" spans="14:20" x14ac:dyDescent="0.25">
      <c r="N8499" s="362"/>
      <c r="R8499" s="210"/>
      <c r="S8499" s="232"/>
      <c r="T8499" s="270"/>
    </row>
    <row r="8500" spans="14:20" x14ac:dyDescent="0.25">
      <c r="N8500" s="362"/>
      <c r="R8500" s="210"/>
      <c r="S8500" s="232"/>
      <c r="T8500" s="270"/>
    </row>
    <row r="8501" spans="14:20" x14ac:dyDescent="0.25">
      <c r="N8501" s="362"/>
      <c r="R8501" s="210"/>
      <c r="S8501" s="232"/>
      <c r="T8501" s="270"/>
    </row>
    <row r="8502" spans="14:20" x14ac:dyDescent="0.25">
      <c r="N8502" s="362"/>
      <c r="R8502" s="210"/>
      <c r="S8502" s="232"/>
      <c r="T8502" s="270"/>
    </row>
    <row r="8503" spans="14:20" x14ac:dyDescent="0.25">
      <c r="N8503" s="362"/>
      <c r="R8503" s="210"/>
      <c r="S8503" s="232"/>
      <c r="T8503" s="270"/>
    </row>
    <row r="8504" spans="14:20" x14ac:dyDescent="0.25">
      <c r="N8504" s="362"/>
      <c r="R8504" s="210"/>
      <c r="S8504" s="232"/>
      <c r="T8504" s="270"/>
    </row>
    <row r="8505" spans="14:20" x14ac:dyDescent="0.25">
      <c r="N8505" s="362"/>
      <c r="R8505" s="210"/>
      <c r="S8505" s="232"/>
      <c r="T8505" s="270"/>
    </row>
    <row r="8506" spans="14:20" x14ac:dyDescent="0.25">
      <c r="N8506" s="362"/>
      <c r="R8506" s="210"/>
      <c r="S8506" s="232"/>
      <c r="T8506" s="270"/>
    </row>
    <row r="8507" spans="14:20" x14ac:dyDescent="0.25">
      <c r="N8507" s="362"/>
      <c r="R8507" s="210"/>
      <c r="S8507" s="232"/>
      <c r="T8507" s="270"/>
    </row>
    <row r="8508" spans="14:20" x14ac:dyDescent="0.25">
      <c r="N8508" s="362"/>
      <c r="R8508" s="210"/>
      <c r="S8508" s="232"/>
      <c r="T8508" s="270"/>
    </row>
    <row r="8509" spans="14:20" x14ac:dyDescent="0.25">
      <c r="N8509" s="362"/>
      <c r="R8509" s="210"/>
      <c r="S8509" s="232"/>
      <c r="T8509" s="270"/>
    </row>
    <row r="8510" spans="14:20" x14ac:dyDescent="0.25">
      <c r="N8510" s="362"/>
      <c r="R8510" s="210"/>
      <c r="S8510" s="232"/>
      <c r="T8510" s="270"/>
    </row>
    <row r="8511" spans="14:20" x14ac:dyDescent="0.25">
      <c r="N8511" s="362"/>
      <c r="R8511" s="210"/>
      <c r="S8511" s="232"/>
      <c r="T8511" s="270"/>
    </row>
    <row r="8512" spans="14:20" x14ac:dyDescent="0.25">
      <c r="N8512" s="362"/>
      <c r="R8512" s="210"/>
      <c r="S8512" s="232"/>
      <c r="T8512" s="270"/>
    </row>
    <row r="8513" spans="14:20" x14ac:dyDescent="0.25">
      <c r="N8513" s="362"/>
      <c r="R8513" s="210"/>
      <c r="S8513" s="232"/>
      <c r="T8513" s="270"/>
    </row>
    <row r="8514" spans="14:20" x14ac:dyDescent="0.25">
      <c r="N8514" s="362"/>
      <c r="R8514" s="210"/>
      <c r="S8514" s="232"/>
      <c r="T8514" s="270"/>
    </row>
    <row r="8515" spans="14:20" x14ac:dyDescent="0.25">
      <c r="N8515" s="362"/>
      <c r="R8515" s="210"/>
      <c r="S8515" s="232"/>
      <c r="T8515" s="270"/>
    </row>
    <row r="8516" spans="14:20" x14ac:dyDescent="0.25">
      <c r="N8516" s="362"/>
      <c r="R8516" s="210"/>
      <c r="S8516" s="232"/>
      <c r="T8516" s="270"/>
    </row>
    <row r="8517" spans="14:20" x14ac:dyDescent="0.25">
      <c r="N8517" s="362"/>
      <c r="R8517" s="210"/>
      <c r="S8517" s="232"/>
      <c r="T8517" s="270"/>
    </row>
    <row r="8518" spans="14:20" x14ac:dyDescent="0.25">
      <c r="N8518" s="362"/>
      <c r="R8518" s="210"/>
      <c r="S8518" s="232"/>
      <c r="T8518" s="270"/>
    </row>
    <row r="8519" spans="14:20" x14ac:dyDescent="0.25">
      <c r="N8519" s="362"/>
      <c r="R8519" s="210"/>
      <c r="S8519" s="232"/>
      <c r="T8519" s="270"/>
    </row>
    <row r="8520" spans="14:20" x14ac:dyDescent="0.25">
      <c r="N8520" s="362"/>
      <c r="R8520" s="210"/>
      <c r="S8520" s="232"/>
      <c r="T8520" s="270"/>
    </row>
    <row r="8521" spans="14:20" x14ac:dyDescent="0.25">
      <c r="N8521" s="362"/>
      <c r="R8521" s="210"/>
      <c r="S8521" s="232"/>
      <c r="T8521" s="270"/>
    </row>
    <row r="8522" spans="14:20" x14ac:dyDescent="0.25">
      <c r="N8522" s="362"/>
      <c r="R8522" s="210"/>
      <c r="S8522" s="232"/>
      <c r="T8522" s="270"/>
    </row>
    <row r="8523" spans="14:20" x14ac:dyDescent="0.25">
      <c r="N8523" s="362"/>
      <c r="R8523" s="210"/>
      <c r="S8523" s="232"/>
      <c r="T8523" s="270"/>
    </row>
    <row r="8524" spans="14:20" x14ac:dyDescent="0.25">
      <c r="N8524" s="362"/>
      <c r="R8524" s="210"/>
      <c r="S8524" s="232"/>
      <c r="T8524" s="270"/>
    </row>
    <row r="8525" spans="14:20" x14ac:dyDescent="0.25">
      <c r="N8525" s="362"/>
      <c r="R8525" s="210"/>
      <c r="S8525" s="232"/>
      <c r="T8525" s="270"/>
    </row>
    <row r="8526" spans="14:20" x14ac:dyDescent="0.25">
      <c r="N8526" s="362"/>
      <c r="R8526" s="210"/>
      <c r="S8526" s="232"/>
      <c r="T8526" s="270"/>
    </row>
    <row r="8527" spans="14:20" x14ac:dyDescent="0.25">
      <c r="N8527" s="362"/>
      <c r="R8527" s="210"/>
      <c r="S8527" s="232"/>
      <c r="T8527" s="270"/>
    </row>
    <row r="8528" spans="14:20" x14ac:dyDescent="0.25">
      <c r="N8528" s="362"/>
      <c r="R8528" s="210"/>
      <c r="S8528" s="232"/>
      <c r="T8528" s="270"/>
    </row>
    <row r="8529" spans="14:20" x14ac:dyDescent="0.25">
      <c r="N8529" s="362"/>
      <c r="R8529" s="210"/>
      <c r="S8529" s="232"/>
      <c r="T8529" s="270"/>
    </row>
    <row r="8530" spans="14:20" x14ac:dyDescent="0.25">
      <c r="N8530" s="362"/>
      <c r="R8530" s="210"/>
      <c r="S8530" s="232"/>
      <c r="T8530" s="270"/>
    </row>
    <row r="8531" spans="14:20" x14ac:dyDescent="0.25">
      <c r="N8531" s="362"/>
      <c r="R8531" s="210"/>
      <c r="S8531" s="232"/>
      <c r="T8531" s="270"/>
    </row>
    <row r="8532" spans="14:20" x14ac:dyDescent="0.25">
      <c r="N8532" s="362"/>
      <c r="R8532" s="210"/>
      <c r="S8532" s="232"/>
      <c r="T8532" s="270"/>
    </row>
    <row r="8533" spans="14:20" x14ac:dyDescent="0.25">
      <c r="N8533" s="362"/>
      <c r="R8533" s="210"/>
      <c r="S8533" s="232"/>
      <c r="T8533" s="270"/>
    </row>
    <row r="8534" spans="14:20" x14ac:dyDescent="0.25">
      <c r="N8534" s="362"/>
      <c r="R8534" s="210"/>
      <c r="S8534" s="232"/>
      <c r="T8534" s="270"/>
    </row>
    <row r="8535" spans="14:20" x14ac:dyDescent="0.25">
      <c r="N8535" s="362"/>
      <c r="R8535" s="210"/>
      <c r="S8535" s="232"/>
      <c r="T8535" s="270"/>
    </row>
    <row r="8536" spans="14:20" x14ac:dyDescent="0.25">
      <c r="N8536" s="362"/>
      <c r="R8536" s="210"/>
      <c r="S8536" s="232"/>
      <c r="T8536" s="270"/>
    </row>
    <row r="8537" spans="14:20" x14ac:dyDescent="0.25">
      <c r="N8537" s="362"/>
      <c r="R8537" s="210"/>
      <c r="S8537" s="232"/>
      <c r="T8537" s="270"/>
    </row>
    <row r="8538" spans="14:20" x14ac:dyDescent="0.25">
      <c r="N8538" s="362"/>
      <c r="R8538" s="210"/>
      <c r="S8538" s="232"/>
      <c r="T8538" s="270"/>
    </row>
    <row r="8539" spans="14:20" x14ac:dyDescent="0.25">
      <c r="N8539" s="362"/>
      <c r="R8539" s="210"/>
      <c r="S8539" s="232"/>
      <c r="T8539" s="270"/>
    </row>
    <row r="8540" spans="14:20" x14ac:dyDescent="0.25">
      <c r="N8540" s="362"/>
      <c r="R8540" s="210"/>
      <c r="S8540" s="232"/>
      <c r="T8540" s="270"/>
    </row>
    <row r="8541" spans="14:20" x14ac:dyDescent="0.25">
      <c r="N8541" s="362"/>
      <c r="R8541" s="210"/>
      <c r="S8541" s="232"/>
      <c r="T8541" s="270"/>
    </row>
    <row r="8542" spans="14:20" x14ac:dyDescent="0.25">
      <c r="N8542" s="362"/>
      <c r="R8542" s="210"/>
      <c r="S8542" s="232"/>
      <c r="T8542" s="270"/>
    </row>
    <row r="8543" spans="14:20" x14ac:dyDescent="0.25">
      <c r="N8543" s="362"/>
      <c r="R8543" s="210"/>
      <c r="S8543" s="232"/>
      <c r="T8543" s="270"/>
    </row>
    <row r="8544" spans="14:20" x14ac:dyDescent="0.25">
      <c r="N8544" s="362"/>
      <c r="R8544" s="210"/>
      <c r="S8544" s="232"/>
      <c r="T8544" s="270"/>
    </row>
    <row r="8545" spans="14:20" x14ac:dyDescent="0.25">
      <c r="N8545" s="362"/>
      <c r="R8545" s="210"/>
      <c r="S8545" s="232"/>
      <c r="T8545" s="270"/>
    </row>
    <row r="8546" spans="14:20" x14ac:dyDescent="0.25">
      <c r="N8546" s="362"/>
      <c r="R8546" s="210"/>
      <c r="S8546" s="232"/>
      <c r="T8546" s="270"/>
    </row>
    <row r="8547" spans="14:20" x14ac:dyDescent="0.25">
      <c r="N8547" s="362"/>
      <c r="R8547" s="210"/>
      <c r="S8547" s="232"/>
      <c r="T8547" s="270"/>
    </row>
    <row r="8548" spans="14:20" x14ac:dyDescent="0.25">
      <c r="N8548" s="362"/>
      <c r="R8548" s="210"/>
      <c r="S8548" s="232"/>
      <c r="T8548" s="270"/>
    </row>
    <row r="8549" spans="14:20" x14ac:dyDescent="0.25">
      <c r="N8549" s="362"/>
      <c r="R8549" s="210"/>
      <c r="S8549" s="232"/>
      <c r="T8549" s="270"/>
    </row>
    <row r="8550" spans="14:20" x14ac:dyDescent="0.25">
      <c r="N8550" s="362"/>
      <c r="R8550" s="210"/>
      <c r="S8550" s="232"/>
      <c r="T8550" s="270"/>
    </row>
    <row r="8551" spans="14:20" x14ac:dyDescent="0.25">
      <c r="N8551" s="362"/>
      <c r="R8551" s="210"/>
      <c r="S8551" s="232"/>
      <c r="T8551" s="270"/>
    </row>
    <row r="8552" spans="14:20" x14ac:dyDescent="0.25">
      <c r="N8552" s="362"/>
      <c r="R8552" s="210"/>
      <c r="S8552" s="232"/>
      <c r="T8552" s="270"/>
    </row>
    <row r="8553" spans="14:20" x14ac:dyDescent="0.25">
      <c r="N8553" s="362"/>
      <c r="R8553" s="210"/>
      <c r="S8553" s="232"/>
      <c r="T8553" s="270"/>
    </row>
    <row r="8554" spans="14:20" x14ac:dyDescent="0.25">
      <c r="N8554" s="362"/>
      <c r="R8554" s="210"/>
      <c r="S8554" s="232"/>
      <c r="T8554" s="270"/>
    </row>
    <row r="8555" spans="14:20" x14ac:dyDescent="0.25">
      <c r="N8555" s="362"/>
      <c r="R8555" s="210"/>
      <c r="S8555" s="232"/>
      <c r="T8555" s="270"/>
    </row>
    <row r="8556" spans="14:20" x14ac:dyDescent="0.25">
      <c r="N8556" s="362"/>
      <c r="R8556" s="210"/>
      <c r="S8556" s="232"/>
      <c r="T8556" s="270"/>
    </row>
    <row r="8557" spans="14:20" x14ac:dyDescent="0.25">
      <c r="N8557" s="362"/>
      <c r="R8557" s="210"/>
      <c r="S8557" s="232"/>
      <c r="T8557" s="270"/>
    </row>
    <row r="8558" spans="14:20" x14ac:dyDescent="0.25">
      <c r="N8558" s="362"/>
      <c r="R8558" s="210"/>
      <c r="S8558" s="232"/>
      <c r="T8558" s="270"/>
    </row>
    <row r="8559" spans="14:20" x14ac:dyDescent="0.25">
      <c r="N8559" s="362"/>
      <c r="R8559" s="210"/>
      <c r="S8559" s="232"/>
      <c r="T8559" s="270"/>
    </row>
    <row r="8560" spans="14:20" x14ac:dyDescent="0.25">
      <c r="N8560" s="362"/>
      <c r="R8560" s="210"/>
      <c r="S8560" s="232"/>
      <c r="T8560" s="270"/>
    </row>
    <row r="8561" spans="14:20" x14ac:dyDescent="0.25">
      <c r="N8561" s="362"/>
      <c r="R8561" s="210"/>
      <c r="S8561" s="232"/>
      <c r="T8561" s="270"/>
    </row>
    <row r="8562" spans="14:20" x14ac:dyDescent="0.25">
      <c r="N8562" s="362"/>
      <c r="R8562" s="210"/>
      <c r="S8562" s="232"/>
      <c r="T8562" s="270"/>
    </row>
    <row r="8563" spans="14:20" x14ac:dyDescent="0.25">
      <c r="N8563" s="362"/>
      <c r="R8563" s="210"/>
      <c r="S8563" s="232"/>
      <c r="T8563" s="270"/>
    </row>
    <row r="8564" spans="14:20" x14ac:dyDescent="0.25">
      <c r="N8564" s="362"/>
      <c r="R8564" s="210"/>
      <c r="S8564" s="232"/>
      <c r="T8564" s="270"/>
    </row>
    <row r="8565" spans="14:20" x14ac:dyDescent="0.25">
      <c r="N8565" s="362"/>
      <c r="R8565" s="210"/>
      <c r="S8565" s="232"/>
      <c r="T8565" s="270"/>
    </row>
    <row r="8566" spans="14:20" x14ac:dyDescent="0.25">
      <c r="N8566" s="362"/>
      <c r="R8566" s="210"/>
      <c r="S8566" s="232"/>
      <c r="T8566" s="270"/>
    </row>
    <row r="8567" spans="14:20" x14ac:dyDescent="0.25">
      <c r="N8567" s="362"/>
      <c r="R8567" s="210"/>
      <c r="S8567" s="232"/>
      <c r="T8567" s="270"/>
    </row>
    <row r="8568" spans="14:20" x14ac:dyDescent="0.25">
      <c r="N8568" s="362"/>
      <c r="R8568" s="210"/>
      <c r="S8568" s="232"/>
      <c r="T8568" s="270"/>
    </row>
    <row r="8569" spans="14:20" x14ac:dyDescent="0.25">
      <c r="N8569" s="362"/>
      <c r="R8569" s="210"/>
      <c r="S8569" s="232"/>
      <c r="T8569" s="270"/>
    </row>
    <row r="8570" spans="14:20" x14ac:dyDescent="0.25">
      <c r="N8570" s="362"/>
      <c r="R8570" s="210"/>
      <c r="S8570" s="232"/>
      <c r="T8570" s="270"/>
    </row>
    <row r="8571" spans="14:20" x14ac:dyDescent="0.25">
      <c r="N8571" s="362"/>
      <c r="R8571" s="210"/>
      <c r="S8571" s="232"/>
      <c r="T8571" s="270"/>
    </row>
    <row r="8572" spans="14:20" x14ac:dyDescent="0.25">
      <c r="N8572" s="362"/>
      <c r="R8572" s="210"/>
      <c r="S8572" s="232"/>
      <c r="T8572" s="270"/>
    </row>
    <row r="8573" spans="14:20" x14ac:dyDescent="0.25">
      <c r="N8573" s="362"/>
      <c r="R8573" s="210"/>
      <c r="S8573" s="232"/>
      <c r="T8573" s="270"/>
    </row>
    <row r="8574" spans="14:20" x14ac:dyDescent="0.25">
      <c r="N8574" s="362"/>
      <c r="R8574" s="210"/>
      <c r="S8574" s="232"/>
      <c r="T8574" s="270"/>
    </row>
    <row r="8575" spans="14:20" x14ac:dyDescent="0.25">
      <c r="N8575" s="362"/>
      <c r="R8575" s="210"/>
      <c r="S8575" s="232"/>
      <c r="T8575" s="270"/>
    </row>
    <row r="8576" spans="14:20" x14ac:dyDescent="0.25">
      <c r="N8576" s="362"/>
      <c r="R8576" s="210"/>
      <c r="S8576" s="232"/>
      <c r="T8576" s="270"/>
    </row>
    <row r="8577" spans="14:20" x14ac:dyDescent="0.25">
      <c r="N8577" s="362"/>
      <c r="R8577" s="210"/>
      <c r="S8577" s="232"/>
      <c r="T8577" s="270"/>
    </row>
    <row r="8578" spans="14:20" x14ac:dyDescent="0.25">
      <c r="N8578" s="362"/>
      <c r="R8578" s="210"/>
      <c r="S8578" s="232"/>
      <c r="T8578" s="270"/>
    </row>
    <row r="8579" spans="14:20" x14ac:dyDescent="0.25">
      <c r="N8579" s="362"/>
      <c r="R8579" s="210"/>
      <c r="S8579" s="232"/>
      <c r="T8579" s="270"/>
    </row>
    <row r="8580" spans="14:20" x14ac:dyDescent="0.25">
      <c r="N8580" s="362"/>
      <c r="R8580" s="210"/>
      <c r="S8580" s="232"/>
      <c r="T8580" s="270"/>
    </row>
    <row r="8581" spans="14:20" x14ac:dyDescent="0.25">
      <c r="N8581" s="362"/>
      <c r="R8581" s="210"/>
      <c r="S8581" s="232"/>
      <c r="T8581" s="270"/>
    </row>
    <row r="8582" spans="14:20" x14ac:dyDescent="0.25">
      <c r="N8582" s="362"/>
      <c r="R8582" s="210"/>
      <c r="S8582" s="232"/>
      <c r="T8582" s="270"/>
    </row>
    <row r="8583" spans="14:20" x14ac:dyDescent="0.25">
      <c r="N8583" s="362"/>
      <c r="R8583" s="210"/>
      <c r="S8583" s="232"/>
      <c r="T8583" s="270"/>
    </row>
    <row r="8584" spans="14:20" x14ac:dyDescent="0.25">
      <c r="N8584" s="362"/>
      <c r="R8584" s="210"/>
      <c r="S8584" s="232"/>
      <c r="T8584" s="270"/>
    </row>
    <row r="8585" spans="14:20" x14ac:dyDescent="0.25">
      <c r="N8585" s="362"/>
      <c r="R8585" s="210"/>
      <c r="S8585" s="232"/>
      <c r="T8585" s="270"/>
    </row>
    <row r="8586" spans="14:20" x14ac:dyDescent="0.25">
      <c r="N8586" s="362"/>
      <c r="R8586" s="210"/>
      <c r="S8586" s="232"/>
      <c r="T8586" s="270"/>
    </row>
    <row r="8587" spans="14:20" x14ac:dyDescent="0.25">
      <c r="N8587" s="362"/>
      <c r="R8587" s="210"/>
      <c r="S8587" s="232"/>
      <c r="T8587" s="270"/>
    </row>
    <row r="8588" spans="14:20" x14ac:dyDescent="0.25">
      <c r="N8588" s="362"/>
      <c r="R8588" s="210"/>
      <c r="S8588" s="232"/>
      <c r="T8588" s="270"/>
    </row>
    <row r="8589" spans="14:20" x14ac:dyDescent="0.25">
      <c r="N8589" s="362"/>
      <c r="R8589" s="210"/>
      <c r="S8589" s="232"/>
      <c r="T8589" s="270"/>
    </row>
    <row r="8590" spans="14:20" x14ac:dyDescent="0.25">
      <c r="N8590" s="362"/>
      <c r="R8590" s="210"/>
      <c r="S8590" s="232"/>
      <c r="T8590" s="270"/>
    </row>
    <row r="8591" spans="14:20" x14ac:dyDescent="0.25">
      <c r="N8591" s="362"/>
      <c r="R8591" s="210"/>
      <c r="S8591" s="232"/>
      <c r="T8591" s="270"/>
    </row>
    <row r="8592" spans="14:20" x14ac:dyDescent="0.25">
      <c r="N8592" s="362"/>
      <c r="R8592" s="210"/>
      <c r="S8592" s="232"/>
      <c r="T8592" s="270"/>
    </row>
    <row r="8593" spans="14:20" x14ac:dyDescent="0.25">
      <c r="N8593" s="362"/>
      <c r="R8593" s="210"/>
      <c r="S8593" s="232"/>
      <c r="T8593" s="270"/>
    </row>
    <row r="8594" spans="14:20" x14ac:dyDescent="0.25">
      <c r="N8594" s="362"/>
      <c r="R8594" s="210"/>
      <c r="S8594" s="232"/>
      <c r="T8594" s="270"/>
    </row>
    <row r="8595" spans="14:20" x14ac:dyDescent="0.25">
      <c r="N8595" s="362"/>
      <c r="R8595" s="210"/>
      <c r="S8595" s="232"/>
      <c r="T8595" s="270"/>
    </row>
    <row r="8596" spans="14:20" x14ac:dyDescent="0.25">
      <c r="N8596" s="362"/>
      <c r="R8596" s="210"/>
      <c r="S8596" s="232"/>
      <c r="T8596" s="270"/>
    </row>
    <row r="8597" spans="14:20" x14ac:dyDescent="0.25">
      <c r="N8597" s="362"/>
      <c r="R8597" s="210"/>
      <c r="S8597" s="232"/>
      <c r="T8597" s="270"/>
    </row>
    <row r="8598" spans="14:20" x14ac:dyDescent="0.25">
      <c r="N8598" s="362"/>
      <c r="R8598" s="210"/>
      <c r="S8598" s="232"/>
      <c r="T8598" s="270"/>
    </row>
    <row r="8599" spans="14:20" x14ac:dyDescent="0.25">
      <c r="N8599" s="362"/>
      <c r="R8599" s="210"/>
      <c r="S8599" s="232"/>
      <c r="T8599" s="270"/>
    </row>
    <row r="8600" spans="14:20" x14ac:dyDescent="0.25">
      <c r="N8600" s="362"/>
      <c r="R8600" s="210"/>
      <c r="S8600" s="232"/>
      <c r="T8600" s="270"/>
    </row>
    <row r="8601" spans="14:20" x14ac:dyDescent="0.25">
      <c r="N8601" s="362"/>
      <c r="R8601" s="210"/>
      <c r="S8601" s="232"/>
      <c r="T8601" s="270"/>
    </row>
    <row r="8602" spans="14:20" x14ac:dyDescent="0.25">
      <c r="N8602" s="362"/>
      <c r="R8602" s="210"/>
      <c r="S8602" s="232"/>
      <c r="T8602" s="270"/>
    </row>
    <row r="8603" spans="14:20" x14ac:dyDescent="0.25">
      <c r="N8603" s="362"/>
      <c r="R8603" s="210"/>
      <c r="S8603" s="232"/>
      <c r="T8603" s="270"/>
    </row>
    <row r="8604" spans="14:20" x14ac:dyDescent="0.25">
      <c r="N8604" s="362"/>
      <c r="R8604" s="210"/>
      <c r="S8604" s="232"/>
      <c r="T8604" s="270"/>
    </row>
    <row r="8605" spans="14:20" x14ac:dyDescent="0.25">
      <c r="N8605" s="362"/>
      <c r="R8605" s="210"/>
      <c r="S8605" s="232"/>
      <c r="T8605" s="270"/>
    </row>
    <row r="8606" spans="14:20" x14ac:dyDescent="0.25">
      <c r="N8606" s="362"/>
      <c r="R8606" s="210"/>
      <c r="S8606" s="232"/>
      <c r="T8606" s="270"/>
    </row>
    <row r="8607" spans="14:20" x14ac:dyDescent="0.25">
      <c r="N8607" s="362"/>
      <c r="R8607" s="210"/>
      <c r="S8607" s="232"/>
      <c r="T8607" s="270"/>
    </row>
    <row r="8608" spans="14:20" x14ac:dyDescent="0.25">
      <c r="N8608" s="362"/>
      <c r="R8608" s="210"/>
      <c r="S8608" s="232"/>
      <c r="T8608" s="270"/>
    </row>
    <row r="8609" spans="14:20" x14ac:dyDescent="0.25">
      <c r="N8609" s="362"/>
      <c r="R8609" s="210"/>
      <c r="S8609" s="232"/>
      <c r="T8609" s="270"/>
    </row>
    <row r="8610" spans="14:20" x14ac:dyDescent="0.25">
      <c r="N8610" s="362"/>
      <c r="R8610" s="210"/>
      <c r="S8610" s="232"/>
      <c r="T8610" s="270"/>
    </row>
    <row r="8611" spans="14:20" x14ac:dyDescent="0.25">
      <c r="N8611" s="362"/>
      <c r="R8611" s="210"/>
      <c r="S8611" s="232"/>
      <c r="T8611" s="270"/>
    </row>
    <row r="8612" spans="14:20" x14ac:dyDescent="0.25">
      <c r="N8612" s="362"/>
      <c r="R8612" s="210"/>
      <c r="S8612" s="232"/>
      <c r="T8612" s="270"/>
    </row>
    <row r="8613" spans="14:20" x14ac:dyDescent="0.25">
      <c r="N8613" s="362"/>
      <c r="R8613" s="210"/>
      <c r="S8613" s="232"/>
      <c r="T8613" s="270"/>
    </row>
    <row r="8614" spans="14:20" x14ac:dyDescent="0.25">
      <c r="N8614" s="362"/>
      <c r="R8614" s="210"/>
      <c r="S8614" s="232"/>
      <c r="T8614" s="270"/>
    </row>
    <row r="8615" spans="14:20" x14ac:dyDescent="0.25">
      <c r="N8615" s="362"/>
      <c r="R8615" s="210"/>
      <c r="S8615" s="232"/>
      <c r="T8615" s="270"/>
    </row>
    <row r="8616" spans="14:20" x14ac:dyDescent="0.25">
      <c r="N8616" s="362"/>
      <c r="R8616" s="210"/>
      <c r="S8616" s="232"/>
      <c r="T8616" s="270"/>
    </row>
    <row r="8617" spans="14:20" x14ac:dyDescent="0.25">
      <c r="N8617" s="362"/>
      <c r="R8617" s="210"/>
      <c r="S8617" s="232"/>
      <c r="T8617" s="270"/>
    </row>
    <row r="8618" spans="14:20" x14ac:dyDescent="0.25">
      <c r="N8618" s="362"/>
      <c r="R8618" s="210"/>
      <c r="S8618" s="232"/>
      <c r="T8618" s="270"/>
    </row>
    <row r="8619" spans="14:20" x14ac:dyDescent="0.25">
      <c r="N8619" s="362"/>
      <c r="R8619" s="210"/>
      <c r="S8619" s="232"/>
      <c r="T8619" s="270"/>
    </row>
    <row r="8620" spans="14:20" x14ac:dyDescent="0.25">
      <c r="N8620" s="362"/>
      <c r="R8620" s="210"/>
      <c r="S8620" s="232"/>
      <c r="T8620" s="270"/>
    </row>
    <row r="8621" spans="14:20" x14ac:dyDescent="0.25">
      <c r="N8621" s="362"/>
      <c r="R8621" s="210"/>
      <c r="S8621" s="232"/>
      <c r="T8621" s="270"/>
    </row>
    <row r="8622" spans="14:20" x14ac:dyDescent="0.25">
      <c r="N8622" s="362"/>
      <c r="R8622" s="210"/>
      <c r="S8622" s="232"/>
      <c r="T8622" s="270"/>
    </row>
    <row r="8623" spans="14:20" x14ac:dyDescent="0.25">
      <c r="N8623" s="362"/>
      <c r="R8623" s="210"/>
      <c r="S8623" s="232"/>
      <c r="T8623" s="270"/>
    </row>
    <row r="8624" spans="14:20" x14ac:dyDescent="0.25">
      <c r="N8624" s="362"/>
      <c r="R8624" s="210"/>
      <c r="S8624" s="232"/>
      <c r="T8624" s="270"/>
    </row>
    <row r="8625" spans="14:20" x14ac:dyDescent="0.25">
      <c r="N8625" s="362"/>
      <c r="R8625" s="210"/>
      <c r="S8625" s="232"/>
      <c r="T8625" s="270"/>
    </row>
    <row r="8626" spans="14:20" x14ac:dyDescent="0.25">
      <c r="N8626" s="362"/>
      <c r="R8626" s="210"/>
      <c r="S8626" s="232"/>
      <c r="T8626" s="270"/>
    </row>
    <row r="8627" spans="14:20" x14ac:dyDescent="0.25">
      <c r="N8627" s="362"/>
      <c r="R8627" s="210"/>
      <c r="S8627" s="232"/>
      <c r="T8627" s="270"/>
    </row>
    <row r="8628" spans="14:20" x14ac:dyDescent="0.25">
      <c r="N8628" s="362"/>
      <c r="R8628" s="210"/>
      <c r="S8628" s="232"/>
      <c r="T8628" s="270"/>
    </row>
    <row r="8629" spans="14:20" x14ac:dyDescent="0.25">
      <c r="N8629" s="362"/>
      <c r="R8629" s="210"/>
      <c r="S8629" s="232"/>
      <c r="T8629" s="270"/>
    </row>
    <row r="8630" spans="14:20" x14ac:dyDescent="0.25">
      <c r="N8630" s="362"/>
      <c r="R8630" s="210"/>
      <c r="S8630" s="232"/>
      <c r="T8630" s="270"/>
    </row>
    <row r="8631" spans="14:20" x14ac:dyDescent="0.25">
      <c r="N8631" s="362"/>
      <c r="R8631" s="210"/>
      <c r="S8631" s="232"/>
      <c r="T8631" s="270"/>
    </row>
    <row r="8632" spans="14:20" x14ac:dyDescent="0.25">
      <c r="N8632" s="362"/>
      <c r="R8632" s="210"/>
      <c r="S8632" s="232"/>
      <c r="T8632" s="270"/>
    </row>
    <row r="8633" spans="14:20" x14ac:dyDescent="0.25">
      <c r="N8633" s="362"/>
      <c r="R8633" s="210"/>
      <c r="S8633" s="232"/>
      <c r="T8633" s="270"/>
    </row>
    <row r="8634" spans="14:20" x14ac:dyDescent="0.25">
      <c r="N8634" s="362"/>
      <c r="R8634" s="210"/>
      <c r="S8634" s="232"/>
      <c r="T8634" s="270"/>
    </row>
    <row r="8635" spans="14:20" x14ac:dyDescent="0.25">
      <c r="N8635" s="362"/>
      <c r="R8635" s="210"/>
      <c r="S8635" s="232"/>
      <c r="T8635" s="270"/>
    </row>
    <row r="8636" spans="14:20" x14ac:dyDescent="0.25">
      <c r="N8636" s="362"/>
      <c r="R8636" s="210"/>
      <c r="S8636" s="232"/>
      <c r="T8636" s="270"/>
    </row>
    <row r="8637" spans="14:20" x14ac:dyDescent="0.25">
      <c r="N8637" s="362"/>
      <c r="R8637" s="210"/>
      <c r="S8637" s="232"/>
      <c r="T8637" s="270"/>
    </row>
    <row r="8638" spans="14:20" x14ac:dyDescent="0.25">
      <c r="N8638" s="362"/>
      <c r="R8638" s="210"/>
      <c r="S8638" s="232"/>
      <c r="T8638" s="270"/>
    </row>
    <row r="8639" spans="14:20" x14ac:dyDescent="0.25">
      <c r="N8639" s="362"/>
      <c r="R8639" s="210"/>
      <c r="S8639" s="232"/>
      <c r="T8639" s="270"/>
    </row>
    <row r="8640" spans="14:20" x14ac:dyDescent="0.25">
      <c r="N8640" s="362"/>
      <c r="R8640" s="210"/>
      <c r="S8640" s="232"/>
      <c r="T8640" s="270"/>
    </row>
    <row r="8641" spans="14:20" x14ac:dyDescent="0.25">
      <c r="N8641" s="362"/>
      <c r="R8641" s="210"/>
      <c r="S8641" s="232"/>
      <c r="T8641" s="270"/>
    </row>
    <row r="8642" spans="14:20" x14ac:dyDescent="0.25">
      <c r="N8642" s="362"/>
      <c r="R8642" s="210"/>
      <c r="S8642" s="232"/>
      <c r="T8642" s="270"/>
    </row>
    <row r="8643" spans="14:20" x14ac:dyDescent="0.25">
      <c r="N8643" s="362"/>
      <c r="R8643" s="210"/>
      <c r="S8643" s="232"/>
      <c r="T8643" s="270"/>
    </row>
    <row r="8644" spans="14:20" x14ac:dyDescent="0.25">
      <c r="N8644" s="362"/>
      <c r="R8644" s="210"/>
      <c r="S8644" s="232"/>
      <c r="T8644" s="270"/>
    </row>
    <row r="8645" spans="14:20" x14ac:dyDescent="0.25">
      <c r="N8645" s="362"/>
      <c r="R8645" s="210"/>
      <c r="S8645" s="232"/>
      <c r="T8645" s="270"/>
    </row>
    <row r="8646" spans="14:20" x14ac:dyDescent="0.25">
      <c r="N8646" s="362"/>
      <c r="R8646" s="210"/>
      <c r="S8646" s="232"/>
      <c r="T8646" s="270"/>
    </row>
    <row r="8647" spans="14:20" x14ac:dyDescent="0.25">
      <c r="N8647" s="362"/>
      <c r="R8647" s="210"/>
      <c r="S8647" s="232"/>
      <c r="T8647" s="270"/>
    </row>
    <row r="8648" spans="14:20" x14ac:dyDescent="0.25">
      <c r="N8648" s="362"/>
      <c r="R8648" s="210"/>
      <c r="S8648" s="232"/>
      <c r="T8648" s="270"/>
    </row>
    <row r="8649" spans="14:20" x14ac:dyDescent="0.25">
      <c r="N8649" s="362"/>
      <c r="R8649" s="210"/>
      <c r="S8649" s="232"/>
      <c r="T8649" s="270"/>
    </row>
    <row r="8650" spans="14:20" x14ac:dyDescent="0.25">
      <c r="N8650" s="362"/>
      <c r="R8650" s="210"/>
      <c r="S8650" s="232"/>
      <c r="T8650" s="270"/>
    </row>
    <row r="8651" spans="14:20" x14ac:dyDescent="0.25">
      <c r="N8651" s="362"/>
      <c r="R8651" s="210"/>
      <c r="S8651" s="232"/>
      <c r="T8651" s="270"/>
    </row>
    <row r="8652" spans="14:20" x14ac:dyDescent="0.25">
      <c r="N8652" s="362"/>
      <c r="R8652" s="210"/>
      <c r="S8652" s="232"/>
      <c r="T8652" s="270"/>
    </row>
    <row r="8653" spans="14:20" x14ac:dyDescent="0.25">
      <c r="N8653" s="362"/>
      <c r="R8653" s="210"/>
      <c r="S8653" s="232"/>
      <c r="T8653" s="270"/>
    </row>
    <row r="8654" spans="14:20" x14ac:dyDescent="0.25">
      <c r="N8654" s="362"/>
      <c r="R8654" s="210"/>
      <c r="S8654" s="232"/>
      <c r="T8654" s="270"/>
    </row>
    <row r="8655" spans="14:20" x14ac:dyDescent="0.25">
      <c r="N8655" s="362"/>
      <c r="R8655" s="210"/>
      <c r="S8655" s="232"/>
      <c r="T8655" s="270"/>
    </row>
    <row r="8656" spans="14:20" x14ac:dyDescent="0.25">
      <c r="N8656" s="362"/>
      <c r="R8656" s="210"/>
      <c r="S8656" s="232"/>
      <c r="T8656" s="270"/>
    </row>
    <row r="8657" spans="14:20" x14ac:dyDescent="0.25">
      <c r="N8657" s="362"/>
      <c r="R8657" s="210"/>
      <c r="S8657" s="232"/>
      <c r="T8657" s="270"/>
    </row>
    <row r="8658" spans="14:20" x14ac:dyDescent="0.25">
      <c r="N8658" s="362"/>
      <c r="R8658" s="210"/>
      <c r="S8658" s="232"/>
      <c r="T8658" s="270"/>
    </row>
    <row r="8659" spans="14:20" x14ac:dyDescent="0.25">
      <c r="N8659" s="362"/>
      <c r="R8659" s="210"/>
      <c r="S8659" s="232"/>
      <c r="T8659" s="270"/>
    </row>
    <row r="8660" spans="14:20" x14ac:dyDescent="0.25">
      <c r="N8660" s="362"/>
      <c r="R8660" s="210"/>
      <c r="S8660" s="232"/>
      <c r="T8660" s="270"/>
    </row>
    <row r="8661" spans="14:20" x14ac:dyDescent="0.25">
      <c r="N8661" s="362"/>
      <c r="R8661" s="210"/>
      <c r="S8661" s="232"/>
      <c r="T8661" s="270"/>
    </row>
    <row r="8662" spans="14:20" x14ac:dyDescent="0.25">
      <c r="N8662" s="362"/>
      <c r="R8662" s="210"/>
      <c r="S8662" s="232"/>
      <c r="T8662" s="270"/>
    </row>
    <row r="8663" spans="14:20" x14ac:dyDescent="0.25">
      <c r="N8663" s="362"/>
      <c r="R8663" s="210"/>
      <c r="S8663" s="232"/>
      <c r="T8663" s="270"/>
    </row>
    <row r="8664" spans="14:20" x14ac:dyDescent="0.25">
      <c r="N8664" s="362"/>
      <c r="R8664" s="210"/>
      <c r="S8664" s="232"/>
      <c r="T8664" s="270"/>
    </row>
    <row r="8665" spans="14:20" x14ac:dyDescent="0.25">
      <c r="N8665" s="362"/>
      <c r="R8665" s="210"/>
      <c r="S8665" s="232"/>
      <c r="T8665" s="270"/>
    </row>
    <row r="8666" spans="14:20" x14ac:dyDescent="0.25">
      <c r="N8666" s="362"/>
      <c r="R8666" s="210"/>
      <c r="S8666" s="232"/>
      <c r="T8666" s="270"/>
    </row>
    <row r="8667" spans="14:20" x14ac:dyDescent="0.25">
      <c r="N8667" s="362"/>
      <c r="R8667" s="210"/>
      <c r="S8667" s="232"/>
      <c r="T8667" s="270"/>
    </row>
    <row r="8668" spans="14:20" x14ac:dyDescent="0.25">
      <c r="N8668" s="362"/>
      <c r="R8668" s="210"/>
      <c r="S8668" s="232"/>
      <c r="T8668" s="270"/>
    </row>
    <row r="8669" spans="14:20" x14ac:dyDescent="0.25">
      <c r="N8669" s="362"/>
      <c r="R8669" s="210"/>
      <c r="S8669" s="232"/>
      <c r="T8669" s="270"/>
    </row>
    <row r="8670" spans="14:20" x14ac:dyDescent="0.25">
      <c r="N8670" s="362"/>
      <c r="R8670" s="210"/>
      <c r="S8670" s="232"/>
      <c r="T8670" s="270"/>
    </row>
    <row r="8671" spans="14:20" x14ac:dyDescent="0.25">
      <c r="N8671" s="362"/>
      <c r="R8671" s="210"/>
      <c r="S8671" s="232"/>
      <c r="T8671" s="270"/>
    </row>
    <row r="8672" spans="14:20" x14ac:dyDescent="0.25">
      <c r="N8672" s="362"/>
      <c r="R8672" s="210"/>
      <c r="S8672" s="232"/>
      <c r="T8672" s="270"/>
    </row>
    <row r="8673" spans="14:20" x14ac:dyDescent="0.25">
      <c r="N8673" s="362"/>
      <c r="R8673" s="210"/>
      <c r="S8673" s="232"/>
      <c r="T8673" s="270"/>
    </row>
    <row r="8674" spans="14:20" x14ac:dyDescent="0.25">
      <c r="N8674" s="362"/>
      <c r="R8674" s="210"/>
      <c r="S8674" s="232"/>
      <c r="T8674" s="270"/>
    </row>
    <row r="8675" spans="14:20" x14ac:dyDescent="0.25">
      <c r="N8675" s="362"/>
      <c r="R8675" s="210"/>
      <c r="S8675" s="232"/>
      <c r="T8675" s="270"/>
    </row>
    <row r="8676" spans="14:20" x14ac:dyDescent="0.25">
      <c r="N8676" s="362"/>
      <c r="R8676" s="210"/>
      <c r="S8676" s="232"/>
      <c r="T8676" s="270"/>
    </row>
    <row r="8677" spans="14:20" x14ac:dyDescent="0.25">
      <c r="N8677" s="362"/>
      <c r="R8677" s="210"/>
      <c r="S8677" s="232"/>
      <c r="T8677" s="270"/>
    </row>
    <row r="8678" spans="14:20" x14ac:dyDescent="0.25">
      <c r="N8678" s="362"/>
      <c r="R8678" s="210"/>
      <c r="S8678" s="232"/>
      <c r="T8678" s="270"/>
    </row>
    <row r="8679" spans="14:20" x14ac:dyDescent="0.25">
      <c r="N8679" s="362"/>
      <c r="R8679" s="210"/>
      <c r="S8679" s="232"/>
      <c r="T8679" s="270"/>
    </row>
    <row r="8680" spans="14:20" x14ac:dyDescent="0.25">
      <c r="N8680" s="362"/>
      <c r="R8680" s="210"/>
      <c r="S8680" s="232"/>
      <c r="T8680" s="270"/>
    </row>
    <row r="8681" spans="14:20" x14ac:dyDescent="0.25">
      <c r="N8681" s="362"/>
      <c r="R8681" s="210"/>
      <c r="S8681" s="232"/>
      <c r="T8681" s="270"/>
    </row>
    <row r="8682" spans="14:20" x14ac:dyDescent="0.25">
      <c r="N8682" s="362"/>
      <c r="R8682" s="210"/>
      <c r="S8682" s="232"/>
      <c r="T8682" s="270"/>
    </row>
    <row r="8683" spans="14:20" x14ac:dyDescent="0.25">
      <c r="N8683" s="362"/>
      <c r="R8683" s="210"/>
      <c r="S8683" s="232"/>
      <c r="T8683" s="270"/>
    </row>
    <row r="8684" spans="14:20" x14ac:dyDescent="0.25">
      <c r="N8684" s="362"/>
      <c r="R8684" s="210"/>
      <c r="S8684" s="232"/>
      <c r="T8684" s="270"/>
    </row>
    <row r="8685" spans="14:20" x14ac:dyDescent="0.25">
      <c r="N8685" s="362"/>
      <c r="R8685" s="210"/>
      <c r="S8685" s="232"/>
      <c r="T8685" s="270"/>
    </row>
    <row r="8686" spans="14:20" x14ac:dyDescent="0.25">
      <c r="N8686" s="362"/>
      <c r="R8686" s="210"/>
      <c r="S8686" s="232"/>
      <c r="T8686" s="270"/>
    </row>
    <row r="8687" spans="14:20" x14ac:dyDescent="0.25">
      <c r="N8687" s="362"/>
      <c r="R8687" s="210"/>
      <c r="S8687" s="232"/>
      <c r="T8687" s="270"/>
    </row>
    <row r="8688" spans="14:20" x14ac:dyDescent="0.25">
      <c r="N8688" s="362"/>
      <c r="R8688" s="210"/>
      <c r="S8688" s="232"/>
      <c r="T8688" s="270"/>
    </row>
    <row r="8689" spans="14:20" x14ac:dyDescent="0.25">
      <c r="N8689" s="362"/>
      <c r="R8689" s="210"/>
      <c r="S8689" s="232"/>
      <c r="T8689" s="270"/>
    </row>
    <row r="8690" spans="14:20" x14ac:dyDescent="0.25">
      <c r="N8690" s="362"/>
      <c r="R8690" s="210"/>
      <c r="S8690" s="232"/>
      <c r="T8690" s="270"/>
    </row>
    <row r="8691" spans="14:20" x14ac:dyDescent="0.25">
      <c r="N8691" s="362"/>
      <c r="R8691" s="210"/>
      <c r="S8691" s="232"/>
      <c r="T8691" s="270"/>
    </row>
    <row r="8692" spans="14:20" x14ac:dyDescent="0.25">
      <c r="N8692" s="362"/>
      <c r="R8692" s="210"/>
      <c r="S8692" s="232"/>
      <c r="T8692" s="270"/>
    </row>
    <row r="8693" spans="14:20" x14ac:dyDescent="0.25">
      <c r="N8693" s="362"/>
      <c r="R8693" s="210"/>
      <c r="S8693" s="232"/>
      <c r="T8693" s="270"/>
    </row>
    <row r="8694" spans="14:20" x14ac:dyDescent="0.25">
      <c r="N8694" s="362"/>
      <c r="R8694" s="210"/>
      <c r="S8694" s="232"/>
      <c r="T8694" s="270"/>
    </row>
    <row r="8695" spans="14:20" x14ac:dyDescent="0.25">
      <c r="N8695" s="362"/>
      <c r="R8695" s="210"/>
      <c r="S8695" s="232"/>
      <c r="T8695" s="270"/>
    </row>
    <row r="8696" spans="14:20" x14ac:dyDescent="0.25">
      <c r="N8696" s="362"/>
      <c r="R8696" s="210"/>
      <c r="S8696" s="232"/>
      <c r="T8696" s="270"/>
    </row>
    <row r="8697" spans="14:20" x14ac:dyDescent="0.25">
      <c r="N8697" s="362"/>
      <c r="R8697" s="210"/>
      <c r="S8697" s="232"/>
      <c r="T8697" s="270"/>
    </row>
    <row r="8698" spans="14:20" x14ac:dyDescent="0.25">
      <c r="N8698" s="362"/>
      <c r="R8698" s="210"/>
      <c r="S8698" s="232"/>
      <c r="T8698" s="270"/>
    </row>
    <row r="8699" spans="14:20" x14ac:dyDescent="0.25">
      <c r="N8699" s="362"/>
      <c r="R8699" s="210"/>
      <c r="S8699" s="232"/>
      <c r="T8699" s="270"/>
    </row>
    <row r="8700" spans="14:20" x14ac:dyDescent="0.25">
      <c r="N8700" s="362"/>
      <c r="R8700" s="210"/>
      <c r="S8700" s="232"/>
      <c r="T8700" s="270"/>
    </row>
    <row r="8701" spans="14:20" x14ac:dyDescent="0.25">
      <c r="N8701" s="362"/>
      <c r="R8701" s="210"/>
      <c r="S8701" s="232"/>
      <c r="T8701" s="270"/>
    </row>
    <row r="8702" spans="14:20" x14ac:dyDescent="0.25">
      <c r="N8702" s="362"/>
      <c r="R8702" s="210"/>
      <c r="S8702" s="232"/>
      <c r="T8702" s="270"/>
    </row>
    <row r="8703" spans="14:20" x14ac:dyDescent="0.25">
      <c r="N8703" s="362"/>
      <c r="R8703" s="210"/>
      <c r="S8703" s="232"/>
      <c r="T8703" s="270"/>
    </row>
    <row r="8704" spans="14:20" x14ac:dyDescent="0.25">
      <c r="N8704" s="362"/>
      <c r="R8704" s="210"/>
      <c r="S8704" s="232"/>
      <c r="T8704" s="270"/>
    </row>
    <row r="8705" spans="14:20" x14ac:dyDescent="0.25">
      <c r="N8705" s="362"/>
      <c r="R8705" s="210"/>
      <c r="S8705" s="232"/>
      <c r="T8705" s="270"/>
    </row>
    <row r="8706" spans="14:20" x14ac:dyDescent="0.25">
      <c r="N8706" s="362"/>
      <c r="R8706" s="210"/>
      <c r="S8706" s="232"/>
      <c r="T8706" s="270"/>
    </row>
    <row r="8707" spans="14:20" x14ac:dyDescent="0.25">
      <c r="N8707" s="362"/>
      <c r="R8707" s="210"/>
      <c r="S8707" s="232"/>
      <c r="T8707" s="270"/>
    </row>
    <row r="8708" spans="14:20" x14ac:dyDescent="0.25">
      <c r="N8708" s="362"/>
      <c r="R8708" s="210"/>
      <c r="S8708" s="232"/>
      <c r="T8708" s="270"/>
    </row>
    <row r="8709" spans="14:20" x14ac:dyDescent="0.25">
      <c r="N8709" s="362"/>
      <c r="R8709" s="210"/>
      <c r="S8709" s="232"/>
      <c r="T8709" s="270"/>
    </row>
    <row r="8710" spans="14:20" x14ac:dyDescent="0.25">
      <c r="N8710" s="362"/>
      <c r="R8710" s="210"/>
      <c r="S8710" s="232"/>
      <c r="T8710" s="270"/>
    </row>
    <row r="8711" spans="14:20" x14ac:dyDescent="0.25">
      <c r="N8711" s="362"/>
      <c r="R8711" s="210"/>
      <c r="S8711" s="232"/>
      <c r="T8711" s="270"/>
    </row>
    <row r="8712" spans="14:20" x14ac:dyDescent="0.25">
      <c r="N8712" s="362"/>
      <c r="R8712" s="210"/>
      <c r="S8712" s="232"/>
      <c r="T8712" s="270"/>
    </row>
    <row r="8713" spans="14:20" x14ac:dyDescent="0.25">
      <c r="N8713" s="362"/>
      <c r="R8713" s="210"/>
      <c r="S8713" s="232"/>
      <c r="T8713" s="270"/>
    </row>
    <row r="8714" spans="14:20" x14ac:dyDescent="0.25">
      <c r="N8714" s="362"/>
      <c r="R8714" s="210"/>
      <c r="S8714" s="232"/>
      <c r="T8714" s="270"/>
    </row>
    <row r="8715" spans="14:20" x14ac:dyDescent="0.25">
      <c r="N8715" s="362"/>
      <c r="R8715" s="210"/>
      <c r="S8715" s="232"/>
      <c r="T8715" s="270"/>
    </row>
    <row r="8716" spans="14:20" x14ac:dyDescent="0.25">
      <c r="N8716" s="362"/>
      <c r="R8716" s="210"/>
      <c r="S8716" s="232"/>
      <c r="T8716" s="270"/>
    </row>
    <row r="8717" spans="14:20" x14ac:dyDescent="0.25">
      <c r="N8717" s="362"/>
      <c r="R8717" s="210"/>
      <c r="S8717" s="232"/>
      <c r="T8717" s="270"/>
    </row>
    <row r="8718" spans="14:20" x14ac:dyDescent="0.25">
      <c r="N8718" s="362"/>
      <c r="R8718" s="210"/>
      <c r="S8718" s="232"/>
      <c r="T8718" s="270"/>
    </row>
    <row r="8719" spans="14:20" x14ac:dyDescent="0.25">
      <c r="N8719" s="362"/>
      <c r="R8719" s="210"/>
      <c r="S8719" s="232"/>
      <c r="T8719" s="270"/>
    </row>
    <row r="8720" spans="14:20" x14ac:dyDescent="0.25">
      <c r="N8720" s="362"/>
      <c r="R8720" s="210"/>
      <c r="S8720" s="232"/>
      <c r="T8720" s="270"/>
    </row>
    <row r="8721" spans="14:20" x14ac:dyDescent="0.25">
      <c r="N8721" s="362"/>
      <c r="R8721" s="210"/>
      <c r="S8721" s="232"/>
      <c r="T8721" s="270"/>
    </row>
    <row r="8722" spans="14:20" x14ac:dyDescent="0.25">
      <c r="N8722" s="362"/>
      <c r="R8722" s="210"/>
      <c r="S8722" s="232"/>
      <c r="T8722" s="270"/>
    </row>
    <row r="8723" spans="14:20" x14ac:dyDescent="0.25">
      <c r="N8723" s="362"/>
      <c r="R8723" s="210"/>
      <c r="S8723" s="232"/>
      <c r="T8723" s="270"/>
    </row>
    <row r="8724" spans="14:20" x14ac:dyDescent="0.25">
      <c r="N8724" s="362"/>
      <c r="R8724" s="210"/>
      <c r="S8724" s="232"/>
      <c r="T8724" s="270"/>
    </row>
    <row r="8725" spans="14:20" x14ac:dyDescent="0.25">
      <c r="N8725" s="362"/>
      <c r="R8725" s="210"/>
      <c r="S8725" s="232"/>
      <c r="T8725" s="270"/>
    </row>
    <row r="8726" spans="14:20" x14ac:dyDescent="0.25">
      <c r="N8726" s="362"/>
      <c r="R8726" s="210"/>
      <c r="S8726" s="232"/>
      <c r="T8726" s="270"/>
    </row>
    <row r="8727" spans="14:20" x14ac:dyDescent="0.25">
      <c r="N8727" s="362"/>
      <c r="R8727" s="210"/>
      <c r="S8727" s="232"/>
      <c r="T8727" s="270"/>
    </row>
    <row r="8728" spans="14:20" x14ac:dyDescent="0.25">
      <c r="N8728" s="362"/>
      <c r="R8728" s="210"/>
      <c r="S8728" s="232"/>
      <c r="T8728" s="270"/>
    </row>
    <row r="8729" spans="14:20" x14ac:dyDescent="0.25">
      <c r="N8729" s="362"/>
      <c r="R8729" s="210"/>
      <c r="S8729" s="232"/>
      <c r="T8729" s="270"/>
    </row>
    <row r="8730" spans="14:20" x14ac:dyDescent="0.25">
      <c r="N8730" s="362"/>
      <c r="R8730" s="210"/>
      <c r="S8730" s="232"/>
      <c r="T8730" s="270"/>
    </row>
    <row r="8731" spans="14:20" x14ac:dyDescent="0.25">
      <c r="N8731" s="362"/>
      <c r="R8731" s="210"/>
      <c r="S8731" s="232"/>
      <c r="T8731" s="270"/>
    </row>
    <row r="8732" spans="14:20" x14ac:dyDescent="0.25">
      <c r="N8732" s="362"/>
      <c r="R8732" s="210"/>
      <c r="S8732" s="232"/>
      <c r="T8732" s="270"/>
    </row>
    <row r="8733" spans="14:20" x14ac:dyDescent="0.25">
      <c r="N8733" s="362"/>
      <c r="R8733" s="210"/>
      <c r="S8733" s="232"/>
      <c r="T8733" s="270"/>
    </row>
    <row r="8734" spans="14:20" x14ac:dyDescent="0.25">
      <c r="N8734" s="362"/>
      <c r="R8734" s="210"/>
      <c r="S8734" s="232"/>
      <c r="T8734" s="270"/>
    </row>
    <row r="8735" spans="14:20" x14ac:dyDescent="0.25">
      <c r="N8735" s="362"/>
      <c r="R8735" s="210"/>
      <c r="S8735" s="232"/>
      <c r="T8735" s="270"/>
    </row>
    <row r="8736" spans="14:20" x14ac:dyDescent="0.25">
      <c r="N8736" s="362"/>
      <c r="R8736" s="210"/>
      <c r="S8736" s="232"/>
      <c r="T8736" s="270"/>
    </row>
    <row r="8737" spans="14:20" x14ac:dyDescent="0.25">
      <c r="N8737" s="362"/>
      <c r="R8737" s="210"/>
      <c r="S8737" s="232"/>
      <c r="T8737" s="270"/>
    </row>
    <row r="8738" spans="14:20" x14ac:dyDescent="0.25">
      <c r="N8738" s="362"/>
      <c r="R8738" s="210"/>
      <c r="S8738" s="232"/>
      <c r="T8738" s="270"/>
    </row>
    <row r="8739" spans="14:20" x14ac:dyDescent="0.25">
      <c r="N8739" s="362"/>
      <c r="R8739" s="210"/>
      <c r="S8739" s="232"/>
      <c r="T8739" s="270"/>
    </row>
    <row r="8740" spans="14:20" x14ac:dyDescent="0.25">
      <c r="N8740" s="362"/>
      <c r="R8740" s="210"/>
      <c r="S8740" s="232"/>
      <c r="T8740" s="270"/>
    </row>
    <row r="8741" spans="14:20" x14ac:dyDescent="0.25">
      <c r="N8741" s="362"/>
      <c r="R8741" s="210"/>
      <c r="S8741" s="232"/>
      <c r="T8741" s="270"/>
    </row>
    <row r="8742" spans="14:20" x14ac:dyDescent="0.25">
      <c r="N8742" s="362"/>
      <c r="R8742" s="210"/>
      <c r="S8742" s="232"/>
      <c r="T8742" s="270"/>
    </row>
    <row r="8743" spans="14:20" x14ac:dyDescent="0.25">
      <c r="N8743" s="362"/>
      <c r="R8743" s="210"/>
      <c r="S8743" s="232"/>
      <c r="T8743" s="270"/>
    </row>
    <row r="8744" spans="14:20" x14ac:dyDescent="0.25">
      <c r="N8744" s="362"/>
      <c r="R8744" s="210"/>
      <c r="S8744" s="232"/>
      <c r="T8744" s="270"/>
    </row>
    <row r="8745" spans="14:20" x14ac:dyDescent="0.25">
      <c r="N8745" s="362"/>
      <c r="R8745" s="210"/>
      <c r="S8745" s="232"/>
      <c r="T8745" s="270"/>
    </row>
    <row r="8746" spans="14:20" x14ac:dyDescent="0.25">
      <c r="N8746" s="362"/>
      <c r="R8746" s="210"/>
      <c r="S8746" s="232"/>
      <c r="T8746" s="270"/>
    </row>
    <row r="8747" spans="14:20" x14ac:dyDescent="0.25">
      <c r="N8747" s="362"/>
      <c r="R8747" s="210"/>
      <c r="S8747" s="232"/>
      <c r="T8747" s="270"/>
    </row>
    <row r="8748" spans="14:20" x14ac:dyDescent="0.25">
      <c r="N8748" s="362"/>
      <c r="R8748" s="210"/>
      <c r="S8748" s="232"/>
      <c r="T8748" s="270"/>
    </row>
    <row r="8749" spans="14:20" x14ac:dyDescent="0.25">
      <c r="N8749" s="362"/>
      <c r="R8749" s="210"/>
      <c r="S8749" s="232"/>
      <c r="T8749" s="270"/>
    </row>
    <row r="8750" spans="14:20" x14ac:dyDescent="0.25">
      <c r="N8750" s="362"/>
      <c r="R8750" s="210"/>
      <c r="S8750" s="232"/>
      <c r="T8750" s="270"/>
    </row>
    <row r="8751" spans="14:20" x14ac:dyDescent="0.25">
      <c r="N8751" s="362"/>
      <c r="R8751" s="210"/>
      <c r="S8751" s="232"/>
      <c r="T8751" s="270"/>
    </row>
    <row r="8752" spans="14:20" x14ac:dyDescent="0.25">
      <c r="N8752" s="362"/>
      <c r="R8752" s="210"/>
      <c r="S8752" s="232"/>
      <c r="T8752" s="270"/>
    </row>
    <row r="8753" spans="14:20" x14ac:dyDescent="0.25">
      <c r="N8753" s="362"/>
      <c r="R8753" s="210"/>
      <c r="S8753" s="232"/>
      <c r="T8753" s="270"/>
    </row>
    <row r="8754" spans="14:20" x14ac:dyDescent="0.25">
      <c r="N8754" s="362"/>
      <c r="R8754" s="210"/>
      <c r="S8754" s="232"/>
      <c r="T8754" s="270"/>
    </row>
    <row r="8755" spans="14:20" x14ac:dyDescent="0.25">
      <c r="N8755" s="362"/>
      <c r="R8755" s="210"/>
      <c r="S8755" s="232"/>
      <c r="T8755" s="270"/>
    </row>
    <row r="8756" spans="14:20" x14ac:dyDescent="0.25">
      <c r="N8756" s="362"/>
      <c r="R8756" s="210"/>
      <c r="S8756" s="232"/>
      <c r="T8756" s="270"/>
    </row>
    <row r="8757" spans="14:20" x14ac:dyDescent="0.25">
      <c r="N8757" s="362"/>
      <c r="R8757" s="210"/>
      <c r="S8757" s="232"/>
      <c r="T8757" s="270"/>
    </row>
    <row r="8758" spans="14:20" x14ac:dyDescent="0.25">
      <c r="N8758" s="362"/>
      <c r="R8758" s="210"/>
      <c r="S8758" s="232"/>
      <c r="T8758" s="270"/>
    </row>
    <row r="8759" spans="14:20" x14ac:dyDescent="0.25">
      <c r="N8759" s="362"/>
      <c r="R8759" s="210"/>
      <c r="S8759" s="232"/>
      <c r="T8759" s="270"/>
    </row>
    <row r="8760" spans="14:20" x14ac:dyDescent="0.25">
      <c r="N8760" s="362"/>
      <c r="R8760" s="210"/>
      <c r="S8760" s="232"/>
      <c r="T8760" s="270"/>
    </row>
    <row r="8761" spans="14:20" x14ac:dyDescent="0.25">
      <c r="N8761" s="362"/>
      <c r="R8761" s="210"/>
      <c r="S8761" s="232"/>
      <c r="T8761" s="270"/>
    </row>
    <row r="8762" spans="14:20" x14ac:dyDescent="0.25">
      <c r="N8762" s="362"/>
      <c r="R8762" s="210"/>
      <c r="S8762" s="232"/>
      <c r="T8762" s="270"/>
    </row>
    <row r="8763" spans="14:20" x14ac:dyDescent="0.25">
      <c r="N8763" s="362"/>
      <c r="R8763" s="210"/>
      <c r="S8763" s="232"/>
      <c r="T8763" s="270"/>
    </row>
    <row r="8764" spans="14:20" x14ac:dyDescent="0.25">
      <c r="N8764" s="362"/>
      <c r="R8764" s="210"/>
      <c r="S8764" s="232"/>
      <c r="T8764" s="270"/>
    </row>
    <row r="8765" spans="14:20" x14ac:dyDescent="0.25">
      <c r="N8765" s="362"/>
      <c r="R8765" s="210"/>
      <c r="S8765" s="232"/>
      <c r="T8765" s="270"/>
    </row>
    <row r="8766" spans="14:20" x14ac:dyDescent="0.25">
      <c r="N8766" s="362"/>
      <c r="R8766" s="210"/>
      <c r="S8766" s="232"/>
      <c r="T8766" s="270"/>
    </row>
    <row r="8767" spans="14:20" x14ac:dyDescent="0.25">
      <c r="N8767" s="362"/>
      <c r="R8767" s="210"/>
      <c r="S8767" s="232"/>
      <c r="T8767" s="270"/>
    </row>
    <row r="8768" spans="14:20" x14ac:dyDescent="0.25">
      <c r="N8768" s="362"/>
      <c r="R8768" s="210"/>
      <c r="S8768" s="232"/>
      <c r="T8768" s="270"/>
    </row>
    <row r="8769" spans="14:20" x14ac:dyDescent="0.25">
      <c r="N8769" s="362"/>
      <c r="R8769" s="210"/>
      <c r="S8769" s="232"/>
      <c r="T8769" s="270"/>
    </row>
    <row r="8770" spans="14:20" x14ac:dyDescent="0.25">
      <c r="N8770" s="362"/>
      <c r="R8770" s="210"/>
      <c r="S8770" s="232"/>
      <c r="T8770" s="270"/>
    </row>
    <row r="8771" spans="14:20" x14ac:dyDescent="0.25">
      <c r="N8771" s="362"/>
      <c r="R8771" s="210"/>
      <c r="S8771" s="232"/>
      <c r="T8771" s="270"/>
    </row>
    <row r="8772" spans="14:20" x14ac:dyDescent="0.25">
      <c r="N8772" s="362"/>
      <c r="R8772" s="210"/>
      <c r="S8772" s="232"/>
      <c r="T8772" s="270"/>
    </row>
    <row r="8773" spans="14:20" x14ac:dyDescent="0.25">
      <c r="N8773" s="362"/>
      <c r="R8773" s="210"/>
      <c r="S8773" s="232"/>
      <c r="T8773" s="270"/>
    </row>
    <row r="8774" spans="14:20" x14ac:dyDescent="0.25">
      <c r="N8774" s="362"/>
      <c r="R8774" s="210"/>
      <c r="S8774" s="232"/>
      <c r="T8774" s="270"/>
    </row>
    <row r="8775" spans="14:20" x14ac:dyDescent="0.25">
      <c r="N8775" s="362"/>
      <c r="R8775" s="210"/>
      <c r="S8775" s="232"/>
      <c r="T8775" s="270"/>
    </row>
    <row r="8776" spans="14:20" x14ac:dyDescent="0.25">
      <c r="N8776" s="362"/>
      <c r="R8776" s="210"/>
      <c r="S8776" s="232"/>
      <c r="T8776" s="270"/>
    </row>
    <row r="8777" spans="14:20" x14ac:dyDescent="0.25">
      <c r="N8777" s="362"/>
      <c r="R8777" s="210"/>
      <c r="S8777" s="232"/>
      <c r="T8777" s="270"/>
    </row>
    <row r="8778" spans="14:20" x14ac:dyDescent="0.25">
      <c r="N8778" s="362"/>
      <c r="R8778" s="210"/>
      <c r="S8778" s="232"/>
      <c r="T8778" s="270"/>
    </row>
    <row r="8779" spans="14:20" x14ac:dyDescent="0.25">
      <c r="N8779" s="362"/>
      <c r="R8779" s="210"/>
      <c r="S8779" s="232"/>
      <c r="T8779" s="270"/>
    </row>
    <row r="8780" spans="14:20" x14ac:dyDescent="0.25">
      <c r="N8780" s="362"/>
      <c r="R8780" s="210"/>
      <c r="S8780" s="232"/>
      <c r="T8780" s="270"/>
    </row>
    <row r="8781" spans="14:20" x14ac:dyDescent="0.25">
      <c r="N8781" s="362"/>
      <c r="R8781" s="210"/>
      <c r="S8781" s="232"/>
      <c r="T8781" s="270"/>
    </row>
    <row r="8782" spans="14:20" x14ac:dyDescent="0.25">
      <c r="N8782" s="362"/>
      <c r="R8782" s="210"/>
      <c r="S8782" s="232"/>
      <c r="T8782" s="270"/>
    </row>
    <row r="8783" spans="14:20" x14ac:dyDescent="0.25">
      <c r="N8783" s="362"/>
      <c r="R8783" s="210"/>
      <c r="S8783" s="232"/>
      <c r="T8783" s="270"/>
    </row>
    <row r="8784" spans="14:20" x14ac:dyDescent="0.25">
      <c r="N8784" s="362"/>
      <c r="R8784" s="210"/>
      <c r="S8784" s="232"/>
      <c r="T8784" s="270"/>
    </row>
    <row r="8785" spans="14:20" x14ac:dyDescent="0.25">
      <c r="N8785" s="362"/>
      <c r="R8785" s="210"/>
      <c r="S8785" s="232"/>
      <c r="T8785" s="270"/>
    </row>
    <row r="8786" spans="14:20" x14ac:dyDescent="0.25">
      <c r="N8786" s="362"/>
      <c r="R8786" s="210"/>
      <c r="S8786" s="232"/>
      <c r="T8786" s="270"/>
    </row>
    <row r="8787" spans="14:20" x14ac:dyDescent="0.25">
      <c r="N8787" s="362"/>
      <c r="R8787" s="210"/>
      <c r="S8787" s="232"/>
      <c r="T8787" s="270"/>
    </row>
    <row r="8788" spans="14:20" x14ac:dyDescent="0.25">
      <c r="N8788" s="362"/>
      <c r="R8788" s="210"/>
      <c r="S8788" s="232"/>
      <c r="T8788" s="270"/>
    </row>
    <row r="8789" spans="14:20" x14ac:dyDescent="0.25">
      <c r="N8789" s="362"/>
      <c r="R8789" s="210"/>
      <c r="S8789" s="232"/>
      <c r="T8789" s="270"/>
    </row>
    <row r="8790" spans="14:20" x14ac:dyDescent="0.25">
      <c r="N8790" s="362"/>
      <c r="R8790" s="210"/>
      <c r="S8790" s="232"/>
      <c r="T8790" s="270"/>
    </row>
    <row r="8791" spans="14:20" x14ac:dyDescent="0.25">
      <c r="N8791" s="362"/>
      <c r="R8791" s="210"/>
      <c r="S8791" s="232"/>
      <c r="T8791" s="270"/>
    </row>
    <row r="8792" spans="14:20" x14ac:dyDescent="0.25">
      <c r="N8792" s="362"/>
      <c r="R8792" s="210"/>
      <c r="S8792" s="232"/>
      <c r="T8792" s="270"/>
    </row>
    <row r="8793" spans="14:20" x14ac:dyDescent="0.25">
      <c r="N8793" s="362"/>
      <c r="R8793" s="210"/>
      <c r="S8793" s="232"/>
      <c r="T8793" s="270"/>
    </row>
    <row r="8794" spans="14:20" x14ac:dyDescent="0.25">
      <c r="N8794" s="362"/>
      <c r="R8794" s="210"/>
      <c r="S8794" s="232"/>
      <c r="T8794" s="270"/>
    </row>
    <row r="8795" spans="14:20" x14ac:dyDescent="0.25">
      <c r="N8795" s="362"/>
      <c r="R8795" s="210"/>
      <c r="S8795" s="232"/>
      <c r="T8795" s="270"/>
    </row>
    <row r="8796" spans="14:20" x14ac:dyDescent="0.25">
      <c r="N8796" s="362"/>
      <c r="R8796" s="210"/>
      <c r="S8796" s="232"/>
      <c r="T8796" s="270"/>
    </row>
    <row r="8797" spans="14:20" x14ac:dyDescent="0.25">
      <c r="N8797" s="362"/>
      <c r="R8797" s="210"/>
      <c r="S8797" s="232"/>
      <c r="T8797" s="270"/>
    </row>
    <row r="8798" spans="14:20" x14ac:dyDescent="0.25">
      <c r="N8798" s="362"/>
      <c r="R8798" s="210"/>
      <c r="S8798" s="232"/>
      <c r="T8798" s="270"/>
    </row>
    <row r="8799" spans="14:20" x14ac:dyDescent="0.25">
      <c r="N8799" s="362"/>
      <c r="R8799" s="210"/>
      <c r="S8799" s="232"/>
      <c r="T8799" s="270"/>
    </row>
    <row r="8800" spans="14:20" x14ac:dyDescent="0.25">
      <c r="N8800" s="362"/>
      <c r="R8800" s="210"/>
      <c r="S8800" s="232"/>
      <c r="T8800" s="270"/>
    </row>
    <row r="8801" spans="14:20" x14ac:dyDescent="0.25">
      <c r="N8801" s="362"/>
      <c r="R8801" s="210"/>
      <c r="S8801" s="232"/>
      <c r="T8801" s="270"/>
    </row>
    <row r="8802" spans="14:20" x14ac:dyDescent="0.25">
      <c r="N8802" s="362"/>
      <c r="R8802" s="210"/>
      <c r="S8802" s="232"/>
      <c r="T8802" s="270"/>
    </row>
    <row r="8803" spans="14:20" x14ac:dyDescent="0.25">
      <c r="N8803" s="362"/>
      <c r="R8803" s="210"/>
      <c r="S8803" s="232"/>
      <c r="T8803" s="270"/>
    </row>
    <row r="8804" spans="14:20" x14ac:dyDescent="0.25">
      <c r="N8804" s="362"/>
      <c r="R8804" s="210"/>
      <c r="S8804" s="232"/>
      <c r="T8804" s="270"/>
    </row>
    <row r="8805" spans="14:20" x14ac:dyDescent="0.25">
      <c r="N8805" s="362"/>
      <c r="R8805" s="210"/>
      <c r="S8805" s="232"/>
      <c r="T8805" s="270"/>
    </row>
    <row r="8806" spans="14:20" x14ac:dyDescent="0.25">
      <c r="N8806" s="362"/>
      <c r="R8806" s="210"/>
      <c r="S8806" s="232"/>
      <c r="T8806" s="270"/>
    </row>
    <row r="8807" spans="14:20" x14ac:dyDescent="0.25">
      <c r="N8807" s="362"/>
      <c r="R8807" s="210"/>
      <c r="S8807" s="232"/>
      <c r="T8807" s="270"/>
    </row>
    <row r="8808" spans="14:20" x14ac:dyDescent="0.25">
      <c r="N8808" s="362"/>
      <c r="R8808" s="210"/>
      <c r="S8808" s="232"/>
      <c r="T8808" s="270"/>
    </row>
    <row r="8809" spans="14:20" x14ac:dyDescent="0.25">
      <c r="N8809" s="362"/>
      <c r="R8809" s="210"/>
      <c r="S8809" s="232"/>
      <c r="T8809" s="270"/>
    </row>
    <row r="8810" spans="14:20" x14ac:dyDescent="0.25">
      <c r="N8810" s="362"/>
      <c r="R8810" s="210"/>
      <c r="S8810" s="232"/>
      <c r="T8810" s="270"/>
    </row>
    <row r="8811" spans="14:20" x14ac:dyDescent="0.25">
      <c r="N8811" s="362"/>
      <c r="R8811" s="210"/>
      <c r="S8811" s="232"/>
      <c r="T8811" s="270"/>
    </row>
    <row r="8812" spans="14:20" x14ac:dyDescent="0.25">
      <c r="N8812" s="362"/>
      <c r="R8812" s="210"/>
      <c r="S8812" s="232"/>
      <c r="T8812" s="270"/>
    </row>
    <row r="8813" spans="14:20" x14ac:dyDescent="0.25">
      <c r="N8813" s="362"/>
      <c r="R8813" s="210"/>
      <c r="S8813" s="232"/>
      <c r="T8813" s="270"/>
    </row>
    <row r="8814" spans="14:20" x14ac:dyDescent="0.25">
      <c r="N8814" s="362"/>
      <c r="R8814" s="210"/>
      <c r="S8814" s="232"/>
      <c r="T8814" s="270"/>
    </row>
    <row r="8815" spans="14:20" x14ac:dyDescent="0.25">
      <c r="N8815" s="362"/>
      <c r="R8815" s="210"/>
      <c r="S8815" s="232"/>
      <c r="T8815" s="270"/>
    </row>
    <row r="8816" spans="14:20" x14ac:dyDescent="0.25">
      <c r="N8816" s="362"/>
      <c r="R8816" s="210"/>
      <c r="S8816" s="232"/>
      <c r="T8816" s="270"/>
    </row>
    <row r="8817" spans="14:20" x14ac:dyDescent="0.25">
      <c r="N8817" s="362"/>
      <c r="R8817" s="210"/>
      <c r="S8817" s="232"/>
      <c r="T8817" s="270"/>
    </row>
    <row r="8818" spans="14:20" x14ac:dyDescent="0.25">
      <c r="N8818" s="362"/>
      <c r="R8818" s="210"/>
      <c r="S8818" s="232"/>
      <c r="T8818" s="270"/>
    </row>
    <row r="8819" spans="14:20" x14ac:dyDescent="0.25">
      <c r="N8819" s="362"/>
      <c r="R8819" s="210"/>
      <c r="S8819" s="232"/>
      <c r="T8819" s="270"/>
    </row>
    <row r="8820" spans="14:20" x14ac:dyDescent="0.25">
      <c r="N8820" s="362"/>
      <c r="R8820" s="210"/>
      <c r="S8820" s="232"/>
      <c r="T8820" s="270"/>
    </row>
    <row r="8821" spans="14:20" x14ac:dyDescent="0.25">
      <c r="N8821" s="362"/>
      <c r="R8821" s="210"/>
      <c r="S8821" s="232"/>
      <c r="T8821" s="270"/>
    </row>
    <row r="8822" spans="14:20" x14ac:dyDescent="0.25">
      <c r="N8822" s="362"/>
      <c r="R8822" s="210"/>
      <c r="S8822" s="232"/>
      <c r="T8822" s="270"/>
    </row>
    <row r="8823" spans="14:20" x14ac:dyDescent="0.25">
      <c r="N8823" s="362"/>
      <c r="R8823" s="210"/>
      <c r="S8823" s="232"/>
      <c r="T8823" s="270"/>
    </row>
    <row r="8824" spans="14:20" x14ac:dyDescent="0.25">
      <c r="N8824" s="362"/>
      <c r="R8824" s="210"/>
      <c r="S8824" s="232"/>
      <c r="T8824" s="270"/>
    </row>
    <row r="8825" spans="14:20" x14ac:dyDescent="0.25">
      <c r="N8825" s="362"/>
      <c r="R8825" s="210"/>
      <c r="S8825" s="232"/>
      <c r="T8825" s="270"/>
    </row>
    <row r="8826" spans="14:20" x14ac:dyDescent="0.25">
      <c r="N8826" s="362"/>
      <c r="R8826" s="210"/>
      <c r="S8826" s="232"/>
      <c r="T8826" s="270"/>
    </row>
    <row r="8827" spans="14:20" x14ac:dyDescent="0.25">
      <c r="N8827" s="362"/>
      <c r="R8827" s="210"/>
      <c r="S8827" s="232"/>
      <c r="T8827" s="270"/>
    </row>
    <row r="8828" spans="14:20" x14ac:dyDescent="0.25">
      <c r="N8828" s="362"/>
      <c r="R8828" s="210"/>
      <c r="S8828" s="232"/>
      <c r="T8828" s="270"/>
    </row>
    <row r="8829" spans="14:20" x14ac:dyDescent="0.25">
      <c r="N8829" s="362"/>
      <c r="R8829" s="210"/>
      <c r="S8829" s="232"/>
      <c r="T8829" s="270"/>
    </row>
    <row r="8830" spans="14:20" x14ac:dyDescent="0.25">
      <c r="N8830" s="362"/>
      <c r="R8830" s="210"/>
      <c r="S8830" s="232"/>
      <c r="T8830" s="270"/>
    </row>
    <row r="8831" spans="14:20" x14ac:dyDescent="0.25">
      <c r="N8831" s="362"/>
      <c r="R8831" s="210"/>
      <c r="S8831" s="232"/>
      <c r="T8831" s="270"/>
    </row>
    <row r="8832" spans="14:20" x14ac:dyDescent="0.25">
      <c r="N8832" s="362"/>
      <c r="R8832" s="210"/>
      <c r="S8832" s="232"/>
      <c r="T8832" s="270"/>
    </row>
    <row r="8833" spans="14:20" x14ac:dyDescent="0.25">
      <c r="N8833" s="362"/>
      <c r="R8833" s="210"/>
      <c r="S8833" s="232"/>
      <c r="T8833" s="270"/>
    </row>
    <row r="8834" spans="14:20" x14ac:dyDescent="0.25">
      <c r="N8834" s="362"/>
      <c r="R8834" s="210"/>
      <c r="S8834" s="232"/>
      <c r="T8834" s="270"/>
    </row>
    <row r="8835" spans="14:20" x14ac:dyDescent="0.25">
      <c r="N8835" s="362"/>
      <c r="R8835" s="210"/>
      <c r="S8835" s="232"/>
      <c r="T8835" s="270"/>
    </row>
    <row r="8836" spans="14:20" x14ac:dyDescent="0.25">
      <c r="N8836" s="362"/>
      <c r="R8836" s="210"/>
      <c r="S8836" s="232"/>
      <c r="T8836" s="270"/>
    </row>
    <row r="8837" spans="14:20" x14ac:dyDescent="0.25">
      <c r="N8837" s="362"/>
      <c r="R8837" s="210"/>
      <c r="S8837" s="232"/>
      <c r="T8837" s="270"/>
    </row>
    <row r="8838" spans="14:20" x14ac:dyDescent="0.25">
      <c r="N8838" s="362"/>
      <c r="R8838" s="210"/>
      <c r="S8838" s="232"/>
      <c r="T8838" s="270"/>
    </row>
    <row r="8839" spans="14:20" x14ac:dyDescent="0.25">
      <c r="N8839" s="362"/>
      <c r="R8839" s="210"/>
      <c r="S8839" s="232"/>
      <c r="T8839" s="270"/>
    </row>
    <row r="8840" spans="14:20" x14ac:dyDescent="0.25">
      <c r="N8840" s="362"/>
      <c r="R8840" s="210"/>
      <c r="S8840" s="232"/>
      <c r="T8840" s="270"/>
    </row>
    <row r="8841" spans="14:20" x14ac:dyDescent="0.25">
      <c r="N8841" s="362"/>
      <c r="R8841" s="210"/>
      <c r="S8841" s="232"/>
      <c r="T8841" s="270"/>
    </row>
    <row r="8842" spans="14:20" x14ac:dyDescent="0.25">
      <c r="N8842" s="362"/>
      <c r="R8842" s="210"/>
      <c r="S8842" s="232"/>
      <c r="T8842" s="270"/>
    </row>
    <row r="8843" spans="14:20" x14ac:dyDescent="0.25">
      <c r="N8843" s="362"/>
      <c r="R8843" s="210"/>
      <c r="S8843" s="232"/>
      <c r="T8843" s="270"/>
    </row>
    <row r="8844" spans="14:20" x14ac:dyDescent="0.25">
      <c r="N8844" s="362"/>
      <c r="R8844" s="210"/>
      <c r="S8844" s="232"/>
      <c r="T8844" s="270"/>
    </row>
    <row r="8845" spans="14:20" x14ac:dyDescent="0.25">
      <c r="N8845" s="362"/>
      <c r="R8845" s="210"/>
      <c r="S8845" s="232"/>
      <c r="T8845" s="270"/>
    </row>
    <row r="8846" spans="14:20" x14ac:dyDescent="0.25">
      <c r="N8846" s="362"/>
      <c r="R8846" s="210"/>
      <c r="S8846" s="232"/>
      <c r="T8846" s="270"/>
    </row>
    <row r="8847" spans="14:20" x14ac:dyDescent="0.25">
      <c r="N8847" s="362"/>
      <c r="R8847" s="210"/>
      <c r="S8847" s="232"/>
      <c r="T8847" s="270"/>
    </row>
    <row r="8848" spans="14:20" x14ac:dyDescent="0.25">
      <c r="N8848" s="362"/>
      <c r="R8848" s="210"/>
      <c r="S8848" s="232"/>
      <c r="T8848" s="270"/>
    </row>
    <row r="8849" spans="14:20" x14ac:dyDescent="0.25">
      <c r="N8849" s="362"/>
      <c r="R8849" s="210"/>
      <c r="S8849" s="232"/>
      <c r="T8849" s="270"/>
    </row>
    <row r="8850" spans="14:20" x14ac:dyDescent="0.25">
      <c r="N8850" s="362"/>
      <c r="R8850" s="210"/>
      <c r="S8850" s="232"/>
      <c r="T8850" s="270"/>
    </row>
    <row r="8851" spans="14:20" x14ac:dyDescent="0.25">
      <c r="N8851" s="362"/>
      <c r="R8851" s="210"/>
      <c r="S8851" s="232"/>
      <c r="T8851" s="270"/>
    </row>
    <row r="8852" spans="14:20" x14ac:dyDescent="0.25">
      <c r="N8852" s="362"/>
      <c r="R8852" s="210"/>
      <c r="S8852" s="232"/>
      <c r="T8852" s="270"/>
    </row>
    <row r="8853" spans="14:20" x14ac:dyDescent="0.25">
      <c r="N8853" s="362"/>
      <c r="R8853" s="210"/>
      <c r="S8853" s="232"/>
      <c r="T8853" s="270"/>
    </row>
    <row r="8854" spans="14:20" x14ac:dyDescent="0.25">
      <c r="N8854" s="362"/>
      <c r="R8854" s="210"/>
      <c r="S8854" s="232"/>
      <c r="T8854" s="270"/>
    </row>
    <row r="8855" spans="14:20" x14ac:dyDescent="0.25">
      <c r="N8855" s="362"/>
      <c r="R8855" s="210"/>
      <c r="S8855" s="232"/>
      <c r="T8855" s="270"/>
    </row>
    <row r="8856" spans="14:20" x14ac:dyDescent="0.25">
      <c r="N8856" s="362"/>
      <c r="R8856" s="210"/>
      <c r="S8856" s="232"/>
      <c r="T8856" s="270"/>
    </row>
    <row r="8857" spans="14:20" x14ac:dyDescent="0.25">
      <c r="N8857" s="362"/>
      <c r="R8857" s="210"/>
      <c r="S8857" s="232"/>
      <c r="T8857" s="270"/>
    </row>
    <row r="8858" spans="14:20" x14ac:dyDescent="0.25">
      <c r="N8858" s="362"/>
      <c r="R8858" s="210"/>
      <c r="S8858" s="232"/>
      <c r="T8858" s="270"/>
    </row>
    <row r="8859" spans="14:20" x14ac:dyDescent="0.25">
      <c r="N8859" s="362"/>
      <c r="R8859" s="210"/>
      <c r="S8859" s="232"/>
      <c r="T8859" s="270"/>
    </row>
    <row r="8860" spans="14:20" x14ac:dyDescent="0.25">
      <c r="N8860" s="362"/>
      <c r="R8860" s="210"/>
      <c r="S8860" s="232"/>
      <c r="T8860" s="270"/>
    </row>
    <row r="8861" spans="14:20" x14ac:dyDescent="0.25">
      <c r="N8861" s="362"/>
      <c r="R8861" s="210"/>
      <c r="S8861" s="232"/>
      <c r="T8861" s="270"/>
    </row>
    <row r="8862" spans="14:20" x14ac:dyDescent="0.25">
      <c r="N8862" s="362"/>
      <c r="R8862" s="210"/>
      <c r="S8862" s="232"/>
      <c r="T8862" s="270"/>
    </row>
    <row r="8863" spans="14:20" x14ac:dyDescent="0.25">
      <c r="N8863" s="362"/>
      <c r="R8863" s="210"/>
      <c r="S8863" s="232"/>
      <c r="T8863" s="270"/>
    </row>
    <row r="8864" spans="14:20" x14ac:dyDescent="0.25">
      <c r="N8864" s="362"/>
      <c r="R8864" s="210"/>
      <c r="S8864" s="232"/>
      <c r="T8864" s="270"/>
    </row>
    <row r="8865" spans="14:20" x14ac:dyDescent="0.25">
      <c r="N8865" s="362"/>
      <c r="R8865" s="210"/>
      <c r="S8865" s="232"/>
      <c r="T8865" s="270"/>
    </row>
    <row r="8866" spans="14:20" x14ac:dyDescent="0.25">
      <c r="N8866" s="362"/>
      <c r="R8866" s="210"/>
      <c r="S8866" s="232"/>
      <c r="T8866" s="270"/>
    </row>
    <row r="8867" spans="14:20" x14ac:dyDescent="0.25">
      <c r="N8867" s="362"/>
      <c r="R8867" s="210"/>
      <c r="S8867" s="232"/>
      <c r="T8867" s="270"/>
    </row>
    <row r="8868" spans="14:20" x14ac:dyDescent="0.25">
      <c r="N8868" s="362"/>
      <c r="R8868" s="210"/>
      <c r="S8868" s="232"/>
      <c r="T8868" s="270"/>
    </row>
    <row r="8869" spans="14:20" x14ac:dyDescent="0.25">
      <c r="N8869" s="362"/>
      <c r="R8869" s="210"/>
      <c r="S8869" s="232"/>
      <c r="T8869" s="270"/>
    </row>
    <row r="8870" spans="14:20" x14ac:dyDescent="0.25">
      <c r="N8870" s="362"/>
      <c r="R8870" s="210"/>
      <c r="S8870" s="232"/>
      <c r="T8870" s="270"/>
    </row>
    <row r="8871" spans="14:20" x14ac:dyDescent="0.25">
      <c r="N8871" s="362"/>
      <c r="R8871" s="210"/>
      <c r="S8871" s="232"/>
      <c r="T8871" s="270"/>
    </row>
    <row r="8872" spans="14:20" x14ac:dyDescent="0.25">
      <c r="N8872" s="362"/>
      <c r="R8872" s="210"/>
      <c r="S8872" s="232"/>
      <c r="T8872" s="270"/>
    </row>
    <row r="8873" spans="14:20" x14ac:dyDescent="0.25">
      <c r="N8873" s="362"/>
      <c r="R8873" s="210"/>
      <c r="S8873" s="232"/>
      <c r="T8873" s="270"/>
    </row>
    <row r="8874" spans="14:20" x14ac:dyDescent="0.25">
      <c r="N8874" s="362"/>
      <c r="R8874" s="210"/>
      <c r="S8874" s="232"/>
      <c r="T8874" s="270"/>
    </row>
    <row r="8875" spans="14:20" x14ac:dyDescent="0.25">
      <c r="N8875" s="362"/>
      <c r="R8875" s="210"/>
      <c r="S8875" s="232"/>
      <c r="T8875" s="270"/>
    </row>
    <row r="8876" spans="14:20" x14ac:dyDescent="0.25">
      <c r="N8876" s="362"/>
      <c r="R8876" s="210"/>
      <c r="S8876" s="232"/>
      <c r="T8876" s="270"/>
    </row>
    <row r="8877" spans="14:20" x14ac:dyDescent="0.25">
      <c r="N8877" s="362"/>
      <c r="R8877" s="210"/>
      <c r="S8877" s="232"/>
      <c r="T8877" s="270"/>
    </row>
    <row r="8878" spans="14:20" x14ac:dyDescent="0.25">
      <c r="N8878" s="362"/>
      <c r="R8878" s="210"/>
      <c r="S8878" s="232"/>
      <c r="T8878" s="270"/>
    </row>
    <row r="8879" spans="14:20" x14ac:dyDescent="0.25">
      <c r="N8879" s="362"/>
      <c r="R8879" s="210"/>
      <c r="S8879" s="232"/>
      <c r="T8879" s="270"/>
    </row>
    <row r="8880" spans="14:20" x14ac:dyDescent="0.25">
      <c r="N8880" s="362"/>
      <c r="R8880" s="210"/>
      <c r="S8880" s="232"/>
      <c r="T8880" s="270"/>
    </row>
    <row r="8881" spans="14:20" x14ac:dyDescent="0.25">
      <c r="N8881" s="362"/>
      <c r="R8881" s="210"/>
      <c r="S8881" s="232"/>
      <c r="T8881" s="270"/>
    </row>
    <row r="8882" spans="14:20" x14ac:dyDescent="0.25">
      <c r="N8882" s="362"/>
      <c r="R8882" s="210"/>
      <c r="S8882" s="232"/>
      <c r="T8882" s="270"/>
    </row>
    <row r="8883" spans="14:20" x14ac:dyDescent="0.25">
      <c r="N8883" s="362"/>
      <c r="R8883" s="210"/>
      <c r="S8883" s="232"/>
      <c r="T8883" s="270"/>
    </row>
    <row r="8884" spans="14:20" x14ac:dyDescent="0.25">
      <c r="N8884" s="362"/>
      <c r="R8884" s="210"/>
      <c r="S8884" s="232"/>
      <c r="T8884" s="270"/>
    </row>
    <row r="8885" spans="14:20" x14ac:dyDescent="0.25">
      <c r="N8885" s="362"/>
      <c r="R8885" s="210"/>
      <c r="S8885" s="232"/>
      <c r="T8885" s="270"/>
    </row>
    <row r="8886" spans="14:20" x14ac:dyDescent="0.25">
      <c r="N8886" s="362"/>
      <c r="R8886" s="210"/>
      <c r="S8886" s="232"/>
      <c r="T8886" s="270"/>
    </row>
    <row r="8887" spans="14:20" x14ac:dyDescent="0.25">
      <c r="N8887" s="362"/>
      <c r="R8887" s="210"/>
      <c r="S8887" s="232"/>
      <c r="T8887" s="270"/>
    </row>
    <row r="8888" spans="14:20" x14ac:dyDescent="0.25">
      <c r="N8888" s="362"/>
      <c r="R8888" s="210"/>
      <c r="S8888" s="232"/>
      <c r="T8888" s="270"/>
    </row>
    <row r="8889" spans="14:20" x14ac:dyDescent="0.25">
      <c r="N8889" s="362"/>
      <c r="R8889" s="210"/>
      <c r="S8889" s="232"/>
      <c r="T8889" s="270"/>
    </row>
    <row r="8890" spans="14:20" x14ac:dyDescent="0.25">
      <c r="N8890" s="362"/>
      <c r="R8890" s="210"/>
      <c r="S8890" s="232"/>
      <c r="T8890" s="270"/>
    </row>
    <row r="8891" spans="14:20" x14ac:dyDescent="0.25">
      <c r="N8891" s="362"/>
      <c r="R8891" s="210"/>
      <c r="S8891" s="232"/>
      <c r="T8891" s="270"/>
    </row>
    <row r="8892" spans="14:20" x14ac:dyDescent="0.25">
      <c r="N8892" s="362"/>
      <c r="R8892" s="210"/>
      <c r="S8892" s="232"/>
      <c r="T8892" s="270"/>
    </row>
    <row r="8893" spans="14:20" x14ac:dyDescent="0.25">
      <c r="N8893" s="362"/>
      <c r="R8893" s="210"/>
      <c r="S8893" s="232"/>
      <c r="T8893" s="270"/>
    </row>
    <row r="8894" spans="14:20" x14ac:dyDescent="0.25">
      <c r="N8894" s="362"/>
      <c r="R8894" s="210"/>
      <c r="S8894" s="232"/>
      <c r="T8894" s="270"/>
    </row>
    <row r="8895" spans="14:20" x14ac:dyDescent="0.25">
      <c r="N8895" s="362"/>
      <c r="R8895" s="210"/>
      <c r="S8895" s="232"/>
      <c r="T8895" s="270"/>
    </row>
    <row r="8896" spans="14:20" x14ac:dyDescent="0.25">
      <c r="N8896" s="362"/>
      <c r="R8896" s="210"/>
      <c r="S8896" s="232"/>
      <c r="T8896" s="270"/>
    </row>
    <row r="8897" spans="14:20" x14ac:dyDescent="0.25">
      <c r="N8897" s="362"/>
      <c r="R8897" s="210"/>
      <c r="S8897" s="232"/>
      <c r="T8897" s="270"/>
    </row>
    <row r="8898" spans="14:20" x14ac:dyDescent="0.25">
      <c r="N8898" s="362"/>
      <c r="R8898" s="210"/>
      <c r="S8898" s="232"/>
      <c r="T8898" s="270"/>
    </row>
    <row r="8899" spans="14:20" x14ac:dyDescent="0.25">
      <c r="N8899" s="362"/>
      <c r="R8899" s="210"/>
      <c r="S8899" s="232"/>
      <c r="T8899" s="270"/>
    </row>
    <row r="8900" spans="14:20" x14ac:dyDescent="0.25">
      <c r="N8900" s="362"/>
      <c r="R8900" s="210"/>
      <c r="S8900" s="232"/>
      <c r="T8900" s="270"/>
    </row>
    <row r="8901" spans="14:20" x14ac:dyDescent="0.25">
      <c r="N8901" s="362"/>
      <c r="R8901" s="210"/>
      <c r="S8901" s="232"/>
      <c r="T8901" s="270"/>
    </row>
    <row r="8902" spans="14:20" x14ac:dyDescent="0.25">
      <c r="N8902" s="362"/>
      <c r="R8902" s="210"/>
      <c r="S8902" s="232"/>
      <c r="T8902" s="270"/>
    </row>
    <row r="8903" spans="14:20" x14ac:dyDescent="0.25">
      <c r="N8903" s="362"/>
      <c r="R8903" s="210"/>
      <c r="S8903" s="232"/>
      <c r="T8903" s="270"/>
    </row>
    <row r="8904" spans="14:20" x14ac:dyDescent="0.25">
      <c r="N8904" s="362"/>
      <c r="R8904" s="210"/>
      <c r="S8904" s="232"/>
      <c r="T8904" s="270"/>
    </row>
    <row r="8905" spans="14:20" x14ac:dyDescent="0.25">
      <c r="N8905" s="362"/>
      <c r="R8905" s="210"/>
      <c r="S8905" s="232"/>
      <c r="T8905" s="270"/>
    </row>
    <row r="8906" spans="14:20" x14ac:dyDescent="0.25">
      <c r="N8906" s="362"/>
      <c r="R8906" s="210"/>
      <c r="S8906" s="232"/>
      <c r="T8906" s="270"/>
    </row>
    <row r="8907" spans="14:20" x14ac:dyDescent="0.25">
      <c r="N8907" s="362"/>
      <c r="R8907" s="210"/>
      <c r="S8907" s="232"/>
      <c r="T8907" s="270"/>
    </row>
    <row r="8908" spans="14:20" x14ac:dyDescent="0.25">
      <c r="N8908" s="362"/>
      <c r="R8908" s="210"/>
      <c r="S8908" s="232"/>
      <c r="T8908" s="270"/>
    </row>
    <row r="8909" spans="14:20" x14ac:dyDescent="0.25">
      <c r="N8909" s="362"/>
      <c r="R8909" s="210"/>
      <c r="S8909" s="232"/>
      <c r="T8909" s="270"/>
    </row>
    <row r="8910" spans="14:20" x14ac:dyDescent="0.25">
      <c r="N8910" s="362"/>
      <c r="R8910" s="210"/>
      <c r="S8910" s="232"/>
      <c r="T8910" s="270"/>
    </row>
    <row r="8911" spans="14:20" x14ac:dyDescent="0.25">
      <c r="N8911" s="362"/>
      <c r="R8911" s="210"/>
      <c r="S8911" s="232"/>
      <c r="T8911" s="270"/>
    </row>
    <row r="8912" spans="14:20" x14ac:dyDescent="0.25">
      <c r="N8912" s="362"/>
      <c r="R8912" s="210"/>
      <c r="S8912" s="232"/>
      <c r="T8912" s="270"/>
    </row>
    <row r="8913" spans="14:20" x14ac:dyDescent="0.25">
      <c r="N8913" s="362"/>
      <c r="R8913" s="210"/>
      <c r="S8913" s="232"/>
      <c r="T8913" s="270"/>
    </row>
    <row r="8914" spans="14:20" x14ac:dyDescent="0.25">
      <c r="N8914" s="362"/>
      <c r="R8914" s="210"/>
      <c r="S8914" s="232"/>
      <c r="T8914" s="270"/>
    </row>
    <row r="8915" spans="14:20" x14ac:dyDescent="0.25">
      <c r="N8915" s="362"/>
      <c r="R8915" s="210"/>
      <c r="S8915" s="232"/>
      <c r="T8915" s="270"/>
    </row>
    <row r="8916" spans="14:20" x14ac:dyDescent="0.25">
      <c r="N8916" s="362"/>
      <c r="R8916" s="210"/>
      <c r="S8916" s="232"/>
      <c r="T8916" s="270"/>
    </row>
    <row r="8917" spans="14:20" x14ac:dyDescent="0.25">
      <c r="N8917" s="362"/>
      <c r="R8917" s="210"/>
      <c r="S8917" s="232"/>
      <c r="T8917" s="270"/>
    </row>
    <row r="8918" spans="14:20" x14ac:dyDescent="0.25">
      <c r="N8918" s="362"/>
      <c r="R8918" s="210"/>
      <c r="S8918" s="232"/>
      <c r="T8918" s="270"/>
    </row>
    <row r="8919" spans="14:20" x14ac:dyDescent="0.25">
      <c r="N8919" s="362"/>
      <c r="R8919" s="210"/>
      <c r="S8919" s="232"/>
      <c r="T8919" s="270"/>
    </row>
    <row r="8920" spans="14:20" x14ac:dyDescent="0.25">
      <c r="N8920" s="362"/>
      <c r="R8920" s="210"/>
      <c r="S8920" s="232"/>
      <c r="T8920" s="270"/>
    </row>
    <row r="8921" spans="14:20" x14ac:dyDescent="0.25">
      <c r="N8921" s="362"/>
      <c r="R8921" s="210"/>
      <c r="S8921" s="232"/>
      <c r="T8921" s="270"/>
    </row>
    <row r="8922" spans="14:20" x14ac:dyDescent="0.25">
      <c r="N8922" s="362"/>
      <c r="R8922" s="210"/>
      <c r="S8922" s="232"/>
      <c r="T8922" s="270"/>
    </row>
    <row r="8923" spans="14:20" x14ac:dyDescent="0.25">
      <c r="N8923" s="362"/>
      <c r="R8923" s="210"/>
      <c r="S8923" s="232"/>
      <c r="T8923" s="270"/>
    </row>
    <row r="8924" spans="14:20" x14ac:dyDescent="0.25">
      <c r="N8924" s="362"/>
      <c r="R8924" s="210"/>
      <c r="S8924" s="232"/>
      <c r="T8924" s="270"/>
    </row>
    <row r="8925" spans="14:20" x14ac:dyDescent="0.25">
      <c r="N8925" s="362"/>
      <c r="R8925" s="210"/>
      <c r="S8925" s="232"/>
      <c r="T8925" s="270"/>
    </row>
    <row r="8926" spans="14:20" x14ac:dyDescent="0.25">
      <c r="N8926" s="362"/>
      <c r="R8926" s="210"/>
      <c r="S8926" s="232"/>
      <c r="T8926" s="270"/>
    </row>
    <row r="8927" spans="14:20" x14ac:dyDescent="0.25">
      <c r="N8927" s="362"/>
      <c r="R8927" s="210"/>
      <c r="S8927" s="232"/>
      <c r="T8927" s="270"/>
    </row>
    <row r="8928" spans="14:20" x14ac:dyDescent="0.25">
      <c r="N8928" s="362"/>
      <c r="R8928" s="210"/>
      <c r="S8928" s="232"/>
      <c r="T8928" s="270"/>
    </row>
    <row r="8929" spans="14:20" x14ac:dyDescent="0.25">
      <c r="N8929" s="362"/>
      <c r="R8929" s="210"/>
      <c r="S8929" s="232"/>
      <c r="T8929" s="270"/>
    </row>
    <row r="8930" spans="14:20" x14ac:dyDescent="0.25">
      <c r="N8930" s="362"/>
      <c r="R8930" s="210"/>
      <c r="S8930" s="232"/>
      <c r="T8930" s="270"/>
    </row>
    <row r="8931" spans="14:20" x14ac:dyDescent="0.25">
      <c r="N8931" s="362"/>
      <c r="R8931" s="210"/>
      <c r="S8931" s="232"/>
      <c r="T8931" s="270"/>
    </row>
    <row r="8932" spans="14:20" x14ac:dyDescent="0.25">
      <c r="N8932" s="362"/>
      <c r="R8932" s="210"/>
      <c r="S8932" s="232"/>
      <c r="T8932" s="270"/>
    </row>
    <row r="8933" spans="14:20" x14ac:dyDescent="0.25">
      <c r="N8933" s="362"/>
      <c r="R8933" s="210"/>
      <c r="S8933" s="232"/>
      <c r="T8933" s="270"/>
    </row>
    <row r="8934" spans="14:20" x14ac:dyDescent="0.25">
      <c r="N8934" s="362"/>
      <c r="R8934" s="210"/>
      <c r="S8934" s="232"/>
      <c r="T8934" s="270"/>
    </row>
    <row r="8935" spans="14:20" x14ac:dyDescent="0.25">
      <c r="N8935" s="362"/>
      <c r="R8935" s="210"/>
      <c r="S8935" s="232"/>
      <c r="T8935" s="270"/>
    </row>
    <row r="8936" spans="14:20" x14ac:dyDescent="0.25">
      <c r="N8936" s="362"/>
      <c r="R8936" s="210"/>
      <c r="S8936" s="232"/>
      <c r="T8936" s="270"/>
    </row>
    <row r="8937" spans="14:20" x14ac:dyDescent="0.25">
      <c r="N8937" s="362"/>
      <c r="R8937" s="210"/>
      <c r="S8937" s="232"/>
      <c r="T8937" s="270"/>
    </row>
    <row r="8938" spans="14:20" x14ac:dyDescent="0.25">
      <c r="N8938" s="362"/>
      <c r="R8938" s="210"/>
      <c r="S8938" s="232"/>
      <c r="T8938" s="270"/>
    </row>
    <row r="8939" spans="14:20" x14ac:dyDescent="0.25">
      <c r="N8939" s="362"/>
      <c r="R8939" s="210"/>
      <c r="S8939" s="232"/>
      <c r="T8939" s="270"/>
    </row>
    <row r="8940" spans="14:20" x14ac:dyDescent="0.25">
      <c r="N8940" s="362"/>
      <c r="R8940" s="210"/>
      <c r="S8940" s="232"/>
      <c r="T8940" s="270"/>
    </row>
    <row r="8941" spans="14:20" x14ac:dyDescent="0.25">
      <c r="N8941" s="362"/>
      <c r="R8941" s="210"/>
      <c r="S8941" s="232"/>
      <c r="T8941" s="270"/>
    </row>
    <row r="8942" spans="14:20" x14ac:dyDescent="0.25">
      <c r="N8942" s="362"/>
      <c r="R8942" s="210"/>
      <c r="S8942" s="232"/>
      <c r="T8942" s="270"/>
    </row>
    <row r="8943" spans="14:20" x14ac:dyDescent="0.25">
      <c r="N8943" s="362"/>
      <c r="R8943" s="210"/>
      <c r="S8943" s="232"/>
      <c r="T8943" s="270"/>
    </row>
    <row r="8944" spans="14:20" x14ac:dyDescent="0.25">
      <c r="N8944" s="362"/>
      <c r="R8944" s="210"/>
      <c r="S8944" s="232"/>
      <c r="T8944" s="270"/>
    </row>
    <row r="8945" spans="14:20" x14ac:dyDescent="0.25">
      <c r="N8945" s="362"/>
      <c r="R8945" s="210"/>
      <c r="S8945" s="232"/>
      <c r="T8945" s="270"/>
    </row>
    <row r="8946" spans="14:20" x14ac:dyDescent="0.25">
      <c r="N8946" s="362"/>
      <c r="R8946" s="210"/>
      <c r="S8946" s="232"/>
      <c r="T8946" s="270"/>
    </row>
    <row r="8947" spans="14:20" x14ac:dyDescent="0.25">
      <c r="N8947" s="362"/>
      <c r="R8947" s="210"/>
      <c r="S8947" s="232"/>
      <c r="T8947" s="270"/>
    </row>
    <row r="8948" spans="14:20" x14ac:dyDescent="0.25">
      <c r="N8948" s="362"/>
      <c r="R8948" s="210"/>
      <c r="S8948" s="232"/>
      <c r="T8948" s="270"/>
    </row>
    <row r="8949" spans="14:20" x14ac:dyDescent="0.25">
      <c r="N8949" s="362"/>
      <c r="R8949" s="210"/>
      <c r="S8949" s="232"/>
      <c r="T8949" s="270"/>
    </row>
    <row r="8950" spans="14:20" x14ac:dyDescent="0.25">
      <c r="N8950" s="362"/>
      <c r="R8950" s="210"/>
      <c r="S8950" s="232"/>
      <c r="T8950" s="270"/>
    </row>
    <row r="8951" spans="14:20" x14ac:dyDescent="0.25">
      <c r="N8951" s="362"/>
      <c r="R8951" s="210"/>
      <c r="S8951" s="232"/>
      <c r="T8951" s="270"/>
    </row>
    <row r="8952" spans="14:20" x14ac:dyDescent="0.25">
      <c r="N8952" s="362"/>
      <c r="R8952" s="210"/>
      <c r="S8952" s="232"/>
      <c r="T8952" s="270"/>
    </row>
    <row r="8953" spans="14:20" x14ac:dyDescent="0.25">
      <c r="N8953" s="362"/>
      <c r="R8953" s="210"/>
      <c r="S8953" s="232"/>
      <c r="T8953" s="270"/>
    </row>
    <row r="8954" spans="14:20" x14ac:dyDescent="0.25">
      <c r="N8954" s="362"/>
      <c r="R8954" s="210"/>
      <c r="S8954" s="232"/>
      <c r="T8954" s="270"/>
    </row>
    <row r="8955" spans="14:20" x14ac:dyDescent="0.25">
      <c r="N8955" s="362"/>
      <c r="R8955" s="210"/>
      <c r="S8955" s="232"/>
      <c r="T8955" s="270"/>
    </row>
    <row r="8956" spans="14:20" x14ac:dyDescent="0.25">
      <c r="N8956" s="362"/>
      <c r="R8956" s="210"/>
      <c r="S8956" s="232"/>
      <c r="T8956" s="270"/>
    </row>
    <row r="8957" spans="14:20" x14ac:dyDescent="0.25">
      <c r="N8957" s="362"/>
      <c r="R8957" s="210"/>
      <c r="S8957" s="232"/>
      <c r="T8957" s="270"/>
    </row>
    <row r="8958" spans="14:20" x14ac:dyDescent="0.25">
      <c r="N8958" s="362"/>
      <c r="R8958" s="210"/>
      <c r="S8958" s="232"/>
      <c r="T8958" s="270"/>
    </row>
    <row r="8959" spans="14:20" x14ac:dyDescent="0.25">
      <c r="N8959" s="362"/>
      <c r="R8959" s="210"/>
      <c r="S8959" s="232"/>
      <c r="T8959" s="270"/>
    </row>
    <row r="8960" spans="14:20" x14ac:dyDescent="0.25">
      <c r="N8960" s="362"/>
      <c r="R8960" s="210"/>
      <c r="S8960" s="232"/>
      <c r="T8960" s="270"/>
    </row>
    <row r="8961" spans="14:20" x14ac:dyDescent="0.25">
      <c r="N8961" s="362"/>
      <c r="R8961" s="210"/>
      <c r="S8961" s="232"/>
      <c r="T8961" s="270"/>
    </row>
    <row r="8962" spans="14:20" x14ac:dyDescent="0.25">
      <c r="N8962" s="362"/>
      <c r="R8962" s="210"/>
      <c r="S8962" s="232"/>
      <c r="T8962" s="270"/>
    </row>
    <row r="8963" spans="14:20" x14ac:dyDescent="0.25">
      <c r="N8963" s="362"/>
      <c r="R8963" s="210"/>
      <c r="S8963" s="232"/>
      <c r="T8963" s="270"/>
    </row>
    <row r="8964" spans="14:20" x14ac:dyDescent="0.25">
      <c r="N8964" s="362"/>
      <c r="R8964" s="210"/>
      <c r="S8964" s="232"/>
      <c r="T8964" s="270"/>
    </row>
    <row r="8965" spans="14:20" x14ac:dyDescent="0.25">
      <c r="N8965" s="362"/>
      <c r="R8965" s="210"/>
      <c r="S8965" s="232"/>
      <c r="T8965" s="270"/>
    </row>
    <row r="8966" spans="14:20" x14ac:dyDescent="0.25">
      <c r="N8966" s="362"/>
      <c r="R8966" s="210"/>
      <c r="S8966" s="232"/>
      <c r="T8966" s="270"/>
    </row>
    <row r="8967" spans="14:20" x14ac:dyDescent="0.25">
      <c r="N8967" s="362"/>
      <c r="R8967" s="210"/>
      <c r="S8967" s="232"/>
      <c r="T8967" s="270"/>
    </row>
    <row r="8968" spans="14:20" x14ac:dyDescent="0.25">
      <c r="N8968" s="362"/>
      <c r="R8968" s="210"/>
      <c r="S8968" s="232"/>
      <c r="T8968" s="270"/>
    </row>
    <row r="8969" spans="14:20" x14ac:dyDescent="0.25">
      <c r="N8969" s="362"/>
      <c r="R8969" s="210"/>
      <c r="S8969" s="232"/>
      <c r="T8969" s="270"/>
    </row>
    <row r="8970" spans="14:20" x14ac:dyDescent="0.25">
      <c r="N8970" s="362"/>
      <c r="R8970" s="210"/>
      <c r="S8970" s="232"/>
      <c r="T8970" s="270"/>
    </row>
    <row r="8971" spans="14:20" x14ac:dyDescent="0.25">
      <c r="N8971" s="362"/>
      <c r="R8971" s="210"/>
      <c r="S8971" s="232"/>
      <c r="T8971" s="270"/>
    </row>
    <row r="8972" spans="14:20" x14ac:dyDescent="0.25">
      <c r="N8972" s="362"/>
      <c r="R8972" s="210"/>
      <c r="S8972" s="232"/>
      <c r="T8972" s="270"/>
    </row>
    <row r="8973" spans="14:20" x14ac:dyDescent="0.25">
      <c r="N8973" s="362"/>
      <c r="R8973" s="210"/>
      <c r="S8973" s="232"/>
      <c r="T8973" s="270"/>
    </row>
    <row r="8974" spans="14:20" x14ac:dyDescent="0.25">
      <c r="N8974" s="362"/>
      <c r="R8974" s="210"/>
      <c r="S8974" s="232"/>
      <c r="T8974" s="270"/>
    </row>
    <row r="8975" spans="14:20" x14ac:dyDescent="0.25">
      <c r="N8975" s="362"/>
      <c r="R8975" s="210"/>
      <c r="S8975" s="232"/>
      <c r="T8975" s="270"/>
    </row>
    <row r="8976" spans="14:20" x14ac:dyDescent="0.25">
      <c r="N8976" s="362"/>
      <c r="R8976" s="210"/>
      <c r="S8976" s="232"/>
      <c r="T8976" s="270"/>
    </row>
    <row r="8977" spans="14:20" x14ac:dyDescent="0.25">
      <c r="N8977" s="362"/>
      <c r="R8977" s="210"/>
      <c r="S8977" s="232"/>
      <c r="T8977" s="270"/>
    </row>
    <row r="8978" spans="14:20" x14ac:dyDescent="0.25">
      <c r="N8978" s="362"/>
      <c r="R8978" s="210"/>
      <c r="S8978" s="232"/>
      <c r="T8978" s="270"/>
    </row>
    <row r="8979" spans="14:20" x14ac:dyDescent="0.25">
      <c r="N8979" s="362"/>
      <c r="R8979" s="210"/>
      <c r="S8979" s="232"/>
      <c r="T8979" s="270"/>
    </row>
    <row r="8980" spans="14:20" x14ac:dyDescent="0.25">
      <c r="N8980" s="362"/>
      <c r="R8980" s="210"/>
      <c r="S8980" s="232"/>
      <c r="T8980" s="270"/>
    </row>
    <row r="8981" spans="14:20" x14ac:dyDescent="0.25">
      <c r="N8981" s="362"/>
      <c r="R8981" s="210"/>
      <c r="S8981" s="232"/>
      <c r="T8981" s="270"/>
    </row>
    <row r="8982" spans="14:20" x14ac:dyDescent="0.25">
      <c r="N8982" s="362"/>
      <c r="R8982" s="210"/>
      <c r="S8982" s="232"/>
      <c r="T8982" s="270"/>
    </row>
    <row r="8983" spans="14:20" x14ac:dyDescent="0.25">
      <c r="N8983" s="362"/>
      <c r="R8983" s="210"/>
      <c r="S8983" s="232"/>
      <c r="T8983" s="270"/>
    </row>
    <row r="8984" spans="14:20" x14ac:dyDescent="0.25">
      <c r="N8984" s="362"/>
      <c r="R8984" s="210"/>
      <c r="S8984" s="232"/>
      <c r="T8984" s="270"/>
    </row>
    <row r="8985" spans="14:20" x14ac:dyDescent="0.25">
      <c r="N8985" s="362"/>
      <c r="R8985" s="210"/>
      <c r="S8985" s="232"/>
      <c r="T8985" s="270"/>
    </row>
    <row r="8986" spans="14:20" x14ac:dyDescent="0.25">
      <c r="N8986" s="362"/>
      <c r="R8986" s="210"/>
      <c r="S8986" s="232"/>
      <c r="T8986" s="270"/>
    </row>
    <row r="8987" spans="14:20" x14ac:dyDescent="0.25">
      <c r="N8987" s="362"/>
      <c r="R8987" s="210"/>
      <c r="S8987" s="232"/>
      <c r="T8987" s="270"/>
    </row>
    <row r="8988" spans="14:20" x14ac:dyDescent="0.25">
      <c r="N8988" s="362"/>
      <c r="R8988" s="210"/>
      <c r="S8988" s="232"/>
      <c r="T8988" s="270"/>
    </row>
    <row r="8989" spans="14:20" x14ac:dyDescent="0.25">
      <c r="N8989" s="362"/>
      <c r="R8989" s="210"/>
      <c r="S8989" s="232"/>
      <c r="T8989" s="270"/>
    </row>
    <row r="8990" spans="14:20" x14ac:dyDescent="0.25">
      <c r="N8990" s="362"/>
      <c r="R8990" s="210"/>
      <c r="S8990" s="232"/>
      <c r="T8990" s="270"/>
    </row>
    <row r="8991" spans="14:20" x14ac:dyDescent="0.25">
      <c r="N8991" s="362"/>
      <c r="R8991" s="210"/>
      <c r="S8991" s="232"/>
      <c r="T8991" s="270"/>
    </row>
    <row r="8992" spans="14:20" x14ac:dyDescent="0.25">
      <c r="N8992" s="362"/>
      <c r="R8992" s="210"/>
      <c r="S8992" s="232"/>
      <c r="T8992" s="270"/>
    </row>
    <row r="8993" spans="14:20" x14ac:dyDescent="0.25">
      <c r="N8993" s="362"/>
      <c r="R8993" s="210"/>
      <c r="S8993" s="232"/>
      <c r="T8993" s="270"/>
    </row>
    <row r="8994" spans="14:20" x14ac:dyDescent="0.25">
      <c r="N8994" s="362"/>
      <c r="R8994" s="210"/>
      <c r="S8994" s="232"/>
      <c r="T8994" s="270"/>
    </row>
    <row r="8995" spans="14:20" x14ac:dyDescent="0.25">
      <c r="N8995" s="362"/>
      <c r="R8995" s="210"/>
      <c r="S8995" s="232"/>
      <c r="T8995" s="270"/>
    </row>
    <row r="8996" spans="14:20" x14ac:dyDescent="0.25">
      <c r="N8996" s="362"/>
      <c r="R8996" s="210"/>
      <c r="S8996" s="232"/>
      <c r="T8996" s="270"/>
    </row>
    <row r="8997" spans="14:20" x14ac:dyDescent="0.25">
      <c r="N8997" s="362"/>
      <c r="R8997" s="210"/>
      <c r="S8997" s="232"/>
      <c r="T8997" s="270"/>
    </row>
    <row r="8998" spans="14:20" x14ac:dyDescent="0.25">
      <c r="N8998" s="362"/>
      <c r="R8998" s="210"/>
      <c r="S8998" s="232"/>
      <c r="T8998" s="270"/>
    </row>
    <row r="8999" spans="14:20" x14ac:dyDescent="0.25">
      <c r="N8999" s="362"/>
      <c r="R8999" s="210"/>
      <c r="S8999" s="232"/>
      <c r="T8999" s="270"/>
    </row>
    <row r="9000" spans="14:20" x14ac:dyDescent="0.25">
      <c r="N9000" s="362"/>
      <c r="R9000" s="210"/>
      <c r="S9000" s="232"/>
      <c r="T9000" s="270"/>
    </row>
    <row r="9001" spans="14:20" x14ac:dyDescent="0.25">
      <c r="N9001" s="362"/>
      <c r="R9001" s="210"/>
      <c r="S9001" s="232"/>
      <c r="T9001" s="270"/>
    </row>
    <row r="9002" spans="14:20" x14ac:dyDescent="0.25">
      <c r="N9002" s="362"/>
      <c r="R9002" s="210"/>
      <c r="S9002" s="232"/>
      <c r="T9002" s="270"/>
    </row>
    <row r="9003" spans="14:20" x14ac:dyDescent="0.25">
      <c r="N9003" s="362"/>
      <c r="R9003" s="210"/>
      <c r="S9003" s="232"/>
      <c r="T9003" s="270"/>
    </row>
    <row r="9004" spans="14:20" x14ac:dyDescent="0.25">
      <c r="N9004" s="362"/>
      <c r="R9004" s="210"/>
      <c r="S9004" s="232"/>
      <c r="T9004" s="270"/>
    </row>
    <row r="9005" spans="14:20" x14ac:dyDescent="0.25">
      <c r="N9005" s="362"/>
      <c r="R9005" s="210"/>
      <c r="S9005" s="232"/>
      <c r="T9005" s="270"/>
    </row>
    <row r="9006" spans="14:20" x14ac:dyDescent="0.25">
      <c r="N9006" s="362"/>
      <c r="R9006" s="210"/>
      <c r="S9006" s="232"/>
      <c r="T9006" s="270"/>
    </row>
    <row r="9007" spans="14:20" x14ac:dyDescent="0.25">
      <c r="N9007" s="362"/>
      <c r="R9007" s="210"/>
      <c r="S9007" s="232"/>
      <c r="T9007" s="270"/>
    </row>
    <row r="9008" spans="14:20" x14ac:dyDescent="0.25">
      <c r="N9008" s="362"/>
      <c r="R9008" s="210"/>
      <c r="S9008" s="232"/>
      <c r="T9008" s="270"/>
    </row>
    <row r="9009" spans="14:20" x14ac:dyDescent="0.25">
      <c r="N9009" s="362"/>
      <c r="R9009" s="210"/>
      <c r="S9009" s="232"/>
      <c r="T9009" s="270"/>
    </row>
    <row r="9010" spans="14:20" x14ac:dyDescent="0.25">
      <c r="N9010" s="362"/>
      <c r="R9010" s="210"/>
      <c r="S9010" s="232"/>
      <c r="T9010" s="270"/>
    </row>
    <row r="9011" spans="14:20" x14ac:dyDescent="0.25">
      <c r="N9011" s="362"/>
      <c r="R9011" s="210"/>
      <c r="S9011" s="232"/>
      <c r="T9011" s="270"/>
    </row>
    <row r="9012" spans="14:20" x14ac:dyDescent="0.25">
      <c r="N9012" s="362"/>
      <c r="R9012" s="210"/>
      <c r="S9012" s="232"/>
      <c r="T9012" s="270"/>
    </row>
    <row r="9013" spans="14:20" x14ac:dyDescent="0.25">
      <c r="N9013" s="362"/>
      <c r="R9013" s="210"/>
      <c r="S9013" s="232"/>
      <c r="T9013" s="270"/>
    </row>
    <row r="9014" spans="14:20" x14ac:dyDescent="0.25">
      <c r="N9014" s="362"/>
      <c r="R9014" s="210"/>
      <c r="S9014" s="232"/>
      <c r="T9014" s="270"/>
    </row>
    <row r="9015" spans="14:20" x14ac:dyDescent="0.25">
      <c r="N9015" s="362"/>
      <c r="R9015" s="210"/>
      <c r="S9015" s="232"/>
      <c r="T9015" s="270"/>
    </row>
    <row r="9016" spans="14:20" x14ac:dyDescent="0.25">
      <c r="N9016" s="362"/>
      <c r="R9016" s="210"/>
      <c r="S9016" s="232"/>
      <c r="T9016" s="270"/>
    </row>
    <row r="9017" spans="14:20" x14ac:dyDescent="0.25">
      <c r="N9017" s="362"/>
      <c r="R9017" s="210"/>
      <c r="S9017" s="232"/>
      <c r="T9017" s="270"/>
    </row>
    <row r="9018" spans="14:20" x14ac:dyDescent="0.25">
      <c r="N9018" s="362"/>
      <c r="R9018" s="210"/>
      <c r="S9018" s="232"/>
      <c r="T9018" s="270"/>
    </row>
    <row r="9019" spans="14:20" x14ac:dyDescent="0.25">
      <c r="N9019" s="362"/>
      <c r="R9019" s="210"/>
      <c r="S9019" s="232"/>
      <c r="T9019" s="270"/>
    </row>
    <row r="9020" spans="14:20" x14ac:dyDescent="0.25">
      <c r="N9020" s="362"/>
      <c r="R9020" s="210"/>
      <c r="S9020" s="232"/>
      <c r="T9020" s="270"/>
    </row>
    <row r="9021" spans="14:20" x14ac:dyDescent="0.25">
      <c r="N9021" s="362"/>
      <c r="R9021" s="210"/>
      <c r="S9021" s="232"/>
      <c r="T9021" s="270"/>
    </row>
    <row r="9022" spans="14:20" x14ac:dyDescent="0.25">
      <c r="N9022" s="362"/>
      <c r="R9022" s="210"/>
      <c r="S9022" s="232"/>
      <c r="T9022" s="270"/>
    </row>
    <row r="9023" spans="14:20" x14ac:dyDescent="0.25">
      <c r="N9023" s="362"/>
      <c r="R9023" s="210"/>
      <c r="S9023" s="232"/>
      <c r="T9023" s="270"/>
    </row>
    <row r="9024" spans="14:20" x14ac:dyDescent="0.25">
      <c r="N9024" s="362"/>
      <c r="R9024" s="210"/>
      <c r="S9024" s="232"/>
      <c r="T9024" s="270"/>
    </row>
    <row r="9025" spans="14:20" x14ac:dyDescent="0.25">
      <c r="N9025" s="362"/>
      <c r="R9025" s="210"/>
      <c r="S9025" s="232"/>
      <c r="T9025" s="270"/>
    </row>
    <row r="9026" spans="14:20" x14ac:dyDescent="0.25">
      <c r="N9026" s="362"/>
      <c r="R9026" s="210"/>
      <c r="S9026" s="232"/>
      <c r="T9026" s="270"/>
    </row>
    <row r="9027" spans="14:20" x14ac:dyDescent="0.25">
      <c r="N9027" s="362"/>
      <c r="R9027" s="210"/>
      <c r="S9027" s="232"/>
      <c r="T9027" s="270"/>
    </row>
    <row r="9028" spans="14:20" x14ac:dyDescent="0.25">
      <c r="N9028" s="362"/>
      <c r="R9028" s="210"/>
      <c r="S9028" s="232"/>
      <c r="T9028" s="270"/>
    </row>
    <row r="9029" spans="14:20" x14ac:dyDescent="0.25">
      <c r="N9029" s="362"/>
      <c r="R9029" s="210"/>
      <c r="S9029" s="232"/>
      <c r="T9029" s="270"/>
    </row>
    <row r="9030" spans="14:20" x14ac:dyDescent="0.25">
      <c r="N9030" s="362"/>
      <c r="R9030" s="210"/>
      <c r="S9030" s="232"/>
      <c r="T9030" s="270"/>
    </row>
    <row r="9031" spans="14:20" x14ac:dyDescent="0.25">
      <c r="N9031" s="362"/>
      <c r="R9031" s="210"/>
      <c r="S9031" s="232"/>
      <c r="T9031" s="270"/>
    </row>
    <row r="9032" spans="14:20" x14ac:dyDescent="0.25">
      <c r="N9032" s="362"/>
      <c r="R9032" s="210"/>
      <c r="S9032" s="232"/>
      <c r="T9032" s="270"/>
    </row>
    <row r="9033" spans="14:20" x14ac:dyDescent="0.25">
      <c r="N9033" s="362"/>
      <c r="R9033" s="210"/>
      <c r="S9033" s="232"/>
      <c r="T9033" s="270"/>
    </row>
    <row r="9034" spans="14:20" x14ac:dyDescent="0.25">
      <c r="N9034" s="362"/>
      <c r="R9034" s="210"/>
      <c r="S9034" s="232"/>
      <c r="T9034" s="270"/>
    </row>
    <row r="9035" spans="14:20" x14ac:dyDescent="0.25">
      <c r="N9035" s="362"/>
      <c r="R9035" s="210"/>
      <c r="S9035" s="232"/>
      <c r="T9035" s="270"/>
    </row>
    <row r="9036" spans="14:20" x14ac:dyDescent="0.25">
      <c r="N9036" s="362"/>
      <c r="R9036" s="210"/>
      <c r="S9036" s="232"/>
      <c r="T9036" s="270"/>
    </row>
    <row r="9037" spans="14:20" x14ac:dyDescent="0.25">
      <c r="N9037" s="362"/>
      <c r="R9037" s="210"/>
      <c r="S9037" s="232"/>
      <c r="T9037" s="270"/>
    </row>
    <row r="9038" spans="14:20" x14ac:dyDescent="0.25">
      <c r="N9038" s="362"/>
      <c r="R9038" s="210"/>
      <c r="S9038" s="232"/>
      <c r="T9038" s="270"/>
    </row>
    <row r="9039" spans="14:20" x14ac:dyDescent="0.25">
      <c r="N9039" s="362"/>
      <c r="R9039" s="210"/>
      <c r="S9039" s="232"/>
      <c r="T9039" s="270"/>
    </row>
    <row r="9040" spans="14:20" x14ac:dyDescent="0.25">
      <c r="N9040" s="362"/>
      <c r="R9040" s="210"/>
      <c r="S9040" s="232"/>
      <c r="T9040" s="270"/>
    </row>
    <row r="9041" spans="14:20" x14ac:dyDescent="0.25">
      <c r="N9041" s="362"/>
      <c r="R9041" s="210"/>
      <c r="S9041" s="232"/>
      <c r="T9041" s="270"/>
    </row>
    <row r="9042" spans="14:20" x14ac:dyDescent="0.25">
      <c r="N9042" s="362"/>
      <c r="R9042" s="210"/>
      <c r="S9042" s="232"/>
      <c r="T9042" s="270"/>
    </row>
    <row r="9043" spans="14:20" x14ac:dyDescent="0.25">
      <c r="N9043" s="362"/>
      <c r="R9043" s="210"/>
      <c r="S9043" s="232"/>
      <c r="T9043" s="270"/>
    </row>
    <row r="9044" spans="14:20" x14ac:dyDescent="0.25">
      <c r="N9044" s="362"/>
      <c r="R9044" s="210"/>
      <c r="S9044" s="232"/>
      <c r="T9044" s="270"/>
    </row>
    <row r="9045" spans="14:20" x14ac:dyDescent="0.25">
      <c r="N9045" s="362"/>
      <c r="R9045" s="210"/>
      <c r="S9045" s="232"/>
      <c r="T9045" s="270"/>
    </row>
    <row r="9046" spans="14:20" x14ac:dyDescent="0.25">
      <c r="N9046" s="362"/>
      <c r="R9046" s="210"/>
      <c r="S9046" s="232"/>
      <c r="T9046" s="270"/>
    </row>
    <row r="9047" spans="14:20" x14ac:dyDescent="0.25">
      <c r="N9047" s="362"/>
      <c r="R9047" s="210"/>
      <c r="S9047" s="232"/>
      <c r="T9047" s="270"/>
    </row>
    <row r="9048" spans="14:20" x14ac:dyDescent="0.25">
      <c r="N9048" s="362"/>
      <c r="R9048" s="210"/>
      <c r="S9048" s="232"/>
      <c r="T9048" s="270"/>
    </row>
    <row r="9049" spans="14:20" x14ac:dyDescent="0.25">
      <c r="N9049" s="362"/>
      <c r="R9049" s="210"/>
      <c r="S9049" s="232"/>
      <c r="T9049" s="270"/>
    </row>
    <row r="9050" spans="14:20" x14ac:dyDescent="0.25">
      <c r="N9050" s="362"/>
      <c r="R9050" s="210"/>
      <c r="S9050" s="232"/>
      <c r="T9050" s="270"/>
    </row>
    <row r="9051" spans="14:20" x14ac:dyDescent="0.25">
      <c r="N9051" s="362"/>
      <c r="R9051" s="210"/>
      <c r="S9051" s="232"/>
      <c r="T9051" s="270"/>
    </row>
    <row r="9052" spans="14:20" x14ac:dyDescent="0.25">
      <c r="N9052" s="362"/>
      <c r="R9052" s="210"/>
      <c r="S9052" s="232"/>
      <c r="T9052" s="270"/>
    </row>
    <row r="9053" spans="14:20" x14ac:dyDescent="0.25">
      <c r="N9053" s="362"/>
      <c r="R9053" s="210"/>
      <c r="S9053" s="232"/>
      <c r="T9053" s="270"/>
    </row>
    <row r="9054" spans="14:20" x14ac:dyDescent="0.25">
      <c r="N9054" s="362"/>
      <c r="R9054" s="210"/>
      <c r="S9054" s="232"/>
      <c r="T9054" s="270"/>
    </row>
    <row r="9055" spans="14:20" x14ac:dyDescent="0.25">
      <c r="N9055" s="362"/>
      <c r="R9055" s="210"/>
      <c r="S9055" s="232"/>
      <c r="T9055" s="270"/>
    </row>
    <row r="9056" spans="14:20" x14ac:dyDescent="0.25">
      <c r="N9056" s="362"/>
      <c r="R9056" s="210"/>
      <c r="S9056" s="232"/>
      <c r="T9056" s="270"/>
    </row>
    <row r="9057" spans="14:20" x14ac:dyDescent="0.25">
      <c r="N9057" s="362"/>
      <c r="R9057" s="210"/>
      <c r="S9057" s="232"/>
      <c r="T9057" s="270"/>
    </row>
    <row r="9058" spans="14:20" x14ac:dyDescent="0.25">
      <c r="N9058" s="362"/>
      <c r="R9058" s="210"/>
      <c r="S9058" s="232"/>
      <c r="T9058" s="270"/>
    </row>
    <row r="9059" spans="14:20" x14ac:dyDescent="0.25">
      <c r="N9059" s="362"/>
      <c r="R9059" s="210"/>
      <c r="S9059" s="232"/>
      <c r="T9059" s="270"/>
    </row>
    <row r="9060" spans="14:20" x14ac:dyDescent="0.25">
      <c r="N9060" s="362"/>
      <c r="R9060" s="210"/>
      <c r="S9060" s="232"/>
      <c r="T9060" s="270"/>
    </row>
    <row r="9061" spans="14:20" x14ac:dyDescent="0.25">
      <c r="N9061" s="362"/>
      <c r="R9061" s="210"/>
      <c r="S9061" s="232"/>
      <c r="T9061" s="270"/>
    </row>
    <row r="9062" spans="14:20" x14ac:dyDescent="0.25">
      <c r="N9062" s="362"/>
      <c r="R9062" s="210"/>
      <c r="S9062" s="232"/>
      <c r="T9062" s="270"/>
    </row>
    <row r="9063" spans="14:20" x14ac:dyDescent="0.25">
      <c r="N9063" s="362"/>
      <c r="R9063" s="210"/>
      <c r="S9063" s="232"/>
      <c r="T9063" s="270"/>
    </row>
    <row r="9064" spans="14:20" x14ac:dyDescent="0.25">
      <c r="N9064" s="362"/>
      <c r="R9064" s="210"/>
      <c r="S9064" s="232"/>
      <c r="T9064" s="270"/>
    </row>
    <row r="9065" spans="14:20" x14ac:dyDescent="0.25">
      <c r="N9065" s="362"/>
      <c r="R9065" s="210"/>
      <c r="S9065" s="232"/>
      <c r="T9065" s="270"/>
    </row>
    <row r="9066" spans="14:20" x14ac:dyDescent="0.25">
      <c r="N9066" s="362"/>
      <c r="R9066" s="210"/>
      <c r="S9066" s="232"/>
      <c r="T9066" s="270"/>
    </row>
    <row r="9067" spans="14:20" x14ac:dyDescent="0.25">
      <c r="N9067" s="362"/>
      <c r="R9067" s="210"/>
      <c r="S9067" s="232"/>
      <c r="T9067" s="270"/>
    </row>
    <row r="9068" spans="14:20" x14ac:dyDescent="0.25">
      <c r="N9068" s="362"/>
      <c r="R9068" s="210"/>
      <c r="S9068" s="232"/>
      <c r="T9068" s="270"/>
    </row>
    <row r="9069" spans="14:20" x14ac:dyDescent="0.25">
      <c r="N9069" s="362"/>
      <c r="R9069" s="210"/>
      <c r="S9069" s="232"/>
      <c r="T9069" s="270"/>
    </row>
    <row r="9070" spans="14:20" x14ac:dyDescent="0.25">
      <c r="N9070" s="362"/>
      <c r="R9070" s="210"/>
      <c r="S9070" s="232"/>
      <c r="T9070" s="270"/>
    </row>
    <row r="9071" spans="14:20" x14ac:dyDescent="0.25">
      <c r="N9071" s="362"/>
      <c r="R9071" s="210"/>
      <c r="S9071" s="232"/>
      <c r="T9071" s="270"/>
    </row>
    <row r="9072" spans="14:20" x14ac:dyDescent="0.25">
      <c r="N9072" s="362"/>
      <c r="R9072" s="210"/>
      <c r="S9072" s="232"/>
      <c r="T9072" s="270"/>
    </row>
    <row r="9073" spans="14:20" x14ac:dyDescent="0.25">
      <c r="N9073" s="362"/>
      <c r="R9073" s="210"/>
      <c r="S9073" s="232"/>
      <c r="T9073" s="270"/>
    </row>
    <row r="9074" spans="14:20" x14ac:dyDescent="0.25">
      <c r="N9074" s="362"/>
      <c r="R9074" s="210"/>
      <c r="S9074" s="232"/>
      <c r="T9074" s="270"/>
    </row>
    <row r="9075" spans="14:20" x14ac:dyDescent="0.25">
      <c r="N9075" s="362"/>
      <c r="R9075" s="210"/>
      <c r="S9075" s="232"/>
      <c r="T9075" s="270"/>
    </row>
    <row r="9076" spans="14:20" x14ac:dyDescent="0.25">
      <c r="N9076" s="362"/>
      <c r="R9076" s="210"/>
      <c r="S9076" s="232"/>
      <c r="T9076" s="270"/>
    </row>
    <row r="9077" spans="14:20" x14ac:dyDescent="0.25">
      <c r="N9077" s="362"/>
      <c r="R9077" s="210"/>
      <c r="S9077" s="232"/>
      <c r="T9077" s="270"/>
    </row>
    <row r="9078" spans="14:20" x14ac:dyDescent="0.25">
      <c r="N9078" s="362"/>
      <c r="R9078" s="210"/>
      <c r="S9078" s="232"/>
      <c r="T9078" s="270"/>
    </row>
    <row r="9079" spans="14:20" x14ac:dyDescent="0.25">
      <c r="N9079" s="362"/>
      <c r="R9079" s="210"/>
      <c r="S9079" s="232"/>
      <c r="T9079" s="270"/>
    </row>
    <row r="9080" spans="14:20" x14ac:dyDescent="0.25">
      <c r="N9080" s="362"/>
      <c r="R9080" s="210"/>
      <c r="S9080" s="232"/>
      <c r="T9080" s="270"/>
    </row>
    <row r="9081" spans="14:20" x14ac:dyDescent="0.25">
      <c r="N9081" s="362"/>
      <c r="R9081" s="210"/>
      <c r="S9081" s="232"/>
      <c r="T9081" s="270"/>
    </row>
    <row r="9082" spans="14:20" x14ac:dyDescent="0.25">
      <c r="N9082" s="362"/>
      <c r="R9082" s="210"/>
      <c r="S9082" s="232"/>
      <c r="T9082" s="270"/>
    </row>
    <row r="9083" spans="14:20" x14ac:dyDescent="0.25">
      <c r="N9083" s="362"/>
      <c r="R9083" s="210"/>
      <c r="S9083" s="232"/>
      <c r="T9083" s="270"/>
    </row>
    <row r="9084" spans="14:20" x14ac:dyDescent="0.25">
      <c r="N9084" s="362"/>
      <c r="R9084" s="210"/>
      <c r="S9084" s="232"/>
      <c r="T9084" s="270"/>
    </row>
    <row r="9085" spans="14:20" x14ac:dyDescent="0.25">
      <c r="N9085" s="362"/>
      <c r="R9085" s="210"/>
      <c r="S9085" s="232"/>
      <c r="T9085" s="270"/>
    </row>
    <row r="9086" spans="14:20" x14ac:dyDescent="0.25">
      <c r="N9086" s="362"/>
      <c r="R9086" s="210"/>
      <c r="S9086" s="232"/>
      <c r="T9086" s="270"/>
    </row>
    <row r="9087" spans="14:20" x14ac:dyDescent="0.25">
      <c r="N9087" s="362"/>
      <c r="R9087" s="210"/>
      <c r="S9087" s="232"/>
      <c r="T9087" s="270"/>
    </row>
    <row r="9088" spans="14:20" x14ac:dyDescent="0.25">
      <c r="N9088" s="362"/>
      <c r="R9088" s="210"/>
      <c r="S9088" s="232"/>
      <c r="T9088" s="270"/>
    </row>
    <row r="9089" spans="14:20" x14ac:dyDescent="0.25">
      <c r="N9089" s="362"/>
      <c r="R9089" s="210"/>
      <c r="S9089" s="232"/>
      <c r="T9089" s="270"/>
    </row>
    <row r="9090" spans="14:20" x14ac:dyDescent="0.25">
      <c r="N9090" s="362"/>
      <c r="R9090" s="210"/>
      <c r="S9090" s="232"/>
      <c r="T9090" s="270"/>
    </row>
    <row r="9091" spans="14:20" x14ac:dyDescent="0.25">
      <c r="N9091" s="362"/>
      <c r="R9091" s="210"/>
      <c r="S9091" s="232"/>
      <c r="T9091" s="270"/>
    </row>
    <row r="9092" spans="14:20" x14ac:dyDescent="0.25">
      <c r="N9092" s="362"/>
      <c r="R9092" s="210"/>
      <c r="S9092" s="232"/>
      <c r="T9092" s="270"/>
    </row>
    <row r="9093" spans="14:20" x14ac:dyDescent="0.25">
      <c r="N9093" s="362"/>
      <c r="R9093" s="210"/>
      <c r="S9093" s="232"/>
      <c r="T9093" s="270"/>
    </row>
    <row r="9094" spans="14:20" x14ac:dyDescent="0.25">
      <c r="N9094" s="362"/>
      <c r="R9094" s="210"/>
      <c r="S9094" s="232"/>
      <c r="T9094" s="270"/>
    </row>
    <row r="9095" spans="14:20" x14ac:dyDescent="0.25">
      <c r="N9095" s="362"/>
      <c r="R9095" s="210"/>
      <c r="S9095" s="232"/>
      <c r="T9095" s="270"/>
    </row>
    <row r="9096" spans="14:20" x14ac:dyDescent="0.25">
      <c r="N9096" s="362"/>
      <c r="R9096" s="210"/>
      <c r="S9096" s="232"/>
      <c r="T9096" s="270"/>
    </row>
    <row r="9097" spans="14:20" x14ac:dyDescent="0.25">
      <c r="N9097" s="362"/>
      <c r="R9097" s="210"/>
      <c r="S9097" s="232"/>
      <c r="T9097" s="270"/>
    </row>
    <row r="9098" spans="14:20" x14ac:dyDescent="0.25">
      <c r="N9098" s="362"/>
      <c r="R9098" s="210"/>
      <c r="S9098" s="232"/>
      <c r="T9098" s="270"/>
    </row>
    <row r="9099" spans="14:20" x14ac:dyDescent="0.25">
      <c r="N9099" s="362"/>
      <c r="R9099" s="210"/>
      <c r="S9099" s="232"/>
      <c r="T9099" s="270"/>
    </row>
    <row r="9100" spans="14:20" x14ac:dyDescent="0.25">
      <c r="N9100" s="362"/>
      <c r="R9100" s="210"/>
      <c r="S9100" s="232"/>
      <c r="T9100" s="270"/>
    </row>
    <row r="9101" spans="14:20" x14ac:dyDescent="0.25">
      <c r="N9101" s="362"/>
      <c r="R9101" s="210"/>
      <c r="S9101" s="232"/>
      <c r="T9101" s="270"/>
    </row>
    <row r="9102" spans="14:20" x14ac:dyDescent="0.25">
      <c r="N9102" s="362"/>
      <c r="R9102" s="210"/>
      <c r="S9102" s="232"/>
      <c r="T9102" s="270"/>
    </row>
    <row r="9103" spans="14:20" x14ac:dyDescent="0.25">
      <c r="N9103" s="362"/>
      <c r="R9103" s="210"/>
      <c r="S9103" s="232"/>
      <c r="T9103" s="270"/>
    </row>
    <row r="9104" spans="14:20" x14ac:dyDescent="0.25">
      <c r="N9104" s="362"/>
      <c r="R9104" s="210"/>
      <c r="S9104" s="232"/>
      <c r="T9104" s="270"/>
    </row>
    <row r="9105" spans="14:20" x14ac:dyDescent="0.25">
      <c r="N9105" s="362"/>
      <c r="R9105" s="210"/>
      <c r="S9105" s="232"/>
      <c r="T9105" s="270"/>
    </row>
    <row r="9106" spans="14:20" x14ac:dyDescent="0.25">
      <c r="N9106" s="362"/>
      <c r="R9106" s="210"/>
      <c r="S9106" s="232"/>
      <c r="T9106" s="270"/>
    </row>
    <row r="9107" spans="14:20" x14ac:dyDescent="0.25">
      <c r="N9107" s="362"/>
      <c r="R9107" s="210"/>
      <c r="S9107" s="232"/>
      <c r="T9107" s="270"/>
    </row>
    <row r="9108" spans="14:20" x14ac:dyDescent="0.25">
      <c r="N9108" s="362"/>
      <c r="R9108" s="210"/>
      <c r="S9108" s="232"/>
      <c r="T9108" s="270"/>
    </row>
    <row r="9109" spans="14:20" x14ac:dyDescent="0.25">
      <c r="N9109" s="362"/>
      <c r="R9109" s="210"/>
      <c r="S9109" s="232"/>
      <c r="T9109" s="270"/>
    </row>
    <row r="9110" spans="14:20" x14ac:dyDescent="0.25">
      <c r="N9110" s="362"/>
      <c r="R9110" s="210"/>
      <c r="S9110" s="232"/>
      <c r="T9110" s="270"/>
    </row>
    <row r="9111" spans="14:20" x14ac:dyDescent="0.25">
      <c r="N9111" s="362"/>
      <c r="R9111" s="210"/>
      <c r="S9111" s="232"/>
      <c r="T9111" s="270"/>
    </row>
    <row r="9112" spans="14:20" x14ac:dyDescent="0.25">
      <c r="N9112" s="362"/>
      <c r="R9112" s="210"/>
      <c r="S9112" s="232"/>
      <c r="T9112" s="270"/>
    </row>
    <row r="9113" spans="14:20" x14ac:dyDescent="0.25">
      <c r="N9113" s="362"/>
      <c r="R9113" s="210"/>
      <c r="S9113" s="232"/>
      <c r="T9113" s="270"/>
    </row>
    <row r="9114" spans="14:20" x14ac:dyDescent="0.25">
      <c r="N9114" s="362"/>
      <c r="R9114" s="210"/>
      <c r="S9114" s="232"/>
      <c r="T9114" s="270"/>
    </row>
    <row r="9115" spans="14:20" x14ac:dyDescent="0.25">
      <c r="N9115" s="362"/>
      <c r="R9115" s="210"/>
      <c r="S9115" s="232"/>
      <c r="T9115" s="270"/>
    </row>
    <row r="9116" spans="14:20" x14ac:dyDescent="0.25">
      <c r="N9116" s="362"/>
      <c r="R9116" s="210"/>
      <c r="S9116" s="232"/>
      <c r="T9116" s="270"/>
    </row>
    <row r="9117" spans="14:20" x14ac:dyDescent="0.25">
      <c r="N9117" s="362"/>
      <c r="R9117" s="210"/>
      <c r="S9117" s="232"/>
      <c r="T9117" s="270"/>
    </row>
    <row r="9118" spans="14:20" x14ac:dyDescent="0.25">
      <c r="N9118" s="362"/>
      <c r="R9118" s="210"/>
      <c r="S9118" s="232"/>
      <c r="T9118" s="270"/>
    </row>
    <row r="9119" spans="14:20" x14ac:dyDescent="0.25">
      <c r="N9119" s="362"/>
      <c r="R9119" s="210"/>
      <c r="S9119" s="232"/>
      <c r="T9119" s="270"/>
    </row>
    <row r="9120" spans="14:20" x14ac:dyDescent="0.25">
      <c r="N9120" s="362"/>
      <c r="R9120" s="210"/>
      <c r="S9120" s="232"/>
      <c r="T9120" s="270"/>
    </row>
    <row r="9121" spans="14:20" x14ac:dyDescent="0.25">
      <c r="N9121" s="362"/>
      <c r="R9121" s="210"/>
      <c r="S9121" s="232"/>
      <c r="T9121" s="270"/>
    </row>
    <row r="9122" spans="14:20" x14ac:dyDescent="0.25">
      <c r="N9122" s="362"/>
      <c r="R9122" s="210"/>
      <c r="S9122" s="232"/>
      <c r="T9122" s="270"/>
    </row>
    <row r="9123" spans="14:20" x14ac:dyDescent="0.25">
      <c r="N9123" s="362"/>
      <c r="R9123" s="210"/>
      <c r="S9123" s="232"/>
      <c r="T9123" s="270"/>
    </row>
    <row r="9124" spans="14:20" x14ac:dyDescent="0.25">
      <c r="N9124" s="362"/>
      <c r="R9124" s="210"/>
      <c r="S9124" s="232"/>
      <c r="T9124" s="270"/>
    </row>
    <row r="9125" spans="14:20" x14ac:dyDescent="0.25">
      <c r="N9125" s="362"/>
      <c r="R9125" s="210"/>
      <c r="S9125" s="232"/>
      <c r="T9125" s="270"/>
    </row>
    <row r="9126" spans="14:20" x14ac:dyDescent="0.25">
      <c r="N9126" s="362"/>
      <c r="R9126" s="210"/>
      <c r="S9126" s="232"/>
      <c r="T9126" s="270"/>
    </row>
    <row r="9127" spans="14:20" x14ac:dyDescent="0.25">
      <c r="N9127" s="362"/>
      <c r="R9127" s="210"/>
      <c r="S9127" s="232"/>
      <c r="T9127" s="270"/>
    </row>
    <row r="9128" spans="14:20" x14ac:dyDescent="0.25">
      <c r="N9128" s="362"/>
      <c r="R9128" s="210"/>
      <c r="S9128" s="232"/>
      <c r="T9128" s="270"/>
    </row>
    <row r="9129" spans="14:20" x14ac:dyDescent="0.25">
      <c r="N9129" s="362"/>
      <c r="R9129" s="210"/>
      <c r="S9129" s="232"/>
      <c r="T9129" s="270"/>
    </row>
    <row r="9130" spans="14:20" x14ac:dyDescent="0.25">
      <c r="N9130" s="362"/>
      <c r="R9130" s="210"/>
      <c r="S9130" s="232"/>
      <c r="T9130" s="270"/>
    </row>
    <row r="9131" spans="14:20" x14ac:dyDescent="0.25">
      <c r="N9131" s="362"/>
      <c r="R9131" s="210"/>
      <c r="S9131" s="232"/>
      <c r="T9131" s="270"/>
    </row>
    <row r="9132" spans="14:20" x14ac:dyDescent="0.25">
      <c r="N9132" s="362"/>
      <c r="R9132" s="210"/>
      <c r="S9132" s="232"/>
      <c r="T9132" s="270"/>
    </row>
    <row r="9133" spans="14:20" x14ac:dyDescent="0.25">
      <c r="N9133" s="362"/>
      <c r="R9133" s="210"/>
      <c r="S9133" s="232"/>
      <c r="T9133" s="270"/>
    </row>
    <row r="9134" spans="14:20" x14ac:dyDescent="0.25">
      <c r="N9134" s="362"/>
      <c r="R9134" s="210"/>
      <c r="S9134" s="232"/>
      <c r="T9134" s="270"/>
    </row>
    <row r="9135" spans="14:20" x14ac:dyDescent="0.25">
      <c r="N9135" s="362"/>
      <c r="R9135" s="210"/>
      <c r="S9135" s="232"/>
      <c r="T9135" s="270"/>
    </row>
    <row r="9136" spans="14:20" x14ac:dyDescent="0.25">
      <c r="N9136" s="362"/>
      <c r="R9136" s="210"/>
      <c r="S9136" s="232"/>
      <c r="T9136" s="270"/>
    </row>
    <row r="9137" spans="14:20" x14ac:dyDescent="0.25">
      <c r="N9137" s="362"/>
      <c r="R9137" s="210"/>
      <c r="S9137" s="232"/>
      <c r="T9137" s="270"/>
    </row>
    <row r="9138" spans="14:20" x14ac:dyDescent="0.25">
      <c r="N9138" s="362"/>
      <c r="R9138" s="210"/>
      <c r="S9138" s="232"/>
      <c r="T9138" s="270"/>
    </row>
    <row r="9139" spans="14:20" x14ac:dyDescent="0.25">
      <c r="N9139" s="362"/>
      <c r="R9139" s="210"/>
      <c r="S9139" s="232"/>
      <c r="T9139" s="270"/>
    </row>
    <row r="9140" spans="14:20" x14ac:dyDescent="0.25">
      <c r="N9140" s="362"/>
      <c r="R9140" s="210"/>
      <c r="S9140" s="232"/>
      <c r="T9140" s="270"/>
    </row>
    <row r="9141" spans="14:20" x14ac:dyDescent="0.25">
      <c r="N9141" s="362"/>
      <c r="R9141" s="210"/>
      <c r="S9141" s="232"/>
      <c r="T9141" s="270"/>
    </row>
    <row r="9142" spans="14:20" x14ac:dyDescent="0.25">
      <c r="N9142" s="362"/>
      <c r="R9142" s="210"/>
      <c r="S9142" s="232"/>
      <c r="T9142" s="270"/>
    </row>
    <row r="9143" spans="14:20" x14ac:dyDescent="0.25">
      <c r="N9143" s="362"/>
      <c r="R9143" s="210"/>
      <c r="S9143" s="232"/>
      <c r="T9143" s="270"/>
    </row>
    <row r="9144" spans="14:20" x14ac:dyDescent="0.25">
      <c r="N9144" s="362"/>
      <c r="R9144" s="210"/>
      <c r="S9144" s="232"/>
      <c r="T9144" s="270"/>
    </row>
    <row r="9145" spans="14:20" x14ac:dyDescent="0.25">
      <c r="N9145" s="362"/>
      <c r="R9145" s="210"/>
      <c r="S9145" s="232"/>
      <c r="T9145" s="270"/>
    </row>
    <row r="9146" spans="14:20" x14ac:dyDescent="0.25">
      <c r="N9146" s="362"/>
      <c r="R9146" s="210"/>
      <c r="S9146" s="232"/>
      <c r="T9146" s="270"/>
    </row>
    <row r="9147" spans="14:20" x14ac:dyDescent="0.25">
      <c r="N9147" s="362"/>
      <c r="R9147" s="210"/>
      <c r="S9147" s="232"/>
      <c r="T9147" s="270"/>
    </row>
    <row r="9148" spans="14:20" x14ac:dyDescent="0.25">
      <c r="N9148" s="362"/>
      <c r="R9148" s="210"/>
      <c r="S9148" s="232"/>
      <c r="T9148" s="270"/>
    </row>
    <row r="9149" spans="14:20" x14ac:dyDescent="0.25">
      <c r="N9149" s="362"/>
      <c r="R9149" s="210"/>
      <c r="S9149" s="232"/>
      <c r="T9149" s="270"/>
    </row>
    <row r="9150" spans="14:20" x14ac:dyDescent="0.25">
      <c r="N9150" s="362"/>
      <c r="R9150" s="210"/>
      <c r="S9150" s="232"/>
      <c r="T9150" s="270"/>
    </row>
    <row r="9151" spans="14:20" x14ac:dyDescent="0.25">
      <c r="N9151" s="362"/>
      <c r="R9151" s="210"/>
      <c r="S9151" s="232"/>
      <c r="T9151" s="270"/>
    </row>
    <row r="9152" spans="14:20" x14ac:dyDescent="0.25">
      <c r="N9152" s="362"/>
      <c r="R9152" s="210"/>
      <c r="S9152" s="232"/>
      <c r="T9152" s="270"/>
    </row>
    <row r="9153" spans="14:20" x14ac:dyDescent="0.25">
      <c r="N9153" s="362"/>
      <c r="R9153" s="210"/>
      <c r="S9153" s="232"/>
      <c r="T9153" s="270"/>
    </row>
    <row r="9154" spans="14:20" x14ac:dyDescent="0.25">
      <c r="N9154" s="362"/>
      <c r="R9154" s="210"/>
      <c r="S9154" s="232"/>
      <c r="T9154" s="270"/>
    </row>
    <row r="9155" spans="14:20" x14ac:dyDescent="0.25">
      <c r="N9155" s="362"/>
      <c r="R9155" s="210"/>
      <c r="S9155" s="232"/>
      <c r="T9155" s="270"/>
    </row>
    <row r="9156" spans="14:20" x14ac:dyDescent="0.25">
      <c r="N9156" s="362"/>
      <c r="R9156" s="210"/>
      <c r="S9156" s="232"/>
      <c r="T9156" s="270"/>
    </row>
    <row r="9157" spans="14:20" x14ac:dyDescent="0.25">
      <c r="N9157" s="362"/>
      <c r="R9157" s="210"/>
      <c r="S9157" s="232"/>
      <c r="T9157" s="270"/>
    </row>
    <row r="9158" spans="14:20" x14ac:dyDescent="0.25">
      <c r="N9158" s="362"/>
      <c r="R9158" s="210"/>
      <c r="S9158" s="232"/>
      <c r="T9158" s="270"/>
    </row>
    <row r="9159" spans="14:20" x14ac:dyDescent="0.25">
      <c r="N9159" s="362"/>
      <c r="R9159" s="210"/>
      <c r="S9159" s="232"/>
      <c r="T9159" s="270"/>
    </row>
    <row r="9160" spans="14:20" x14ac:dyDescent="0.25">
      <c r="N9160" s="362"/>
      <c r="R9160" s="210"/>
      <c r="S9160" s="232"/>
      <c r="T9160" s="270"/>
    </row>
    <row r="9161" spans="14:20" x14ac:dyDescent="0.25">
      <c r="N9161" s="362"/>
      <c r="R9161" s="210"/>
      <c r="S9161" s="232"/>
      <c r="T9161" s="270"/>
    </row>
    <row r="9162" spans="14:20" x14ac:dyDescent="0.25">
      <c r="N9162" s="362"/>
      <c r="R9162" s="210"/>
      <c r="S9162" s="232"/>
      <c r="T9162" s="270"/>
    </row>
    <row r="9163" spans="14:20" x14ac:dyDescent="0.25">
      <c r="N9163" s="362"/>
      <c r="R9163" s="210"/>
      <c r="S9163" s="232"/>
      <c r="T9163" s="270"/>
    </row>
    <row r="9164" spans="14:20" x14ac:dyDescent="0.25">
      <c r="N9164" s="362"/>
      <c r="R9164" s="210"/>
      <c r="S9164" s="232"/>
      <c r="T9164" s="270"/>
    </row>
    <row r="9165" spans="14:20" x14ac:dyDescent="0.25">
      <c r="N9165" s="362"/>
      <c r="R9165" s="210"/>
      <c r="S9165" s="232"/>
      <c r="T9165" s="270"/>
    </row>
    <row r="9166" spans="14:20" x14ac:dyDescent="0.25">
      <c r="N9166" s="362"/>
      <c r="R9166" s="210"/>
      <c r="S9166" s="232"/>
      <c r="T9166" s="270"/>
    </row>
    <row r="9167" spans="14:20" x14ac:dyDescent="0.25">
      <c r="N9167" s="362"/>
      <c r="R9167" s="210"/>
      <c r="S9167" s="232"/>
      <c r="T9167" s="270"/>
    </row>
    <row r="9168" spans="14:20" x14ac:dyDescent="0.25">
      <c r="N9168" s="362"/>
      <c r="R9168" s="210"/>
      <c r="S9168" s="232"/>
      <c r="T9168" s="270"/>
    </row>
    <row r="9169" spans="14:20" x14ac:dyDescent="0.25">
      <c r="N9169" s="362"/>
      <c r="R9169" s="210"/>
      <c r="S9169" s="232"/>
      <c r="T9169" s="270"/>
    </row>
    <row r="9170" spans="14:20" x14ac:dyDescent="0.25">
      <c r="N9170" s="362"/>
      <c r="R9170" s="210"/>
      <c r="S9170" s="232"/>
      <c r="T9170" s="270"/>
    </row>
    <row r="9171" spans="14:20" x14ac:dyDescent="0.25">
      <c r="N9171" s="362"/>
      <c r="R9171" s="210"/>
      <c r="S9171" s="232"/>
      <c r="T9171" s="270"/>
    </row>
    <row r="9172" spans="14:20" x14ac:dyDescent="0.25">
      <c r="N9172" s="362"/>
      <c r="R9172" s="210"/>
      <c r="S9172" s="232"/>
      <c r="T9172" s="270"/>
    </row>
    <row r="9173" spans="14:20" x14ac:dyDescent="0.25">
      <c r="N9173" s="362"/>
      <c r="R9173" s="210"/>
      <c r="S9173" s="232"/>
      <c r="T9173" s="270"/>
    </row>
    <row r="9174" spans="14:20" x14ac:dyDescent="0.25">
      <c r="N9174" s="362"/>
      <c r="R9174" s="210"/>
      <c r="S9174" s="232"/>
      <c r="T9174" s="270"/>
    </row>
    <row r="9175" spans="14:20" x14ac:dyDescent="0.25">
      <c r="N9175" s="362"/>
      <c r="R9175" s="210"/>
      <c r="S9175" s="232"/>
      <c r="T9175" s="270"/>
    </row>
    <row r="9176" spans="14:20" x14ac:dyDescent="0.25">
      <c r="N9176" s="362"/>
      <c r="R9176" s="210"/>
      <c r="S9176" s="232"/>
      <c r="T9176" s="270"/>
    </row>
    <row r="9177" spans="14:20" x14ac:dyDescent="0.25">
      <c r="N9177" s="362"/>
      <c r="R9177" s="210"/>
      <c r="S9177" s="232"/>
      <c r="T9177" s="270"/>
    </row>
    <row r="9178" spans="14:20" x14ac:dyDescent="0.25">
      <c r="N9178" s="362"/>
      <c r="R9178" s="210"/>
      <c r="S9178" s="232"/>
      <c r="T9178" s="270"/>
    </row>
    <row r="9179" spans="14:20" x14ac:dyDescent="0.25">
      <c r="N9179" s="362"/>
      <c r="R9179" s="210"/>
      <c r="S9179" s="232"/>
      <c r="T9179" s="270"/>
    </row>
    <row r="9180" spans="14:20" x14ac:dyDescent="0.25">
      <c r="N9180" s="362"/>
      <c r="R9180" s="210"/>
      <c r="S9180" s="232"/>
      <c r="T9180" s="270"/>
    </row>
    <row r="9181" spans="14:20" x14ac:dyDescent="0.25">
      <c r="N9181" s="362"/>
      <c r="R9181" s="210"/>
      <c r="S9181" s="232"/>
      <c r="T9181" s="270"/>
    </row>
    <row r="9182" spans="14:20" x14ac:dyDescent="0.25">
      <c r="N9182" s="362"/>
      <c r="R9182" s="210"/>
      <c r="S9182" s="232"/>
      <c r="T9182" s="270"/>
    </row>
    <row r="9183" spans="14:20" x14ac:dyDescent="0.25">
      <c r="N9183" s="362"/>
      <c r="R9183" s="210"/>
      <c r="S9183" s="232"/>
      <c r="T9183" s="270"/>
    </row>
    <row r="9184" spans="14:20" x14ac:dyDescent="0.25">
      <c r="N9184" s="362"/>
      <c r="R9184" s="210"/>
      <c r="S9184" s="232"/>
      <c r="T9184" s="270"/>
    </row>
    <row r="9185" spans="14:20" x14ac:dyDescent="0.25">
      <c r="N9185" s="362"/>
      <c r="R9185" s="210"/>
      <c r="S9185" s="232"/>
      <c r="T9185" s="270"/>
    </row>
    <row r="9186" spans="14:20" x14ac:dyDescent="0.25">
      <c r="N9186" s="362"/>
      <c r="R9186" s="210"/>
      <c r="S9186" s="232"/>
      <c r="T9186" s="270"/>
    </row>
    <row r="9187" spans="14:20" x14ac:dyDescent="0.25">
      <c r="N9187" s="362"/>
      <c r="R9187" s="210"/>
      <c r="S9187" s="232"/>
      <c r="T9187" s="270"/>
    </row>
    <row r="9188" spans="14:20" x14ac:dyDescent="0.25">
      <c r="N9188" s="362"/>
      <c r="R9188" s="210"/>
      <c r="S9188" s="232"/>
      <c r="T9188" s="270"/>
    </row>
    <row r="9189" spans="14:20" x14ac:dyDescent="0.25">
      <c r="N9189" s="362"/>
      <c r="R9189" s="210"/>
      <c r="S9189" s="232"/>
      <c r="T9189" s="270"/>
    </row>
    <row r="9190" spans="14:20" x14ac:dyDescent="0.25">
      <c r="N9190" s="362"/>
      <c r="R9190" s="210"/>
      <c r="S9190" s="232"/>
      <c r="T9190" s="270"/>
    </row>
    <row r="9191" spans="14:20" x14ac:dyDescent="0.25">
      <c r="N9191" s="362"/>
      <c r="R9191" s="210"/>
      <c r="S9191" s="232"/>
      <c r="T9191" s="270"/>
    </row>
    <row r="9192" spans="14:20" x14ac:dyDescent="0.25">
      <c r="N9192" s="362"/>
      <c r="R9192" s="210"/>
      <c r="S9192" s="232"/>
      <c r="T9192" s="270"/>
    </row>
    <row r="9193" spans="14:20" x14ac:dyDescent="0.25">
      <c r="N9193" s="362"/>
      <c r="R9193" s="210"/>
      <c r="S9193" s="232"/>
      <c r="T9193" s="270"/>
    </row>
    <row r="9194" spans="14:20" x14ac:dyDescent="0.25">
      <c r="N9194" s="362"/>
      <c r="R9194" s="210"/>
      <c r="S9194" s="232"/>
      <c r="T9194" s="270"/>
    </row>
    <row r="9195" spans="14:20" x14ac:dyDescent="0.25">
      <c r="N9195" s="362"/>
      <c r="R9195" s="210"/>
      <c r="S9195" s="232"/>
      <c r="T9195" s="270"/>
    </row>
    <row r="9196" spans="14:20" x14ac:dyDescent="0.25">
      <c r="N9196" s="362"/>
      <c r="R9196" s="210"/>
      <c r="S9196" s="232"/>
      <c r="T9196" s="270"/>
    </row>
    <row r="9197" spans="14:20" x14ac:dyDescent="0.25">
      <c r="N9197" s="362"/>
      <c r="R9197" s="210"/>
      <c r="S9197" s="232"/>
      <c r="T9197" s="270"/>
    </row>
    <row r="9198" spans="14:20" x14ac:dyDescent="0.25">
      <c r="N9198" s="362"/>
      <c r="R9198" s="210"/>
      <c r="S9198" s="232"/>
      <c r="T9198" s="270"/>
    </row>
    <row r="9199" spans="14:20" x14ac:dyDescent="0.25">
      <c r="N9199" s="362"/>
      <c r="R9199" s="210"/>
      <c r="S9199" s="232"/>
      <c r="T9199" s="270"/>
    </row>
    <row r="9200" spans="14:20" x14ac:dyDescent="0.25">
      <c r="N9200" s="362"/>
      <c r="R9200" s="210"/>
      <c r="S9200" s="232"/>
      <c r="T9200" s="270"/>
    </row>
    <row r="9201" spans="14:20" x14ac:dyDescent="0.25">
      <c r="N9201" s="362"/>
      <c r="R9201" s="210"/>
      <c r="S9201" s="232"/>
      <c r="T9201" s="270"/>
    </row>
    <row r="9202" spans="14:20" x14ac:dyDescent="0.25">
      <c r="N9202" s="362"/>
      <c r="R9202" s="210"/>
      <c r="S9202" s="232"/>
      <c r="T9202" s="270"/>
    </row>
    <row r="9203" spans="14:20" x14ac:dyDescent="0.25">
      <c r="N9203" s="362"/>
      <c r="R9203" s="210"/>
      <c r="S9203" s="232"/>
      <c r="T9203" s="270"/>
    </row>
    <row r="9204" spans="14:20" x14ac:dyDescent="0.25">
      <c r="N9204" s="362"/>
      <c r="R9204" s="210"/>
      <c r="S9204" s="232"/>
      <c r="T9204" s="270"/>
    </row>
    <row r="9205" spans="14:20" x14ac:dyDescent="0.25">
      <c r="N9205" s="362"/>
      <c r="R9205" s="210"/>
      <c r="S9205" s="232"/>
      <c r="T9205" s="270"/>
    </row>
    <row r="9206" spans="14:20" x14ac:dyDescent="0.25">
      <c r="N9206" s="362"/>
      <c r="R9206" s="210"/>
      <c r="S9206" s="232"/>
      <c r="T9206" s="270"/>
    </row>
    <row r="9207" spans="14:20" x14ac:dyDescent="0.25">
      <c r="N9207" s="362"/>
      <c r="R9207" s="210"/>
      <c r="S9207" s="232"/>
      <c r="T9207" s="270"/>
    </row>
    <row r="9208" spans="14:20" x14ac:dyDescent="0.25">
      <c r="N9208" s="362"/>
      <c r="R9208" s="210"/>
      <c r="S9208" s="232"/>
      <c r="T9208" s="270"/>
    </row>
    <row r="9209" spans="14:20" x14ac:dyDescent="0.25">
      <c r="N9209" s="362"/>
      <c r="R9209" s="210"/>
      <c r="S9209" s="232"/>
      <c r="T9209" s="270"/>
    </row>
    <row r="9210" spans="14:20" x14ac:dyDescent="0.25">
      <c r="N9210" s="362"/>
      <c r="R9210" s="210"/>
      <c r="S9210" s="232"/>
      <c r="T9210" s="270"/>
    </row>
    <row r="9211" spans="14:20" x14ac:dyDescent="0.25">
      <c r="N9211" s="362"/>
      <c r="R9211" s="210"/>
      <c r="S9211" s="232"/>
      <c r="T9211" s="270"/>
    </row>
    <row r="9212" spans="14:20" x14ac:dyDescent="0.25">
      <c r="N9212" s="362"/>
      <c r="R9212" s="210"/>
      <c r="S9212" s="232"/>
      <c r="T9212" s="270"/>
    </row>
    <row r="9213" spans="14:20" x14ac:dyDescent="0.25">
      <c r="N9213" s="362"/>
      <c r="R9213" s="210"/>
      <c r="S9213" s="232"/>
      <c r="T9213" s="270"/>
    </row>
    <row r="9214" spans="14:20" x14ac:dyDescent="0.25">
      <c r="N9214" s="362"/>
      <c r="R9214" s="210"/>
      <c r="S9214" s="232"/>
      <c r="T9214" s="270"/>
    </row>
    <row r="9215" spans="14:20" x14ac:dyDescent="0.25">
      <c r="N9215" s="362"/>
      <c r="R9215" s="210"/>
      <c r="S9215" s="232"/>
      <c r="T9215" s="270"/>
    </row>
    <row r="9216" spans="14:20" x14ac:dyDescent="0.25">
      <c r="N9216" s="362"/>
      <c r="R9216" s="210"/>
      <c r="S9216" s="232"/>
      <c r="T9216" s="270"/>
    </row>
    <row r="9217" spans="14:20" x14ac:dyDescent="0.25">
      <c r="N9217" s="362"/>
      <c r="R9217" s="210"/>
      <c r="S9217" s="232"/>
      <c r="T9217" s="270"/>
    </row>
    <row r="9218" spans="14:20" x14ac:dyDescent="0.25">
      <c r="N9218" s="362"/>
      <c r="R9218" s="210"/>
      <c r="S9218" s="232"/>
      <c r="T9218" s="270"/>
    </row>
    <row r="9219" spans="14:20" x14ac:dyDescent="0.25">
      <c r="N9219" s="362"/>
      <c r="R9219" s="210"/>
      <c r="S9219" s="232"/>
      <c r="T9219" s="270"/>
    </row>
    <row r="9220" spans="14:20" x14ac:dyDescent="0.25">
      <c r="N9220" s="362"/>
      <c r="R9220" s="210"/>
      <c r="S9220" s="232"/>
      <c r="T9220" s="270"/>
    </row>
    <row r="9221" spans="14:20" x14ac:dyDescent="0.25">
      <c r="N9221" s="362"/>
      <c r="R9221" s="210"/>
      <c r="S9221" s="232"/>
      <c r="T9221" s="270"/>
    </row>
    <row r="9222" spans="14:20" x14ac:dyDescent="0.25">
      <c r="N9222" s="362"/>
      <c r="R9222" s="210"/>
      <c r="S9222" s="232"/>
      <c r="T9222" s="270"/>
    </row>
    <row r="9223" spans="14:20" x14ac:dyDescent="0.25">
      <c r="N9223" s="362"/>
      <c r="R9223" s="210"/>
      <c r="S9223" s="232"/>
      <c r="T9223" s="270"/>
    </row>
    <row r="9224" spans="14:20" x14ac:dyDescent="0.25">
      <c r="N9224" s="362"/>
      <c r="R9224" s="210"/>
      <c r="S9224" s="232"/>
      <c r="T9224" s="270"/>
    </row>
    <row r="9225" spans="14:20" x14ac:dyDescent="0.25">
      <c r="N9225" s="362"/>
      <c r="R9225" s="210"/>
      <c r="S9225" s="232"/>
      <c r="T9225" s="270"/>
    </row>
    <row r="9226" spans="14:20" x14ac:dyDescent="0.25">
      <c r="N9226" s="362"/>
      <c r="R9226" s="210"/>
      <c r="S9226" s="232"/>
      <c r="T9226" s="270"/>
    </row>
    <row r="9227" spans="14:20" x14ac:dyDescent="0.25">
      <c r="N9227" s="362"/>
      <c r="R9227" s="210"/>
      <c r="S9227" s="232"/>
      <c r="T9227" s="270"/>
    </row>
    <row r="9228" spans="14:20" x14ac:dyDescent="0.25">
      <c r="N9228" s="362"/>
      <c r="R9228" s="210"/>
      <c r="S9228" s="232"/>
      <c r="T9228" s="270"/>
    </row>
    <row r="9229" spans="14:20" x14ac:dyDescent="0.25">
      <c r="N9229" s="362"/>
      <c r="R9229" s="210"/>
      <c r="S9229" s="232"/>
      <c r="T9229" s="270"/>
    </row>
    <row r="9230" spans="14:20" x14ac:dyDescent="0.25">
      <c r="N9230" s="362"/>
      <c r="R9230" s="210"/>
      <c r="S9230" s="232"/>
      <c r="T9230" s="270"/>
    </row>
    <row r="9231" spans="14:20" x14ac:dyDescent="0.25">
      <c r="N9231" s="362"/>
      <c r="R9231" s="210"/>
      <c r="S9231" s="232"/>
      <c r="T9231" s="270"/>
    </row>
    <row r="9232" spans="14:20" x14ac:dyDescent="0.25">
      <c r="N9232" s="362"/>
      <c r="R9232" s="210"/>
      <c r="S9232" s="232"/>
      <c r="T9232" s="270"/>
    </row>
    <row r="9233" spans="14:20" x14ac:dyDescent="0.25">
      <c r="N9233" s="362"/>
      <c r="R9233" s="210"/>
      <c r="S9233" s="232"/>
      <c r="T9233" s="270"/>
    </row>
    <row r="9234" spans="14:20" x14ac:dyDescent="0.25">
      <c r="N9234" s="362"/>
      <c r="R9234" s="210"/>
      <c r="S9234" s="232"/>
      <c r="T9234" s="270"/>
    </row>
    <row r="9235" spans="14:20" x14ac:dyDescent="0.25">
      <c r="N9235" s="362"/>
      <c r="R9235" s="210"/>
      <c r="S9235" s="232"/>
      <c r="T9235" s="270"/>
    </row>
    <row r="9236" spans="14:20" x14ac:dyDescent="0.25">
      <c r="N9236" s="362"/>
      <c r="R9236" s="210"/>
      <c r="S9236" s="232"/>
      <c r="T9236" s="270"/>
    </row>
    <row r="9237" spans="14:20" x14ac:dyDescent="0.25">
      <c r="N9237" s="362"/>
      <c r="R9237" s="210"/>
      <c r="S9237" s="232"/>
      <c r="T9237" s="270"/>
    </row>
    <row r="9238" spans="14:20" x14ac:dyDescent="0.25">
      <c r="N9238" s="362"/>
      <c r="R9238" s="210"/>
      <c r="S9238" s="232"/>
      <c r="T9238" s="270"/>
    </row>
    <row r="9239" spans="14:20" x14ac:dyDescent="0.25">
      <c r="N9239" s="362"/>
      <c r="R9239" s="210"/>
      <c r="S9239" s="232"/>
      <c r="T9239" s="270"/>
    </row>
    <row r="9240" spans="14:20" x14ac:dyDescent="0.25">
      <c r="N9240" s="362"/>
      <c r="R9240" s="210"/>
      <c r="S9240" s="232"/>
      <c r="T9240" s="270"/>
    </row>
    <row r="9241" spans="14:20" x14ac:dyDescent="0.25">
      <c r="N9241" s="362"/>
      <c r="R9241" s="210"/>
      <c r="S9241" s="232"/>
      <c r="T9241" s="270"/>
    </row>
    <row r="9242" spans="14:20" x14ac:dyDescent="0.25">
      <c r="N9242" s="362"/>
      <c r="R9242" s="210"/>
      <c r="S9242" s="232"/>
      <c r="T9242" s="270"/>
    </row>
    <row r="9243" spans="14:20" x14ac:dyDescent="0.25">
      <c r="N9243" s="362"/>
      <c r="R9243" s="210"/>
      <c r="S9243" s="232"/>
      <c r="T9243" s="270"/>
    </row>
    <row r="9244" spans="14:20" x14ac:dyDescent="0.25">
      <c r="N9244" s="362"/>
      <c r="R9244" s="210"/>
      <c r="S9244" s="232"/>
      <c r="T9244" s="270"/>
    </row>
    <row r="9245" spans="14:20" x14ac:dyDescent="0.25">
      <c r="N9245" s="362"/>
      <c r="R9245" s="210"/>
      <c r="S9245" s="232"/>
      <c r="T9245" s="270"/>
    </row>
    <row r="9246" spans="14:20" x14ac:dyDescent="0.25">
      <c r="N9246" s="362"/>
      <c r="R9246" s="210"/>
      <c r="S9246" s="232"/>
      <c r="T9246" s="270"/>
    </row>
    <row r="9247" spans="14:20" x14ac:dyDescent="0.25">
      <c r="N9247" s="362"/>
      <c r="R9247" s="210"/>
      <c r="S9247" s="232"/>
      <c r="T9247" s="270"/>
    </row>
    <row r="9248" spans="14:20" x14ac:dyDescent="0.25">
      <c r="N9248" s="362"/>
      <c r="R9248" s="210"/>
      <c r="S9248" s="232"/>
      <c r="T9248" s="270"/>
    </row>
    <row r="9249" spans="14:20" x14ac:dyDescent="0.25">
      <c r="N9249" s="362"/>
      <c r="R9249" s="210"/>
      <c r="S9249" s="232"/>
      <c r="T9249" s="270"/>
    </row>
    <row r="9250" spans="14:20" x14ac:dyDescent="0.25">
      <c r="N9250" s="362"/>
      <c r="R9250" s="210"/>
      <c r="S9250" s="232"/>
      <c r="T9250" s="270"/>
    </row>
    <row r="9251" spans="14:20" x14ac:dyDescent="0.25">
      <c r="N9251" s="362"/>
      <c r="R9251" s="210"/>
      <c r="S9251" s="232"/>
      <c r="T9251" s="270"/>
    </row>
    <row r="9252" spans="14:20" x14ac:dyDescent="0.25">
      <c r="N9252" s="362"/>
      <c r="R9252" s="210"/>
      <c r="S9252" s="232"/>
      <c r="T9252" s="270"/>
    </row>
    <row r="9253" spans="14:20" x14ac:dyDescent="0.25">
      <c r="N9253" s="362"/>
      <c r="R9253" s="210"/>
      <c r="S9253" s="232"/>
      <c r="T9253" s="270"/>
    </row>
    <row r="9254" spans="14:20" x14ac:dyDescent="0.25">
      <c r="N9254" s="362"/>
      <c r="R9254" s="210"/>
      <c r="S9254" s="232"/>
      <c r="T9254" s="270"/>
    </row>
    <row r="9255" spans="14:20" x14ac:dyDescent="0.25">
      <c r="N9255" s="362"/>
      <c r="R9255" s="210"/>
      <c r="S9255" s="232"/>
      <c r="T9255" s="270"/>
    </row>
    <row r="9256" spans="14:20" x14ac:dyDescent="0.25">
      <c r="N9256" s="362"/>
      <c r="R9256" s="210"/>
      <c r="S9256" s="232"/>
      <c r="T9256" s="270"/>
    </row>
    <row r="9257" spans="14:20" x14ac:dyDescent="0.25">
      <c r="N9257" s="362"/>
      <c r="R9257" s="210"/>
      <c r="S9257" s="232"/>
      <c r="T9257" s="270"/>
    </row>
    <row r="9258" spans="14:20" x14ac:dyDescent="0.25">
      <c r="N9258" s="362"/>
      <c r="R9258" s="210"/>
      <c r="S9258" s="232"/>
      <c r="T9258" s="270"/>
    </row>
    <row r="9259" spans="14:20" x14ac:dyDescent="0.25">
      <c r="N9259" s="362"/>
      <c r="R9259" s="210"/>
      <c r="S9259" s="232"/>
      <c r="T9259" s="270"/>
    </row>
    <row r="9260" spans="14:20" x14ac:dyDescent="0.25">
      <c r="N9260" s="362"/>
      <c r="R9260" s="210"/>
      <c r="S9260" s="232"/>
      <c r="T9260" s="270"/>
    </row>
    <row r="9261" spans="14:20" x14ac:dyDescent="0.25">
      <c r="N9261" s="362"/>
      <c r="R9261" s="210"/>
      <c r="S9261" s="232"/>
      <c r="T9261" s="270"/>
    </row>
    <row r="9262" spans="14:20" x14ac:dyDescent="0.25">
      <c r="N9262" s="362"/>
      <c r="R9262" s="210"/>
      <c r="S9262" s="232"/>
      <c r="T9262" s="270"/>
    </row>
    <row r="9263" spans="14:20" x14ac:dyDescent="0.25">
      <c r="N9263" s="362"/>
      <c r="R9263" s="210"/>
      <c r="S9263" s="232"/>
      <c r="T9263" s="270"/>
    </row>
    <row r="9264" spans="14:20" x14ac:dyDescent="0.25">
      <c r="N9264" s="362"/>
      <c r="R9264" s="210"/>
      <c r="S9264" s="232"/>
      <c r="T9264" s="270"/>
    </row>
    <row r="9265" spans="14:20" x14ac:dyDescent="0.25">
      <c r="N9265" s="362"/>
      <c r="R9265" s="210"/>
      <c r="S9265" s="232"/>
      <c r="T9265" s="270"/>
    </row>
    <row r="9266" spans="14:20" x14ac:dyDescent="0.25">
      <c r="N9266" s="362"/>
      <c r="R9266" s="210"/>
      <c r="S9266" s="232"/>
      <c r="T9266" s="270"/>
    </row>
    <row r="9267" spans="14:20" x14ac:dyDescent="0.25">
      <c r="N9267" s="362"/>
      <c r="R9267" s="210"/>
      <c r="S9267" s="232"/>
      <c r="T9267" s="270"/>
    </row>
    <row r="9268" spans="14:20" x14ac:dyDescent="0.25">
      <c r="N9268" s="362"/>
      <c r="R9268" s="210"/>
      <c r="S9268" s="232"/>
      <c r="T9268" s="270"/>
    </row>
    <row r="9269" spans="14:20" x14ac:dyDescent="0.25">
      <c r="N9269" s="362"/>
      <c r="R9269" s="210"/>
      <c r="S9269" s="232"/>
      <c r="T9269" s="270"/>
    </row>
    <row r="9270" spans="14:20" x14ac:dyDescent="0.25">
      <c r="N9270" s="362"/>
      <c r="R9270" s="210"/>
      <c r="S9270" s="232"/>
      <c r="T9270" s="270"/>
    </row>
    <row r="9271" spans="14:20" x14ac:dyDescent="0.25">
      <c r="N9271" s="362"/>
      <c r="R9271" s="210"/>
      <c r="S9271" s="232"/>
      <c r="T9271" s="270"/>
    </row>
    <row r="9272" spans="14:20" x14ac:dyDescent="0.25">
      <c r="N9272" s="362"/>
      <c r="R9272" s="210"/>
      <c r="S9272" s="232"/>
      <c r="T9272" s="270"/>
    </row>
    <row r="9273" spans="14:20" x14ac:dyDescent="0.25">
      <c r="N9273" s="362"/>
      <c r="R9273" s="210"/>
      <c r="S9273" s="232"/>
      <c r="T9273" s="270"/>
    </row>
    <row r="9274" spans="14:20" x14ac:dyDescent="0.25">
      <c r="N9274" s="362"/>
      <c r="R9274" s="210"/>
      <c r="S9274" s="232"/>
      <c r="T9274" s="270"/>
    </row>
    <row r="9275" spans="14:20" x14ac:dyDescent="0.25">
      <c r="N9275" s="362"/>
      <c r="R9275" s="210"/>
      <c r="S9275" s="232"/>
      <c r="T9275" s="270"/>
    </row>
    <row r="9276" spans="14:20" x14ac:dyDescent="0.25">
      <c r="N9276" s="362"/>
      <c r="R9276" s="210"/>
      <c r="S9276" s="232"/>
      <c r="T9276" s="270"/>
    </row>
    <row r="9277" spans="14:20" x14ac:dyDescent="0.25">
      <c r="N9277" s="362"/>
      <c r="R9277" s="210"/>
      <c r="S9277" s="232"/>
      <c r="T9277" s="270"/>
    </row>
    <row r="9278" spans="14:20" x14ac:dyDescent="0.25">
      <c r="N9278" s="362"/>
      <c r="R9278" s="210"/>
      <c r="S9278" s="232"/>
      <c r="T9278" s="270"/>
    </row>
    <row r="9279" spans="14:20" x14ac:dyDescent="0.25">
      <c r="N9279" s="362"/>
      <c r="R9279" s="210"/>
      <c r="S9279" s="232"/>
      <c r="T9279" s="270"/>
    </row>
    <row r="9280" spans="14:20" x14ac:dyDescent="0.25">
      <c r="N9280" s="362"/>
      <c r="R9280" s="210"/>
      <c r="S9280" s="232"/>
      <c r="T9280" s="270"/>
    </row>
    <row r="9281" spans="14:20" x14ac:dyDescent="0.25">
      <c r="N9281" s="362"/>
      <c r="R9281" s="210"/>
      <c r="S9281" s="232"/>
      <c r="T9281" s="270"/>
    </row>
    <row r="9282" spans="14:20" x14ac:dyDescent="0.25">
      <c r="N9282" s="362"/>
      <c r="R9282" s="210"/>
      <c r="S9282" s="232"/>
      <c r="T9282" s="270"/>
    </row>
    <row r="9283" spans="14:20" x14ac:dyDescent="0.25">
      <c r="N9283" s="362"/>
      <c r="R9283" s="210"/>
      <c r="S9283" s="232"/>
      <c r="T9283" s="270"/>
    </row>
    <row r="9284" spans="14:20" x14ac:dyDescent="0.25">
      <c r="N9284" s="362"/>
      <c r="R9284" s="210"/>
      <c r="S9284" s="232"/>
      <c r="T9284" s="270"/>
    </row>
    <row r="9285" spans="14:20" x14ac:dyDescent="0.25">
      <c r="N9285" s="362"/>
      <c r="R9285" s="210"/>
      <c r="S9285" s="232"/>
      <c r="T9285" s="270"/>
    </row>
    <row r="9286" spans="14:20" x14ac:dyDescent="0.25">
      <c r="N9286" s="362"/>
      <c r="R9286" s="210"/>
      <c r="S9286" s="232"/>
      <c r="T9286" s="270"/>
    </row>
    <row r="9287" spans="14:20" x14ac:dyDescent="0.25">
      <c r="N9287" s="362"/>
      <c r="R9287" s="210"/>
      <c r="S9287" s="232"/>
      <c r="T9287" s="270"/>
    </row>
    <row r="9288" spans="14:20" x14ac:dyDescent="0.25">
      <c r="N9288" s="362"/>
      <c r="R9288" s="210"/>
      <c r="S9288" s="232"/>
      <c r="T9288" s="270"/>
    </row>
    <row r="9289" spans="14:20" x14ac:dyDescent="0.25">
      <c r="N9289" s="362"/>
      <c r="R9289" s="210"/>
      <c r="S9289" s="232"/>
      <c r="T9289" s="270"/>
    </row>
    <row r="9290" spans="14:20" x14ac:dyDescent="0.25">
      <c r="N9290" s="362"/>
      <c r="R9290" s="210"/>
      <c r="S9290" s="232"/>
      <c r="T9290" s="270"/>
    </row>
    <row r="9291" spans="14:20" x14ac:dyDescent="0.25">
      <c r="N9291" s="362"/>
      <c r="R9291" s="210"/>
      <c r="S9291" s="232"/>
      <c r="T9291" s="270"/>
    </row>
    <row r="9292" spans="14:20" x14ac:dyDescent="0.25">
      <c r="N9292" s="362"/>
      <c r="R9292" s="210"/>
      <c r="S9292" s="232"/>
      <c r="T9292" s="270"/>
    </row>
    <row r="9293" spans="14:20" x14ac:dyDescent="0.25">
      <c r="N9293" s="362"/>
      <c r="R9293" s="210"/>
      <c r="S9293" s="232"/>
      <c r="T9293" s="270"/>
    </row>
    <row r="9294" spans="14:20" x14ac:dyDescent="0.25">
      <c r="N9294" s="362"/>
      <c r="R9294" s="210"/>
      <c r="S9294" s="232"/>
      <c r="T9294" s="270"/>
    </row>
    <row r="9295" spans="14:20" x14ac:dyDescent="0.25">
      <c r="N9295" s="362"/>
      <c r="R9295" s="210"/>
      <c r="S9295" s="232"/>
      <c r="T9295" s="270"/>
    </row>
    <row r="9296" spans="14:20" x14ac:dyDescent="0.25">
      <c r="N9296" s="362"/>
      <c r="R9296" s="210"/>
      <c r="S9296" s="232"/>
      <c r="T9296" s="270"/>
    </row>
    <row r="9297" spans="14:20" x14ac:dyDescent="0.25">
      <c r="N9297" s="362"/>
      <c r="R9297" s="210"/>
      <c r="S9297" s="232"/>
      <c r="T9297" s="270"/>
    </row>
    <row r="9298" spans="14:20" x14ac:dyDescent="0.25">
      <c r="N9298" s="362"/>
      <c r="R9298" s="210"/>
      <c r="S9298" s="232"/>
      <c r="T9298" s="270"/>
    </row>
    <row r="9299" spans="14:20" x14ac:dyDescent="0.25">
      <c r="N9299" s="362"/>
      <c r="R9299" s="210"/>
      <c r="S9299" s="232"/>
      <c r="T9299" s="270"/>
    </row>
    <row r="9300" spans="14:20" x14ac:dyDescent="0.25">
      <c r="N9300" s="362"/>
      <c r="R9300" s="210"/>
      <c r="S9300" s="232"/>
      <c r="T9300" s="270"/>
    </row>
    <row r="9301" spans="14:20" x14ac:dyDescent="0.25">
      <c r="N9301" s="362"/>
      <c r="R9301" s="210"/>
      <c r="S9301" s="232"/>
      <c r="T9301" s="270"/>
    </row>
    <row r="9302" spans="14:20" x14ac:dyDescent="0.25">
      <c r="N9302" s="362"/>
      <c r="R9302" s="210"/>
      <c r="S9302" s="232"/>
      <c r="T9302" s="270"/>
    </row>
    <row r="9303" spans="14:20" x14ac:dyDescent="0.25">
      <c r="N9303" s="362"/>
      <c r="R9303" s="210"/>
      <c r="S9303" s="232"/>
      <c r="T9303" s="270"/>
    </row>
    <row r="9304" spans="14:20" x14ac:dyDescent="0.25">
      <c r="N9304" s="362"/>
      <c r="R9304" s="210"/>
      <c r="S9304" s="232"/>
      <c r="T9304" s="270"/>
    </row>
    <row r="9305" spans="14:20" x14ac:dyDescent="0.25">
      <c r="N9305" s="362"/>
      <c r="R9305" s="210"/>
      <c r="S9305" s="232"/>
      <c r="T9305" s="270"/>
    </row>
    <row r="9306" spans="14:20" x14ac:dyDescent="0.25">
      <c r="N9306" s="362"/>
      <c r="R9306" s="210"/>
      <c r="S9306" s="232"/>
      <c r="T9306" s="270"/>
    </row>
    <row r="9307" spans="14:20" x14ac:dyDescent="0.25">
      <c r="N9307" s="362"/>
      <c r="R9307" s="210"/>
      <c r="S9307" s="232"/>
      <c r="T9307" s="270"/>
    </row>
    <row r="9308" spans="14:20" x14ac:dyDescent="0.25">
      <c r="N9308" s="362"/>
      <c r="R9308" s="210"/>
      <c r="S9308" s="232"/>
      <c r="T9308" s="270"/>
    </row>
    <row r="9309" spans="14:20" x14ac:dyDescent="0.25">
      <c r="N9309" s="362"/>
      <c r="R9309" s="210"/>
      <c r="S9309" s="232"/>
      <c r="T9309" s="270"/>
    </row>
    <row r="9310" spans="14:20" x14ac:dyDescent="0.25">
      <c r="N9310" s="362"/>
      <c r="R9310" s="210"/>
      <c r="S9310" s="232"/>
      <c r="T9310" s="270"/>
    </row>
    <row r="9311" spans="14:20" x14ac:dyDescent="0.25">
      <c r="N9311" s="362"/>
      <c r="R9311" s="210"/>
      <c r="S9311" s="232"/>
      <c r="T9311" s="270"/>
    </row>
    <row r="9312" spans="14:20" x14ac:dyDescent="0.25">
      <c r="N9312" s="362"/>
      <c r="R9312" s="210"/>
      <c r="S9312" s="232"/>
      <c r="T9312" s="270"/>
    </row>
    <row r="9313" spans="14:20" x14ac:dyDescent="0.25">
      <c r="N9313" s="362"/>
      <c r="R9313" s="210"/>
      <c r="S9313" s="232"/>
      <c r="T9313" s="270"/>
    </row>
    <row r="9314" spans="14:20" x14ac:dyDescent="0.25">
      <c r="N9314" s="362"/>
      <c r="R9314" s="210"/>
      <c r="S9314" s="232"/>
      <c r="T9314" s="270"/>
    </row>
    <row r="9315" spans="14:20" x14ac:dyDescent="0.25">
      <c r="N9315" s="362"/>
      <c r="R9315" s="210"/>
      <c r="S9315" s="232"/>
      <c r="T9315" s="270"/>
    </row>
    <row r="9316" spans="14:20" x14ac:dyDescent="0.25">
      <c r="N9316" s="362"/>
      <c r="R9316" s="210"/>
      <c r="S9316" s="232"/>
      <c r="T9316" s="270"/>
    </row>
    <row r="9317" spans="14:20" x14ac:dyDescent="0.25">
      <c r="N9317" s="362"/>
      <c r="R9317" s="210"/>
      <c r="S9317" s="232"/>
      <c r="T9317" s="270"/>
    </row>
    <row r="9318" spans="14:20" x14ac:dyDescent="0.25">
      <c r="N9318" s="362"/>
      <c r="R9318" s="210"/>
      <c r="S9318" s="232"/>
      <c r="T9318" s="270"/>
    </row>
    <row r="9319" spans="14:20" x14ac:dyDescent="0.25">
      <c r="N9319" s="362"/>
      <c r="R9319" s="210"/>
      <c r="S9319" s="232"/>
      <c r="T9319" s="270"/>
    </row>
    <row r="9320" spans="14:20" x14ac:dyDescent="0.25">
      <c r="N9320" s="362"/>
      <c r="R9320" s="210"/>
      <c r="S9320" s="232"/>
      <c r="T9320" s="270"/>
    </row>
    <row r="9321" spans="14:20" x14ac:dyDescent="0.25">
      <c r="N9321" s="362"/>
      <c r="R9321" s="210"/>
      <c r="S9321" s="232"/>
      <c r="T9321" s="270"/>
    </row>
    <row r="9322" spans="14:20" x14ac:dyDescent="0.25">
      <c r="N9322" s="362"/>
      <c r="R9322" s="210"/>
      <c r="S9322" s="232"/>
      <c r="T9322" s="270"/>
    </row>
    <row r="9323" spans="14:20" x14ac:dyDescent="0.25">
      <c r="N9323" s="362"/>
      <c r="R9323" s="210"/>
      <c r="S9323" s="232"/>
      <c r="T9323" s="270"/>
    </row>
    <row r="9324" spans="14:20" x14ac:dyDescent="0.25">
      <c r="N9324" s="362"/>
      <c r="R9324" s="210"/>
      <c r="S9324" s="232"/>
      <c r="T9324" s="270"/>
    </row>
    <row r="9325" spans="14:20" x14ac:dyDescent="0.25">
      <c r="N9325" s="362"/>
      <c r="R9325" s="210"/>
      <c r="S9325" s="232"/>
      <c r="T9325" s="270"/>
    </row>
    <row r="9326" spans="14:20" x14ac:dyDescent="0.25">
      <c r="N9326" s="362"/>
      <c r="R9326" s="210"/>
      <c r="S9326" s="232"/>
      <c r="T9326" s="270"/>
    </row>
    <row r="9327" spans="14:20" x14ac:dyDescent="0.25">
      <c r="N9327" s="362"/>
      <c r="R9327" s="210"/>
      <c r="S9327" s="232"/>
      <c r="T9327" s="270"/>
    </row>
    <row r="9328" spans="14:20" x14ac:dyDescent="0.25">
      <c r="N9328" s="362"/>
      <c r="R9328" s="210"/>
      <c r="S9328" s="232"/>
      <c r="T9328" s="270"/>
    </row>
    <row r="9329" spans="14:20" x14ac:dyDescent="0.25">
      <c r="N9329" s="362"/>
      <c r="T9329" s="270"/>
    </row>
    <row r="9330" spans="14:20" x14ac:dyDescent="0.25">
      <c r="N9330" s="362"/>
      <c r="T9330" s="270"/>
    </row>
    <row r="9331" spans="14:20" x14ac:dyDescent="0.25">
      <c r="N9331" s="362"/>
      <c r="T9331" s="270"/>
    </row>
    <row r="9332" spans="14:20" x14ac:dyDescent="0.25">
      <c r="N9332" s="362"/>
      <c r="T9332" s="270"/>
    </row>
    <row r="9333" spans="14:20" x14ac:dyDescent="0.25">
      <c r="N9333" s="362"/>
      <c r="T9333" s="270"/>
    </row>
    <row r="9334" spans="14:20" x14ac:dyDescent="0.25">
      <c r="N9334" s="362"/>
      <c r="T9334" s="270"/>
    </row>
    <row r="9335" spans="14:20" x14ac:dyDescent="0.25">
      <c r="N9335" s="362"/>
      <c r="T9335" s="270"/>
    </row>
    <row r="9336" spans="14:20" x14ac:dyDescent="0.25">
      <c r="N9336" s="362"/>
      <c r="T9336" s="270"/>
    </row>
    <row r="9337" spans="14:20" x14ac:dyDescent="0.25">
      <c r="N9337" s="362"/>
      <c r="T9337" s="270"/>
    </row>
    <row r="9338" spans="14:20" x14ac:dyDescent="0.25">
      <c r="N9338" s="362"/>
      <c r="T9338" s="270"/>
    </row>
    <row r="9339" spans="14:20" x14ac:dyDescent="0.25">
      <c r="N9339" s="362"/>
      <c r="T9339" s="270"/>
    </row>
    <row r="9340" spans="14:20" x14ac:dyDescent="0.25">
      <c r="N9340" s="362"/>
      <c r="T9340" s="270"/>
    </row>
    <row r="9341" spans="14:20" x14ac:dyDescent="0.25">
      <c r="N9341" s="362"/>
      <c r="T9341" s="270"/>
    </row>
    <row r="9342" spans="14:20" x14ac:dyDescent="0.25">
      <c r="N9342" s="362"/>
      <c r="T9342" s="270"/>
    </row>
    <row r="9343" spans="14:20" x14ac:dyDescent="0.25">
      <c r="N9343" s="362"/>
    </row>
    <row r="9344" spans="14:20" x14ac:dyDescent="0.25">
      <c r="N9344" s="362"/>
    </row>
    <row r="9345" spans="14:14" x14ac:dyDescent="0.25">
      <c r="N9345" s="362"/>
    </row>
    <row r="9346" spans="14:14" x14ac:dyDescent="0.25">
      <c r="N9346" s="362"/>
    </row>
    <row r="9347" spans="14:14" x14ac:dyDescent="0.25">
      <c r="N9347" s="362"/>
    </row>
    <row r="9348" spans="14:14" x14ac:dyDescent="0.25">
      <c r="N9348" s="362"/>
    </row>
    <row r="9349" spans="14:14" x14ac:dyDescent="0.25">
      <c r="N9349" s="362"/>
    </row>
    <row r="9350" spans="14:14" x14ac:dyDescent="0.25">
      <c r="N9350" s="362"/>
    </row>
    <row r="9351" spans="14:14" x14ac:dyDescent="0.25">
      <c r="N9351" s="362"/>
    </row>
    <row r="9352" spans="14:14" x14ac:dyDescent="0.25">
      <c r="N9352" s="362"/>
    </row>
    <row r="9353" spans="14:14" x14ac:dyDescent="0.25">
      <c r="N9353" s="362"/>
    </row>
    <row r="9354" spans="14:14" x14ac:dyDescent="0.25">
      <c r="N9354" s="362"/>
    </row>
    <row r="9355" spans="14:14" x14ac:dyDescent="0.25">
      <c r="N9355" s="362"/>
    </row>
    <row r="9356" spans="14:14" x14ac:dyDescent="0.25">
      <c r="N9356" s="362"/>
    </row>
    <row r="9357" spans="14:14" x14ac:dyDescent="0.25">
      <c r="N9357" s="362"/>
    </row>
    <row r="9358" spans="14:14" x14ac:dyDescent="0.25">
      <c r="N9358" s="362"/>
    </row>
    <row r="9359" spans="14:14" x14ac:dyDescent="0.25">
      <c r="N9359" s="362"/>
    </row>
    <row r="9360" spans="14:14" x14ac:dyDescent="0.25">
      <c r="N9360" s="362"/>
    </row>
    <row r="9361" spans="14:14" x14ac:dyDescent="0.25">
      <c r="N9361" s="362"/>
    </row>
    <row r="9362" spans="14:14" x14ac:dyDescent="0.25">
      <c r="N9362" s="362"/>
    </row>
    <row r="9363" spans="14:14" x14ac:dyDescent="0.25">
      <c r="N9363" s="362"/>
    </row>
    <row r="9364" spans="14:14" x14ac:dyDescent="0.25">
      <c r="N9364" s="362"/>
    </row>
    <row r="9365" spans="14:14" x14ac:dyDescent="0.25">
      <c r="N9365" s="362"/>
    </row>
    <row r="9366" spans="14:14" x14ac:dyDescent="0.25">
      <c r="N9366" s="362"/>
    </row>
    <row r="9367" spans="14:14" x14ac:dyDescent="0.25">
      <c r="N9367" s="362"/>
    </row>
    <row r="9368" spans="14:14" x14ac:dyDescent="0.25">
      <c r="N9368" s="362"/>
    </row>
    <row r="9369" spans="14:14" x14ac:dyDescent="0.25">
      <c r="N9369" s="362"/>
    </row>
    <row r="9370" spans="14:14" x14ac:dyDescent="0.25">
      <c r="N9370" s="362"/>
    </row>
    <row r="9371" spans="14:14" x14ac:dyDescent="0.25">
      <c r="N9371" s="362"/>
    </row>
    <row r="9372" spans="14:14" x14ac:dyDescent="0.25">
      <c r="N9372" s="362"/>
    </row>
    <row r="9373" spans="14:14" x14ac:dyDescent="0.25">
      <c r="N9373" s="362"/>
    </row>
    <row r="9374" spans="14:14" x14ac:dyDescent="0.25">
      <c r="N9374" s="362"/>
    </row>
    <row r="9375" spans="14:14" x14ac:dyDescent="0.25">
      <c r="N9375" s="362"/>
    </row>
    <row r="9376" spans="14:14" x14ac:dyDescent="0.25">
      <c r="N9376" s="362"/>
    </row>
    <row r="9377" spans="14:14" x14ac:dyDescent="0.25">
      <c r="N9377" s="362"/>
    </row>
    <row r="9378" spans="14:14" x14ac:dyDescent="0.25">
      <c r="N9378" s="362"/>
    </row>
    <row r="9379" spans="14:14" x14ac:dyDescent="0.25">
      <c r="N9379" s="362"/>
    </row>
    <row r="9380" spans="14:14" x14ac:dyDescent="0.25">
      <c r="N9380" s="362"/>
    </row>
    <row r="9381" spans="14:14" x14ac:dyDescent="0.25">
      <c r="N9381" s="362"/>
    </row>
    <row r="9382" spans="14:14" x14ac:dyDescent="0.25">
      <c r="N9382" s="362"/>
    </row>
    <row r="9383" spans="14:14" x14ac:dyDescent="0.25">
      <c r="N9383" s="362"/>
    </row>
    <row r="9384" spans="14:14" x14ac:dyDescent="0.25">
      <c r="N9384" s="362"/>
    </row>
    <row r="9385" spans="14:14" x14ac:dyDescent="0.25">
      <c r="N9385" s="362"/>
    </row>
    <row r="9386" spans="14:14" x14ac:dyDescent="0.25">
      <c r="N9386" s="362"/>
    </row>
    <row r="9387" spans="14:14" x14ac:dyDescent="0.25">
      <c r="N9387" s="362"/>
    </row>
    <row r="9388" spans="14:14" x14ac:dyDescent="0.25">
      <c r="N9388" s="362"/>
    </row>
    <row r="9389" spans="14:14" x14ac:dyDescent="0.25">
      <c r="N9389" s="362"/>
    </row>
    <row r="9390" spans="14:14" x14ac:dyDescent="0.25">
      <c r="N9390" s="362"/>
    </row>
    <row r="9391" spans="14:14" x14ac:dyDescent="0.25">
      <c r="N9391" s="362"/>
    </row>
    <row r="9392" spans="14:14" x14ac:dyDescent="0.25">
      <c r="N9392" s="362"/>
    </row>
    <row r="9393" spans="14:14" x14ac:dyDescent="0.25">
      <c r="N9393" s="362"/>
    </row>
    <row r="9394" spans="14:14" x14ac:dyDescent="0.25">
      <c r="N9394" s="362"/>
    </row>
    <row r="9395" spans="14:14" x14ac:dyDescent="0.25">
      <c r="N9395" s="362"/>
    </row>
    <row r="9396" spans="14:14" x14ac:dyDescent="0.25">
      <c r="N9396" s="362"/>
    </row>
    <row r="9397" spans="14:14" x14ac:dyDescent="0.25">
      <c r="N9397" s="362"/>
    </row>
    <row r="9398" spans="14:14" x14ac:dyDescent="0.25">
      <c r="N9398" s="362"/>
    </row>
    <row r="9399" spans="14:14" x14ac:dyDescent="0.25">
      <c r="N9399" s="362"/>
    </row>
    <row r="9400" spans="14:14" x14ac:dyDescent="0.25">
      <c r="N9400" s="362"/>
    </row>
    <row r="9401" spans="14:14" x14ac:dyDescent="0.25">
      <c r="N9401" s="362"/>
    </row>
    <row r="9402" spans="14:14" x14ac:dyDescent="0.25">
      <c r="N9402" s="362"/>
    </row>
    <row r="9403" spans="14:14" x14ac:dyDescent="0.25">
      <c r="N9403" s="362"/>
    </row>
    <row r="9404" spans="14:14" x14ac:dyDescent="0.25">
      <c r="N9404" s="362"/>
    </row>
    <row r="9405" spans="14:14" x14ac:dyDescent="0.25">
      <c r="N9405" s="362"/>
    </row>
    <row r="9406" spans="14:14" x14ac:dyDescent="0.25">
      <c r="N9406" s="362"/>
    </row>
    <row r="9407" spans="14:14" x14ac:dyDescent="0.25">
      <c r="N9407" s="362"/>
    </row>
    <row r="9408" spans="14:14" x14ac:dyDescent="0.25">
      <c r="N9408" s="362"/>
    </row>
    <row r="9409" spans="14:14" x14ac:dyDescent="0.25">
      <c r="N9409" s="362"/>
    </row>
    <row r="9410" spans="14:14" x14ac:dyDescent="0.25">
      <c r="N9410" s="362"/>
    </row>
    <row r="9411" spans="14:14" x14ac:dyDescent="0.25">
      <c r="N9411" s="362"/>
    </row>
    <row r="9412" spans="14:14" x14ac:dyDescent="0.25">
      <c r="N9412" s="362"/>
    </row>
    <row r="9413" spans="14:14" x14ac:dyDescent="0.25">
      <c r="N9413" s="362"/>
    </row>
    <row r="9414" spans="14:14" x14ac:dyDescent="0.25">
      <c r="N9414" s="362"/>
    </row>
    <row r="9415" spans="14:14" x14ac:dyDescent="0.25">
      <c r="N9415" s="362"/>
    </row>
    <row r="9416" spans="14:14" x14ac:dyDescent="0.25">
      <c r="N9416" s="362"/>
    </row>
    <row r="9417" spans="14:14" x14ac:dyDescent="0.25">
      <c r="N9417" s="362"/>
    </row>
    <row r="9418" spans="14:14" x14ac:dyDescent="0.25">
      <c r="N9418" s="362"/>
    </row>
    <row r="9419" spans="14:14" x14ac:dyDescent="0.25">
      <c r="N9419" s="362"/>
    </row>
    <row r="9420" spans="14:14" x14ac:dyDescent="0.25">
      <c r="N9420" s="362"/>
    </row>
    <row r="9421" spans="14:14" x14ac:dyDescent="0.25">
      <c r="N9421" s="362"/>
    </row>
    <row r="9422" spans="14:14" x14ac:dyDescent="0.25">
      <c r="N9422" s="362"/>
    </row>
    <row r="9423" spans="14:14" x14ac:dyDescent="0.25">
      <c r="N9423" s="362"/>
    </row>
    <row r="9424" spans="14:14" x14ac:dyDescent="0.25">
      <c r="N9424" s="362"/>
    </row>
    <row r="9425" spans="14:14" x14ac:dyDescent="0.25">
      <c r="N9425" s="362"/>
    </row>
    <row r="9426" spans="14:14" x14ac:dyDescent="0.25">
      <c r="N9426" s="362"/>
    </row>
    <row r="9427" spans="14:14" x14ac:dyDescent="0.25">
      <c r="N9427" s="362"/>
    </row>
    <row r="9428" spans="14:14" x14ac:dyDescent="0.25">
      <c r="N9428" s="362"/>
    </row>
    <row r="9429" spans="14:14" x14ac:dyDescent="0.25">
      <c r="N9429" s="362"/>
    </row>
    <row r="9430" spans="14:14" x14ac:dyDescent="0.25">
      <c r="N9430" s="362"/>
    </row>
    <row r="9431" spans="14:14" x14ac:dyDescent="0.25">
      <c r="N9431" s="362"/>
    </row>
    <row r="9432" spans="14:14" x14ac:dyDescent="0.25">
      <c r="N9432" s="362"/>
    </row>
    <row r="9433" spans="14:14" x14ac:dyDescent="0.25">
      <c r="N9433" s="362"/>
    </row>
    <row r="9434" spans="14:14" x14ac:dyDescent="0.25">
      <c r="N9434" s="362"/>
    </row>
    <row r="9435" spans="14:14" x14ac:dyDescent="0.25">
      <c r="N9435" s="362"/>
    </row>
    <row r="9436" spans="14:14" x14ac:dyDescent="0.25">
      <c r="N9436" s="362"/>
    </row>
    <row r="9437" spans="14:14" x14ac:dyDescent="0.25">
      <c r="N9437" s="362"/>
    </row>
    <row r="9438" spans="14:14" x14ac:dyDescent="0.25">
      <c r="N9438" s="362"/>
    </row>
    <row r="9439" spans="14:14" x14ac:dyDescent="0.25">
      <c r="N9439" s="362"/>
    </row>
    <row r="9440" spans="14:14" x14ac:dyDescent="0.25">
      <c r="N9440" s="362"/>
    </row>
    <row r="9441" spans="14:14" x14ac:dyDescent="0.25">
      <c r="N9441" s="362"/>
    </row>
    <row r="9442" spans="14:14" x14ac:dyDescent="0.25">
      <c r="N9442" s="362"/>
    </row>
    <row r="9443" spans="14:14" x14ac:dyDescent="0.25">
      <c r="N9443" s="362"/>
    </row>
    <row r="9444" spans="14:14" x14ac:dyDescent="0.25">
      <c r="N9444" s="362"/>
    </row>
    <row r="9445" spans="14:14" x14ac:dyDescent="0.25">
      <c r="N9445" s="362"/>
    </row>
    <row r="9446" spans="14:14" x14ac:dyDescent="0.25">
      <c r="N9446" s="362"/>
    </row>
    <row r="9447" spans="14:14" x14ac:dyDescent="0.25">
      <c r="N9447" s="362"/>
    </row>
    <row r="9448" spans="14:14" x14ac:dyDescent="0.25">
      <c r="N9448" s="362"/>
    </row>
    <row r="9449" spans="14:14" x14ac:dyDescent="0.25">
      <c r="N9449" s="362"/>
    </row>
    <row r="9450" spans="14:14" x14ac:dyDescent="0.25">
      <c r="N9450" s="362"/>
    </row>
    <row r="9451" spans="14:14" x14ac:dyDescent="0.25">
      <c r="N9451" s="362"/>
    </row>
    <row r="9452" spans="14:14" x14ac:dyDescent="0.25">
      <c r="N9452" s="362"/>
    </row>
    <row r="9453" spans="14:14" x14ac:dyDescent="0.25">
      <c r="N9453" s="362"/>
    </row>
    <row r="9454" spans="14:14" x14ac:dyDescent="0.25">
      <c r="N9454" s="362"/>
    </row>
    <row r="9455" spans="14:14" x14ac:dyDescent="0.25">
      <c r="N9455" s="362"/>
    </row>
    <row r="9456" spans="14:14" x14ac:dyDescent="0.25">
      <c r="N9456" s="362"/>
    </row>
    <row r="9457" spans="14:14" x14ac:dyDescent="0.25">
      <c r="N9457" s="362"/>
    </row>
    <row r="9458" spans="14:14" x14ac:dyDescent="0.25">
      <c r="N9458" s="362"/>
    </row>
    <row r="9459" spans="14:14" x14ac:dyDescent="0.25">
      <c r="N9459" s="362"/>
    </row>
    <row r="9460" spans="14:14" x14ac:dyDescent="0.25">
      <c r="N9460" s="362"/>
    </row>
    <row r="9461" spans="14:14" x14ac:dyDescent="0.25">
      <c r="N9461" s="362"/>
    </row>
    <row r="9462" spans="14:14" x14ac:dyDescent="0.25">
      <c r="N9462" s="362"/>
    </row>
    <row r="9463" spans="14:14" x14ac:dyDescent="0.25">
      <c r="N9463" s="362"/>
    </row>
    <row r="9464" spans="14:14" x14ac:dyDescent="0.25">
      <c r="N9464" s="362"/>
    </row>
    <row r="9465" spans="14:14" x14ac:dyDescent="0.25">
      <c r="N9465" s="362"/>
    </row>
    <row r="9466" spans="14:14" x14ac:dyDescent="0.25">
      <c r="N9466" s="362"/>
    </row>
    <row r="9467" spans="14:14" x14ac:dyDescent="0.25">
      <c r="N9467" s="362"/>
    </row>
    <row r="9468" spans="14:14" x14ac:dyDescent="0.25">
      <c r="N9468" s="362"/>
    </row>
    <row r="9469" spans="14:14" x14ac:dyDescent="0.25">
      <c r="N9469" s="362"/>
    </row>
    <row r="9470" spans="14:14" x14ac:dyDescent="0.25">
      <c r="N9470" s="362"/>
    </row>
    <row r="9471" spans="14:14" x14ac:dyDescent="0.25">
      <c r="N9471" s="362"/>
    </row>
    <row r="9472" spans="14:14" x14ac:dyDescent="0.25">
      <c r="N9472" s="362"/>
    </row>
    <row r="9473" spans="14:14" x14ac:dyDescent="0.25">
      <c r="N9473" s="362"/>
    </row>
    <row r="9474" spans="14:14" x14ac:dyDescent="0.25">
      <c r="N9474" s="362"/>
    </row>
    <row r="9475" spans="14:14" x14ac:dyDescent="0.25">
      <c r="N9475" s="362"/>
    </row>
    <row r="9476" spans="14:14" x14ac:dyDescent="0.25">
      <c r="N9476" s="362"/>
    </row>
    <row r="9477" spans="14:14" x14ac:dyDescent="0.25">
      <c r="N9477" s="362"/>
    </row>
    <row r="9478" spans="14:14" x14ac:dyDescent="0.25">
      <c r="N9478" s="362"/>
    </row>
    <row r="9479" spans="14:14" x14ac:dyDescent="0.25">
      <c r="N9479" s="362"/>
    </row>
    <row r="9480" spans="14:14" x14ac:dyDescent="0.25">
      <c r="N9480" s="362"/>
    </row>
    <row r="9481" spans="14:14" x14ac:dyDescent="0.25">
      <c r="N9481" s="362"/>
    </row>
    <row r="9482" spans="14:14" x14ac:dyDescent="0.25">
      <c r="N9482" s="362"/>
    </row>
    <row r="9483" spans="14:14" x14ac:dyDescent="0.25">
      <c r="N9483" s="362"/>
    </row>
    <row r="9484" spans="14:14" x14ac:dyDescent="0.25">
      <c r="N9484" s="362"/>
    </row>
    <row r="9485" spans="14:14" x14ac:dyDescent="0.25">
      <c r="N9485" s="362"/>
    </row>
    <row r="9486" spans="14:14" x14ac:dyDescent="0.25">
      <c r="N9486" s="362"/>
    </row>
    <row r="9487" spans="14:14" x14ac:dyDescent="0.25">
      <c r="N9487" s="362"/>
    </row>
    <row r="9488" spans="14:14" x14ac:dyDescent="0.25">
      <c r="N9488" s="362"/>
    </row>
    <row r="9489" spans="14:14" x14ac:dyDescent="0.25">
      <c r="N9489" s="362"/>
    </row>
    <row r="9490" spans="14:14" x14ac:dyDescent="0.25">
      <c r="N9490" s="362"/>
    </row>
    <row r="9491" spans="14:14" x14ac:dyDescent="0.25">
      <c r="N9491" s="362"/>
    </row>
    <row r="9492" spans="14:14" x14ac:dyDescent="0.25">
      <c r="N9492" s="362"/>
    </row>
    <row r="9493" spans="14:14" x14ac:dyDescent="0.25">
      <c r="N9493" s="362"/>
    </row>
    <row r="9494" spans="14:14" x14ac:dyDescent="0.25">
      <c r="N9494" s="362"/>
    </row>
    <row r="9495" spans="14:14" x14ac:dyDescent="0.25">
      <c r="N9495" s="362"/>
    </row>
    <row r="9496" spans="14:14" x14ac:dyDescent="0.25">
      <c r="N9496" s="362"/>
    </row>
    <row r="9497" spans="14:14" x14ac:dyDescent="0.25">
      <c r="N9497" s="362"/>
    </row>
    <row r="9498" spans="14:14" x14ac:dyDescent="0.25">
      <c r="N9498" s="362"/>
    </row>
    <row r="9499" spans="14:14" x14ac:dyDescent="0.25">
      <c r="N9499" s="362"/>
    </row>
    <row r="9500" spans="14:14" x14ac:dyDescent="0.25">
      <c r="N9500" s="362"/>
    </row>
    <row r="9501" spans="14:14" x14ac:dyDescent="0.25">
      <c r="N9501" s="362"/>
    </row>
    <row r="9502" spans="14:14" x14ac:dyDescent="0.25">
      <c r="N9502" s="362"/>
    </row>
    <row r="9503" spans="14:14" x14ac:dyDescent="0.25">
      <c r="N9503" s="362"/>
    </row>
    <row r="9504" spans="14:14" x14ac:dyDescent="0.25">
      <c r="N9504" s="362"/>
    </row>
    <row r="9505" spans="14:14" x14ac:dyDescent="0.25">
      <c r="N9505" s="362"/>
    </row>
    <row r="9506" spans="14:14" x14ac:dyDescent="0.25">
      <c r="N9506" s="362"/>
    </row>
    <row r="9507" spans="14:14" x14ac:dyDescent="0.25">
      <c r="N9507" s="362"/>
    </row>
    <row r="9508" spans="14:14" x14ac:dyDescent="0.25">
      <c r="N9508" s="362"/>
    </row>
    <row r="9509" spans="14:14" x14ac:dyDescent="0.25">
      <c r="N9509" s="362"/>
    </row>
    <row r="9510" spans="14:14" x14ac:dyDescent="0.25">
      <c r="N9510" s="362"/>
    </row>
    <row r="9511" spans="14:14" x14ac:dyDescent="0.25">
      <c r="N9511" s="362"/>
    </row>
    <row r="9512" spans="14:14" x14ac:dyDescent="0.25">
      <c r="N9512" s="362"/>
    </row>
    <row r="9513" spans="14:14" x14ac:dyDescent="0.25">
      <c r="N9513" s="362"/>
    </row>
    <row r="9514" spans="14:14" x14ac:dyDescent="0.25">
      <c r="N9514" s="362"/>
    </row>
    <row r="9515" spans="14:14" x14ac:dyDescent="0.25">
      <c r="N9515" s="362"/>
    </row>
    <row r="9516" spans="14:14" x14ac:dyDescent="0.25">
      <c r="N9516" s="362"/>
    </row>
    <row r="9517" spans="14:14" x14ac:dyDescent="0.25">
      <c r="N9517" s="362"/>
    </row>
    <row r="9518" spans="14:14" x14ac:dyDescent="0.25">
      <c r="N9518" s="362"/>
    </row>
    <row r="9519" spans="14:14" x14ac:dyDescent="0.25">
      <c r="N9519" s="362"/>
    </row>
    <row r="9520" spans="14:14" x14ac:dyDescent="0.25">
      <c r="N9520" s="362"/>
    </row>
    <row r="9521" spans="14:14" x14ac:dyDescent="0.25">
      <c r="N9521" s="362"/>
    </row>
    <row r="9522" spans="14:14" x14ac:dyDescent="0.25">
      <c r="N9522" s="362"/>
    </row>
    <row r="9523" spans="14:14" x14ac:dyDescent="0.25">
      <c r="N9523" s="362"/>
    </row>
    <row r="9524" spans="14:14" x14ac:dyDescent="0.25">
      <c r="N9524" s="362"/>
    </row>
    <row r="9525" spans="14:14" x14ac:dyDescent="0.25">
      <c r="N9525" s="362"/>
    </row>
    <row r="9526" spans="14:14" x14ac:dyDescent="0.25">
      <c r="N9526" s="362"/>
    </row>
    <row r="9527" spans="14:14" x14ac:dyDescent="0.25">
      <c r="N9527" s="362"/>
    </row>
    <row r="9528" spans="14:14" x14ac:dyDescent="0.25">
      <c r="N9528" s="362"/>
    </row>
    <row r="9529" spans="14:14" x14ac:dyDescent="0.25">
      <c r="N9529" s="362"/>
    </row>
    <row r="9530" spans="14:14" x14ac:dyDescent="0.25">
      <c r="N9530" s="362"/>
    </row>
    <row r="9531" spans="14:14" x14ac:dyDescent="0.25">
      <c r="N9531" s="362"/>
    </row>
    <row r="9532" spans="14:14" x14ac:dyDescent="0.25">
      <c r="N9532" s="362"/>
    </row>
    <row r="9533" spans="14:14" x14ac:dyDescent="0.25">
      <c r="N9533" s="362"/>
    </row>
    <row r="9534" spans="14:14" x14ac:dyDescent="0.25">
      <c r="N9534" s="362"/>
    </row>
    <row r="9535" spans="14:14" x14ac:dyDescent="0.25">
      <c r="N9535" s="362"/>
    </row>
    <row r="9536" spans="14:14" x14ac:dyDescent="0.25">
      <c r="N9536" s="362"/>
    </row>
    <row r="9537" spans="14:14" x14ac:dyDescent="0.25">
      <c r="N9537" s="362"/>
    </row>
    <row r="9538" spans="14:14" x14ac:dyDescent="0.25">
      <c r="N9538" s="362"/>
    </row>
    <row r="9539" spans="14:14" x14ac:dyDescent="0.25">
      <c r="N9539" s="362"/>
    </row>
    <row r="9540" spans="14:14" x14ac:dyDescent="0.25">
      <c r="N9540" s="362"/>
    </row>
    <row r="9541" spans="14:14" x14ac:dyDescent="0.25">
      <c r="N9541" s="362"/>
    </row>
    <row r="9542" spans="14:14" x14ac:dyDescent="0.25">
      <c r="N9542" s="362"/>
    </row>
    <row r="9543" spans="14:14" x14ac:dyDescent="0.25">
      <c r="N9543" s="362"/>
    </row>
    <row r="9544" spans="14:14" x14ac:dyDescent="0.25">
      <c r="N9544" s="362"/>
    </row>
    <row r="9545" spans="14:14" x14ac:dyDescent="0.25">
      <c r="N9545" s="362"/>
    </row>
    <row r="9546" spans="14:14" x14ac:dyDescent="0.25">
      <c r="N9546" s="362"/>
    </row>
    <row r="9547" spans="14:14" x14ac:dyDescent="0.25">
      <c r="N9547" s="362"/>
    </row>
    <row r="9548" spans="14:14" x14ac:dyDescent="0.25">
      <c r="N9548" s="362"/>
    </row>
    <row r="9549" spans="14:14" x14ac:dyDescent="0.25">
      <c r="N9549" s="362"/>
    </row>
    <row r="9550" spans="14:14" x14ac:dyDescent="0.25">
      <c r="N9550" s="362"/>
    </row>
    <row r="9551" spans="14:14" x14ac:dyDescent="0.25">
      <c r="N9551" s="362"/>
    </row>
    <row r="9552" spans="14:14" x14ac:dyDescent="0.25">
      <c r="N9552" s="362"/>
    </row>
    <row r="9553" spans="14:14" x14ac:dyDescent="0.25">
      <c r="N9553" s="362"/>
    </row>
    <row r="9554" spans="14:14" x14ac:dyDescent="0.25">
      <c r="N9554" s="362"/>
    </row>
    <row r="9555" spans="14:14" x14ac:dyDescent="0.25">
      <c r="N9555" s="362"/>
    </row>
    <row r="9556" spans="14:14" x14ac:dyDescent="0.25">
      <c r="N9556" s="362"/>
    </row>
    <row r="9557" spans="14:14" x14ac:dyDescent="0.25">
      <c r="N9557" s="362"/>
    </row>
    <row r="9558" spans="14:14" x14ac:dyDescent="0.25">
      <c r="N9558" s="362"/>
    </row>
    <row r="9559" spans="14:14" x14ac:dyDescent="0.25">
      <c r="N9559" s="362"/>
    </row>
    <row r="9560" spans="14:14" x14ac:dyDescent="0.25">
      <c r="N9560" s="362"/>
    </row>
    <row r="9561" spans="14:14" x14ac:dyDescent="0.25">
      <c r="N9561" s="362"/>
    </row>
    <row r="9562" spans="14:14" x14ac:dyDescent="0.25">
      <c r="N9562" s="362"/>
    </row>
    <row r="9563" spans="14:14" x14ac:dyDescent="0.25">
      <c r="N9563" s="362"/>
    </row>
    <row r="9564" spans="14:14" x14ac:dyDescent="0.25">
      <c r="N9564" s="362"/>
    </row>
    <row r="9565" spans="14:14" x14ac:dyDescent="0.25">
      <c r="N9565" s="362"/>
    </row>
    <row r="9566" spans="14:14" x14ac:dyDescent="0.25">
      <c r="N9566" s="362"/>
    </row>
    <row r="9567" spans="14:14" x14ac:dyDescent="0.25">
      <c r="N9567" s="362"/>
    </row>
    <row r="9568" spans="14:14" x14ac:dyDescent="0.25">
      <c r="N9568" s="362"/>
    </row>
    <row r="9569" spans="14:14" x14ac:dyDescent="0.25">
      <c r="N9569" s="362"/>
    </row>
    <row r="9570" spans="14:14" x14ac:dyDescent="0.25">
      <c r="N9570" s="362"/>
    </row>
    <row r="9571" spans="14:14" x14ac:dyDescent="0.25">
      <c r="N9571" s="362"/>
    </row>
    <row r="9572" spans="14:14" x14ac:dyDescent="0.25">
      <c r="N9572" s="362"/>
    </row>
    <row r="9573" spans="14:14" x14ac:dyDescent="0.25">
      <c r="N9573" s="362"/>
    </row>
    <row r="9574" spans="14:14" x14ac:dyDescent="0.25">
      <c r="N9574" s="362"/>
    </row>
    <row r="9575" spans="14:14" x14ac:dyDescent="0.25">
      <c r="N9575" s="362"/>
    </row>
    <row r="9576" spans="14:14" x14ac:dyDescent="0.25">
      <c r="N9576" s="362"/>
    </row>
    <row r="9577" spans="14:14" x14ac:dyDescent="0.25">
      <c r="N9577" s="362"/>
    </row>
    <row r="9578" spans="14:14" x14ac:dyDescent="0.25">
      <c r="N9578" s="362"/>
    </row>
    <row r="9579" spans="14:14" x14ac:dyDescent="0.25">
      <c r="N9579" s="362"/>
    </row>
    <row r="9580" spans="14:14" x14ac:dyDescent="0.25">
      <c r="N9580" s="362"/>
    </row>
    <row r="9581" spans="14:14" x14ac:dyDescent="0.25">
      <c r="N9581" s="362"/>
    </row>
    <row r="9582" spans="14:14" x14ac:dyDescent="0.25">
      <c r="N9582" s="362"/>
    </row>
    <row r="9583" spans="14:14" x14ac:dyDescent="0.25">
      <c r="N9583" s="362"/>
    </row>
    <row r="9584" spans="14:14" x14ac:dyDescent="0.25">
      <c r="N9584" s="362"/>
    </row>
    <row r="9585" spans="14:14" x14ac:dyDescent="0.25">
      <c r="N9585" s="362"/>
    </row>
    <row r="9586" spans="14:14" x14ac:dyDescent="0.25">
      <c r="N9586" s="362"/>
    </row>
    <row r="9587" spans="14:14" x14ac:dyDescent="0.25">
      <c r="N9587" s="362"/>
    </row>
    <row r="9588" spans="14:14" x14ac:dyDescent="0.25">
      <c r="N9588" s="362"/>
    </row>
    <row r="9589" spans="14:14" x14ac:dyDescent="0.25">
      <c r="N9589" s="362"/>
    </row>
    <row r="9590" spans="14:14" x14ac:dyDescent="0.25">
      <c r="N9590" s="362"/>
    </row>
    <row r="9591" spans="14:14" x14ac:dyDescent="0.25">
      <c r="N9591" s="362"/>
    </row>
    <row r="9592" spans="14:14" x14ac:dyDescent="0.25">
      <c r="N9592" s="362"/>
    </row>
    <row r="9593" spans="14:14" x14ac:dyDescent="0.25">
      <c r="N9593" s="362"/>
    </row>
    <row r="9594" spans="14:14" x14ac:dyDescent="0.25">
      <c r="N9594" s="362"/>
    </row>
    <row r="9595" spans="14:14" x14ac:dyDescent="0.25">
      <c r="N9595" s="362"/>
    </row>
    <row r="9596" spans="14:14" x14ac:dyDescent="0.25">
      <c r="N9596" s="362"/>
    </row>
    <row r="9597" spans="14:14" x14ac:dyDescent="0.25">
      <c r="N9597" s="362"/>
    </row>
    <row r="9598" spans="14:14" x14ac:dyDescent="0.25">
      <c r="N9598" s="362"/>
    </row>
    <row r="9599" spans="14:14" x14ac:dyDescent="0.25">
      <c r="N9599" s="362"/>
    </row>
    <row r="9600" spans="14:14" x14ac:dyDescent="0.25">
      <c r="N9600" s="362"/>
    </row>
    <row r="9601" spans="14:14" x14ac:dyDescent="0.25">
      <c r="N9601" s="362"/>
    </row>
    <row r="9602" spans="14:14" x14ac:dyDescent="0.25">
      <c r="N9602" s="362"/>
    </row>
    <row r="9603" spans="14:14" x14ac:dyDescent="0.25">
      <c r="N9603" s="362"/>
    </row>
    <row r="9604" spans="14:14" x14ac:dyDescent="0.25">
      <c r="N9604" s="362"/>
    </row>
    <row r="9605" spans="14:14" x14ac:dyDescent="0.25">
      <c r="N9605" s="362"/>
    </row>
    <row r="9606" spans="14:14" x14ac:dyDescent="0.25">
      <c r="N9606" s="362"/>
    </row>
    <row r="9607" spans="14:14" x14ac:dyDescent="0.25">
      <c r="N9607" s="362"/>
    </row>
    <row r="9608" spans="14:14" x14ac:dyDescent="0.25">
      <c r="N9608" s="362"/>
    </row>
    <row r="9609" spans="14:14" x14ac:dyDescent="0.25">
      <c r="N9609" s="362"/>
    </row>
    <row r="9610" spans="14:14" x14ac:dyDescent="0.25">
      <c r="N9610" s="362"/>
    </row>
    <row r="9611" spans="14:14" x14ac:dyDescent="0.25">
      <c r="N9611" s="362"/>
    </row>
    <row r="9612" spans="14:14" x14ac:dyDescent="0.25">
      <c r="N9612" s="362"/>
    </row>
    <row r="9613" spans="14:14" x14ac:dyDescent="0.25">
      <c r="N9613" s="362"/>
    </row>
    <row r="9614" spans="14:14" x14ac:dyDescent="0.25">
      <c r="N9614" s="362"/>
    </row>
    <row r="9615" spans="14:14" x14ac:dyDescent="0.25">
      <c r="N9615" s="362"/>
    </row>
    <row r="9616" spans="14:14" x14ac:dyDescent="0.25">
      <c r="N9616" s="362"/>
    </row>
    <row r="9617" spans="14:14" x14ac:dyDescent="0.25">
      <c r="N9617" s="362"/>
    </row>
    <row r="9618" spans="14:14" x14ac:dyDescent="0.25">
      <c r="N9618" s="362"/>
    </row>
    <row r="9619" spans="14:14" x14ac:dyDescent="0.25">
      <c r="N9619" s="362"/>
    </row>
    <row r="9620" spans="14:14" x14ac:dyDescent="0.25">
      <c r="N9620" s="362"/>
    </row>
    <row r="9621" spans="14:14" x14ac:dyDescent="0.25">
      <c r="N9621" s="362"/>
    </row>
    <row r="9622" spans="14:14" x14ac:dyDescent="0.25">
      <c r="N9622" s="362"/>
    </row>
    <row r="9623" spans="14:14" x14ac:dyDescent="0.25">
      <c r="N9623" s="362"/>
    </row>
    <row r="9624" spans="14:14" x14ac:dyDescent="0.25">
      <c r="N9624" s="362"/>
    </row>
    <row r="9625" spans="14:14" x14ac:dyDescent="0.25">
      <c r="N9625" s="362"/>
    </row>
    <row r="9626" spans="14:14" x14ac:dyDescent="0.25">
      <c r="N9626" s="362"/>
    </row>
    <row r="9627" spans="14:14" x14ac:dyDescent="0.25">
      <c r="N9627" s="362"/>
    </row>
    <row r="9628" spans="14:14" x14ac:dyDescent="0.25">
      <c r="N9628" s="362"/>
    </row>
    <row r="9629" spans="14:14" x14ac:dyDescent="0.25">
      <c r="N9629" s="362"/>
    </row>
    <row r="9630" spans="14:14" x14ac:dyDescent="0.25">
      <c r="N9630" s="362"/>
    </row>
    <row r="9631" spans="14:14" x14ac:dyDescent="0.25">
      <c r="N9631" s="362"/>
    </row>
    <row r="9632" spans="14:14" x14ac:dyDescent="0.25">
      <c r="N9632" s="362"/>
    </row>
    <row r="9633" spans="14:14" x14ac:dyDescent="0.25">
      <c r="N9633" s="362"/>
    </row>
    <row r="9634" spans="14:14" x14ac:dyDescent="0.25">
      <c r="N9634" s="362"/>
    </row>
    <row r="9635" spans="14:14" x14ac:dyDescent="0.25">
      <c r="N9635" s="362"/>
    </row>
    <row r="9636" spans="14:14" x14ac:dyDescent="0.25">
      <c r="N9636" s="362"/>
    </row>
    <row r="9637" spans="14:14" x14ac:dyDescent="0.25">
      <c r="N9637" s="362"/>
    </row>
    <row r="9638" spans="14:14" x14ac:dyDescent="0.25">
      <c r="N9638" s="362"/>
    </row>
    <row r="9639" spans="14:14" x14ac:dyDescent="0.25">
      <c r="N9639" s="362"/>
    </row>
    <row r="9640" spans="14:14" x14ac:dyDescent="0.25">
      <c r="N9640" s="362"/>
    </row>
    <row r="9641" spans="14:14" x14ac:dyDescent="0.25">
      <c r="N9641" s="362"/>
    </row>
    <row r="9642" spans="14:14" x14ac:dyDescent="0.25">
      <c r="N9642" s="362"/>
    </row>
    <row r="9643" spans="14:14" x14ac:dyDescent="0.25">
      <c r="N9643" s="362"/>
    </row>
    <row r="9644" spans="14:14" x14ac:dyDescent="0.25">
      <c r="N9644" s="362"/>
    </row>
    <row r="9645" spans="14:14" x14ac:dyDescent="0.25">
      <c r="N9645" s="362"/>
    </row>
    <row r="9646" spans="14:14" x14ac:dyDescent="0.25">
      <c r="N9646" s="362"/>
    </row>
    <row r="9647" spans="14:14" x14ac:dyDescent="0.25">
      <c r="N9647" s="362"/>
    </row>
    <row r="9648" spans="14:14" x14ac:dyDescent="0.25">
      <c r="N9648" s="362"/>
    </row>
    <row r="9649" spans="14:14" x14ac:dyDescent="0.25">
      <c r="N9649" s="362"/>
    </row>
    <row r="9650" spans="14:14" x14ac:dyDescent="0.25">
      <c r="N9650" s="362"/>
    </row>
    <row r="9651" spans="14:14" x14ac:dyDescent="0.25">
      <c r="N9651" s="362"/>
    </row>
    <row r="9652" spans="14:14" x14ac:dyDescent="0.25">
      <c r="N9652" s="362"/>
    </row>
    <row r="9653" spans="14:14" x14ac:dyDescent="0.25">
      <c r="N9653" s="362"/>
    </row>
    <row r="9654" spans="14:14" x14ac:dyDescent="0.25">
      <c r="N9654" s="362"/>
    </row>
    <row r="9655" spans="14:14" x14ac:dyDescent="0.25">
      <c r="N9655" s="362"/>
    </row>
    <row r="9656" spans="14:14" x14ac:dyDescent="0.25">
      <c r="N9656" s="362"/>
    </row>
    <row r="9657" spans="14:14" x14ac:dyDescent="0.25">
      <c r="N9657" s="362"/>
    </row>
    <row r="9658" spans="14:14" x14ac:dyDescent="0.25">
      <c r="N9658" s="362"/>
    </row>
    <row r="9659" spans="14:14" x14ac:dyDescent="0.25">
      <c r="N9659" s="362"/>
    </row>
    <row r="9660" spans="14:14" x14ac:dyDescent="0.25">
      <c r="N9660" s="362"/>
    </row>
    <row r="9661" spans="14:14" x14ac:dyDescent="0.25">
      <c r="N9661" s="362"/>
    </row>
    <row r="9662" spans="14:14" x14ac:dyDescent="0.25">
      <c r="N9662" s="362"/>
    </row>
    <row r="9663" spans="14:14" x14ac:dyDescent="0.25">
      <c r="N9663" s="362"/>
    </row>
    <row r="9664" spans="14:14" x14ac:dyDescent="0.25">
      <c r="N9664" s="362"/>
    </row>
    <row r="9665" spans="14:14" x14ac:dyDescent="0.25">
      <c r="N9665" s="362"/>
    </row>
    <row r="9666" spans="14:14" x14ac:dyDescent="0.25">
      <c r="N9666" s="362"/>
    </row>
    <row r="9667" spans="14:14" x14ac:dyDescent="0.25">
      <c r="N9667" s="362"/>
    </row>
    <row r="9668" spans="14:14" x14ac:dyDescent="0.25">
      <c r="N9668" s="362"/>
    </row>
    <row r="9669" spans="14:14" x14ac:dyDescent="0.25">
      <c r="N9669" s="362"/>
    </row>
    <row r="9670" spans="14:14" x14ac:dyDescent="0.25">
      <c r="N9670" s="362"/>
    </row>
    <row r="9671" spans="14:14" x14ac:dyDescent="0.25">
      <c r="N9671" s="362"/>
    </row>
    <row r="9672" spans="14:14" x14ac:dyDescent="0.25">
      <c r="N9672" s="362"/>
    </row>
    <row r="9673" spans="14:14" x14ac:dyDescent="0.25">
      <c r="N9673" s="362"/>
    </row>
    <row r="9674" spans="14:14" x14ac:dyDescent="0.25">
      <c r="N9674" s="362"/>
    </row>
    <row r="9675" spans="14:14" x14ac:dyDescent="0.25">
      <c r="N9675" s="362"/>
    </row>
    <row r="9676" spans="14:14" x14ac:dyDescent="0.25">
      <c r="N9676" s="362"/>
    </row>
    <row r="9677" spans="14:14" x14ac:dyDescent="0.25">
      <c r="N9677" s="362"/>
    </row>
    <row r="9678" spans="14:14" x14ac:dyDescent="0.25">
      <c r="N9678" s="362"/>
    </row>
    <row r="9679" spans="14:14" x14ac:dyDescent="0.25">
      <c r="N9679" s="362"/>
    </row>
    <row r="9680" spans="14:14" x14ac:dyDescent="0.25">
      <c r="N9680" s="362"/>
    </row>
    <row r="9681" spans="14:14" x14ac:dyDescent="0.25">
      <c r="N9681" s="362"/>
    </row>
    <row r="9682" spans="14:14" x14ac:dyDescent="0.25">
      <c r="N9682" s="362"/>
    </row>
    <row r="9683" spans="14:14" x14ac:dyDescent="0.25">
      <c r="N9683" s="362"/>
    </row>
    <row r="9684" spans="14:14" x14ac:dyDescent="0.25">
      <c r="N9684" s="362"/>
    </row>
    <row r="9685" spans="14:14" x14ac:dyDescent="0.25">
      <c r="N9685" s="362"/>
    </row>
    <row r="9686" spans="14:14" x14ac:dyDescent="0.25">
      <c r="N9686" s="362"/>
    </row>
    <row r="9687" spans="14:14" x14ac:dyDescent="0.25">
      <c r="N9687" s="362"/>
    </row>
    <row r="9688" spans="14:14" x14ac:dyDescent="0.25">
      <c r="N9688" s="362"/>
    </row>
    <row r="9689" spans="14:14" x14ac:dyDescent="0.25">
      <c r="N9689" s="362"/>
    </row>
    <row r="9690" spans="14:14" x14ac:dyDescent="0.25">
      <c r="N9690" s="362"/>
    </row>
    <row r="9691" spans="14:14" x14ac:dyDescent="0.25">
      <c r="N9691" s="362"/>
    </row>
    <row r="9692" spans="14:14" x14ac:dyDescent="0.25">
      <c r="N9692" s="362"/>
    </row>
    <row r="9693" spans="14:14" x14ac:dyDescent="0.25">
      <c r="N9693" s="362"/>
    </row>
    <row r="9694" spans="14:14" x14ac:dyDescent="0.25">
      <c r="N9694" s="362"/>
    </row>
    <row r="9695" spans="14:14" x14ac:dyDescent="0.25">
      <c r="N9695" s="362"/>
    </row>
    <row r="9696" spans="14:14" x14ac:dyDescent="0.25">
      <c r="N9696" s="362"/>
    </row>
    <row r="9697" spans="14:14" x14ac:dyDescent="0.25">
      <c r="N9697" s="362"/>
    </row>
    <row r="9698" spans="14:14" x14ac:dyDescent="0.25">
      <c r="N9698" s="362"/>
    </row>
    <row r="9699" spans="14:14" x14ac:dyDescent="0.25">
      <c r="N9699" s="362"/>
    </row>
    <row r="9700" spans="14:14" x14ac:dyDescent="0.25">
      <c r="N9700" s="362"/>
    </row>
    <row r="9701" spans="14:14" x14ac:dyDescent="0.25">
      <c r="N9701" s="362"/>
    </row>
    <row r="9702" spans="14:14" x14ac:dyDescent="0.25">
      <c r="N9702" s="362"/>
    </row>
    <row r="9703" spans="14:14" x14ac:dyDescent="0.25">
      <c r="N9703" s="362"/>
    </row>
    <row r="9704" spans="14:14" x14ac:dyDescent="0.25">
      <c r="N9704" s="362"/>
    </row>
    <row r="9705" spans="14:14" x14ac:dyDescent="0.25">
      <c r="N9705" s="362"/>
    </row>
    <row r="9706" spans="14:14" x14ac:dyDescent="0.25">
      <c r="N9706" s="362"/>
    </row>
    <row r="9707" spans="14:14" x14ac:dyDescent="0.25">
      <c r="N9707" s="362"/>
    </row>
    <row r="9708" spans="14:14" x14ac:dyDescent="0.25">
      <c r="N9708" s="362"/>
    </row>
    <row r="9709" spans="14:14" x14ac:dyDescent="0.25">
      <c r="N9709" s="362"/>
    </row>
    <row r="9710" spans="14:14" x14ac:dyDescent="0.25">
      <c r="N9710" s="362"/>
    </row>
    <row r="9711" spans="14:14" x14ac:dyDescent="0.25">
      <c r="N9711" s="362"/>
    </row>
    <row r="9712" spans="14:14" x14ac:dyDescent="0.25">
      <c r="N9712" s="362"/>
    </row>
    <row r="9713" spans="14:14" x14ac:dyDescent="0.25">
      <c r="N9713" s="362"/>
    </row>
    <row r="9714" spans="14:14" x14ac:dyDescent="0.25">
      <c r="N9714" s="362"/>
    </row>
    <row r="9715" spans="14:14" x14ac:dyDescent="0.25">
      <c r="N9715" s="362"/>
    </row>
    <row r="9716" spans="14:14" x14ac:dyDescent="0.25">
      <c r="N9716" s="362"/>
    </row>
    <row r="9717" spans="14:14" x14ac:dyDescent="0.25">
      <c r="N9717" s="362"/>
    </row>
    <row r="9718" spans="14:14" x14ac:dyDescent="0.25">
      <c r="N9718" s="362"/>
    </row>
    <row r="9719" spans="14:14" x14ac:dyDescent="0.25">
      <c r="N9719" s="362"/>
    </row>
    <row r="9720" spans="14:14" x14ac:dyDescent="0.25">
      <c r="N9720" s="362"/>
    </row>
    <row r="9721" spans="14:14" x14ac:dyDescent="0.25">
      <c r="N9721" s="362"/>
    </row>
    <row r="9722" spans="14:14" x14ac:dyDescent="0.25">
      <c r="N9722" s="362"/>
    </row>
    <row r="9723" spans="14:14" x14ac:dyDescent="0.25">
      <c r="N9723" s="362"/>
    </row>
    <row r="9724" spans="14:14" x14ac:dyDescent="0.25">
      <c r="N9724" s="362"/>
    </row>
    <row r="9725" spans="14:14" x14ac:dyDescent="0.25">
      <c r="N9725" s="362"/>
    </row>
    <row r="9726" spans="14:14" x14ac:dyDescent="0.25">
      <c r="N9726" s="362"/>
    </row>
    <row r="9727" spans="14:14" x14ac:dyDescent="0.25">
      <c r="N9727" s="362"/>
    </row>
    <row r="9728" spans="14:14" x14ac:dyDescent="0.25">
      <c r="N9728" s="362"/>
    </row>
    <row r="9729" spans="14:14" x14ac:dyDescent="0.25">
      <c r="N9729" s="362"/>
    </row>
    <row r="9730" spans="14:14" x14ac:dyDescent="0.25">
      <c r="N9730" s="362"/>
    </row>
    <row r="9731" spans="14:14" x14ac:dyDescent="0.25">
      <c r="N9731" s="362"/>
    </row>
    <row r="9732" spans="14:14" x14ac:dyDescent="0.25">
      <c r="N9732" s="362"/>
    </row>
    <row r="9733" spans="14:14" x14ac:dyDescent="0.25">
      <c r="N9733" s="362"/>
    </row>
    <row r="9734" spans="14:14" x14ac:dyDescent="0.25">
      <c r="N9734" s="362"/>
    </row>
    <row r="9735" spans="14:14" x14ac:dyDescent="0.25">
      <c r="N9735" s="362"/>
    </row>
    <row r="9736" spans="14:14" x14ac:dyDescent="0.25">
      <c r="N9736" s="362"/>
    </row>
    <row r="9737" spans="14:14" x14ac:dyDescent="0.25">
      <c r="N9737" s="362"/>
    </row>
    <row r="9738" spans="14:14" x14ac:dyDescent="0.25">
      <c r="N9738" s="362"/>
    </row>
    <row r="9739" spans="14:14" x14ac:dyDescent="0.25">
      <c r="N9739" s="362"/>
    </row>
    <row r="9740" spans="14:14" x14ac:dyDescent="0.25">
      <c r="N9740" s="362"/>
    </row>
    <row r="9741" spans="14:14" x14ac:dyDescent="0.25">
      <c r="N9741" s="362"/>
    </row>
    <row r="9742" spans="14:14" x14ac:dyDescent="0.25">
      <c r="N9742" s="362"/>
    </row>
    <row r="9743" spans="14:14" x14ac:dyDescent="0.25">
      <c r="N9743" s="362"/>
    </row>
    <row r="9744" spans="14:14" x14ac:dyDescent="0.25">
      <c r="N9744" s="362"/>
    </row>
    <row r="9745" spans="14:14" x14ac:dyDescent="0.25">
      <c r="N9745" s="362"/>
    </row>
    <row r="9746" spans="14:14" x14ac:dyDescent="0.25">
      <c r="N9746" s="362"/>
    </row>
    <row r="9747" spans="14:14" x14ac:dyDescent="0.25">
      <c r="N9747" s="362"/>
    </row>
    <row r="9748" spans="14:14" x14ac:dyDescent="0.25">
      <c r="N9748" s="362"/>
    </row>
    <row r="9749" spans="14:14" x14ac:dyDescent="0.25">
      <c r="N9749" s="362"/>
    </row>
    <row r="9750" spans="14:14" x14ac:dyDescent="0.25">
      <c r="N9750" s="362"/>
    </row>
    <row r="9751" spans="14:14" x14ac:dyDescent="0.25">
      <c r="N9751" s="362"/>
    </row>
    <row r="9752" spans="14:14" x14ac:dyDescent="0.25">
      <c r="N9752" s="362"/>
    </row>
    <row r="9753" spans="14:14" x14ac:dyDescent="0.25">
      <c r="N9753" s="362"/>
    </row>
    <row r="9754" spans="14:14" x14ac:dyDescent="0.25">
      <c r="N9754" s="362"/>
    </row>
    <row r="9755" spans="14:14" x14ac:dyDescent="0.25">
      <c r="N9755" s="362"/>
    </row>
    <row r="9756" spans="14:14" x14ac:dyDescent="0.25">
      <c r="N9756" s="362"/>
    </row>
    <row r="9757" spans="14:14" x14ac:dyDescent="0.25">
      <c r="N9757" s="362"/>
    </row>
    <row r="9758" spans="14:14" x14ac:dyDescent="0.25">
      <c r="N9758" s="362"/>
    </row>
    <row r="9759" spans="14:14" x14ac:dyDescent="0.25">
      <c r="N9759" s="362"/>
    </row>
    <row r="9760" spans="14:14" x14ac:dyDescent="0.25">
      <c r="N9760" s="362"/>
    </row>
    <row r="9761" spans="14:14" x14ac:dyDescent="0.25">
      <c r="N9761" s="362"/>
    </row>
    <row r="9762" spans="14:14" x14ac:dyDescent="0.25">
      <c r="N9762" s="362"/>
    </row>
    <row r="9763" spans="14:14" x14ac:dyDescent="0.25">
      <c r="N9763" s="362"/>
    </row>
    <row r="9764" spans="14:14" x14ac:dyDescent="0.25">
      <c r="N9764" s="362"/>
    </row>
    <row r="9765" spans="14:14" x14ac:dyDescent="0.25">
      <c r="N9765" s="362"/>
    </row>
    <row r="9766" spans="14:14" x14ac:dyDescent="0.25">
      <c r="N9766" s="362"/>
    </row>
    <row r="9767" spans="14:14" x14ac:dyDescent="0.25">
      <c r="N9767" s="362"/>
    </row>
    <row r="9768" spans="14:14" x14ac:dyDescent="0.25">
      <c r="N9768" s="362"/>
    </row>
    <row r="9769" spans="14:14" x14ac:dyDescent="0.25">
      <c r="N9769" s="362"/>
    </row>
    <row r="9770" spans="14:14" x14ac:dyDescent="0.25">
      <c r="N9770" s="362"/>
    </row>
    <row r="9771" spans="14:14" x14ac:dyDescent="0.25">
      <c r="N9771" s="362"/>
    </row>
    <row r="9772" spans="14:14" x14ac:dyDescent="0.25">
      <c r="N9772" s="362"/>
    </row>
    <row r="9773" spans="14:14" x14ac:dyDescent="0.25">
      <c r="N9773" s="362"/>
    </row>
    <row r="9774" spans="14:14" x14ac:dyDescent="0.25">
      <c r="N9774" s="362"/>
    </row>
    <row r="9775" spans="14:14" x14ac:dyDescent="0.25">
      <c r="N9775" s="362"/>
    </row>
    <row r="9776" spans="14:14" x14ac:dyDescent="0.25">
      <c r="N9776" s="362"/>
    </row>
    <row r="9777" spans="14:14" x14ac:dyDescent="0.25">
      <c r="N9777" s="362"/>
    </row>
    <row r="9778" spans="14:14" x14ac:dyDescent="0.25">
      <c r="N9778" s="362"/>
    </row>
    <row r="9779" spans="14:14" x14ac:dyDescent="0.25">
      <c r="N9779" s="362"/>
    </row>
    <row r="9780" spans="14:14" x14ac:dyDescent="0.25">
      <c r="N9780" s="362"/>
    </row>
    <row r="9781" spans="14:14" x14ac:dyDescent="0.25">
      <c r="N9781" s="362"/>
    </row>
    <row r="9782" spans="14:14" x14ac:dyDescent="0.25">
      <c r="N9782" s="362"/>
    </row>
    <row r="9783" spans="14:14" x14ac:dyDescent="0.25">
      <c r="N9783" s="362"/>
    </row>
    <row r="9784" spans="14:14" x14ac:dyDescent="0.25">
      <c r="N9784" s="362"/>
    </row>
    <row r="9785" spans="14:14" x14ac:dyDescent="0.25">
      <c r="N9785" s="362"/>
    </row>
    <row r="9786" spans="14:14" x14ac:dyDescent="0.25">
      <c r="N9786" s="362"/>
    </row>
    <row r="9787" spans="14:14" x14ac:dyDescent="0.25">
      <c r="N9787" s="362"/>
    </row>
    <row r="9788" spans="14:14" x14ac:dyDescent="0.25">
      <c r="N9788" s="362"/>
    </row>
    <row r="9789" spans="14:14" x14ac:dyDescent="0.25">
      <c r="N9789" s="362"/>
    </row>
    <row r="9790" spans="14:14" x14ac:dyDescent="0.25">
      <c r="N9790" s="362"/>
    </row>
    <row r="9791" spans="14:14" x14ac:dyDescent="0.25">
      <c r="N9791" s="362"/>
    </row>
    <row r="9792" spans="14:14" x14ac:dyDescent="0.25">
      <c r="N9792" s="362"/>
    </row>
    <row r="9793" spans="14:14" x14ac:dyDescent="0.25">
      <c r="N9793" s="362"/>
    </row>
    <row r="9794" spans="14:14" x14ac:dyDescent="0.25">
      <c r="N9794" s="362"/>
    </row>
    <row r="9795" spans="14:14" x14ac:dyDescent="0.25">
      <c r="N9795" s="362"/>
    </row>
    <row r="9796" spans="14:14" x14ac:dyDescent="0.25">
      <c r="N9796" s="362"/>
    </row>
    <row r="9797" spans="14:14" x14ac:dyDescent="0.25">
      <c r="N9797" s="362"/>
    </row>
    <row r="9798" spans="14:14" x14ac:dyDescent="0.25">
      <c r="N9798" s="362"/>
    </row>
    <row r="9799" spans="14:14" x14ac:dyDescent="0.25">
      <c r="N9799" s="362"/>
    </row>
    <row r="9800" spans="14:14" x14ac:dyDescent="0.25">
      <c r="N9800" s="362"/>
    </row>
    <row r="9801" spans="14:14" x14ac:dyDescent="0.25">
      <c r="N9801" s="362"/>
    </row>
    <row r="9802" spans="14:14" x14ac:dyDescent="0.25">
      <c r="N9802" s="362"/>
    </row>
    <row r="9803" spans="14:14" x14ac:dyDescent="0.25">
      <c r="N9803" s="362"/>
    </row>
    <row r="9804" spans="14:14" x14ac:dyDescent="0.25">
      <c r="N9804" s="362"/>
    </row>
    <row r="9805" spans="14:14" x14ac:dyDescent="0.25">
      <c r="N9805" s="362"/>
    </row>
    <row r="9806" spans="14:14" x14ac:dyDescent="0.25">
      <c r="N9806" s="362"/>
    </row>
    <row r="9807" spans="14:14" x14ac:dyDescent="0.25">
      <c r="N9807" s="362"/>
    </row>
    <row r="9808" spans="14:14" x14ac:dyDescent="0.25">
      <c r="N9808" s="362"/>
    </row>
    <row r="9809" spans="14:14" x14ac:dyDescent="0.25">
      <c r="N9809" s="362"/>
    </row>
    <row r="9810" spans="14:14" x14ac:dyDescent="0.25">
      <c r="N9810" s="362"/>
    </row>
    <row r="9811" spans="14:14" x14ac:dyDescent="0.25">
      <c r="N9811" s="362"/>
    </row>
    <row r="9812" spans="14:14" x14ac:dyDescent="0.25">
      <c r="N9812" s="362"/>
    </row>
    <row r="9813" spans="14:14" x14ac:dyDescent="0.25">
      <c r="N9813" s="362"/>
    </row>
    <row r="9814" spans="14:14" x14ac:dyDescent="0.25">
      <c r="N9814" s="362"/>
    </row>
    <row r="9815" spans="14:14" x14ac:dyDescent="0.25">
      <c r="N9815" s="362"/>
    </row>
    <row r="9816" spans="14:14" x14ac:dyDescent="0.25">
      <c r="N9816" s="362"/>
    </row>
    <row r="9817" spans="14:14" x14ac:dyDescent="0.25">
      <c r="N9817" s="362"/>
    </row>
    <row r="9818" spans="14:14" x14ac:dyDescent="0.25">
      <c r="N9818" s="362"/>
    </row>
    <row r="9819" spans="14:14" x14ac:dyDescent="0.25">
      <c r="N9819" s="362"/>
    </row>
    <row r="9820" spans="14:14" x14ac:dyDescent="0.25">
      <c r="N9820" s="362"/>
    </row>
    <row r="9821" spans="14:14" x14ac:dyDescent="0.25">
      <c r="N9821" s="362"/>
    </row>
    <row r="9822" spans="14:14" x14ac:dyDescent="0.25">
      <c r="N9822" s="362"/>
    </row>
    <row r="9823" spans="14:14" x14ac:dyDescent="0.25">
      <c r="N9823" s="362"/>
    </row>
    <row r="9824" spans="14:14" x14ac:dyDescent="0.25">
      <c r="N9824" s="362"/>
    </row>
    <row r="9825" spans="14:14" x14ac:dyDescent="0.25">
      <c r="N9825" s="362"/>
    </row>
    <row r="9826" spans="14:14" x14ac:dyDescent="0.25">
      <c r="N9826" s="362"/>
    </row>
    <row r="9827" spans="14:14" x14ac:dyDescent="0.25">
      <c r="N9827" s="362"/>
    </row>
    <row r="9828" spans="14:14" x14ac:dyDescent="0.25">
      <c r="N9828" s="362"/>
    </row>
    <row r="9829" spans="14:14" x14ac:dyDescent="0.25">
      <c r="N9829" s="362"/>
    </row>
    <row r="9830" spans="14:14" x14ac:dyDescent="0.25">
      <c r="N9830" s="362"/>
    </row>
    <row r="9831" spans="14:14" x14ac:dyDescent="0.25">
      <c r="N9831" s="362"/>
    </row>
    <row r="9832" spans="14:14" x14ac:dyDescent="0.25">
      <c r="N9832" s="362"/>
    </row>
    <row r="9833" spans="14:14" x14ac:dyDescent="0.25">
      <c r="N9833" s="362"/>
    </row>
    <row r="9834" spans="14:14" x14ac:dyDescent="0.25">
      <c r="N9834" s="362"/>
    </row>
    <row r="9835" spans="14:14" x14ac:dyDescent="0.25">
      <c r="N9835" s="362"/>
    </row>
    <row r="9836" spans="14:14" x14ac:dyDescent="0.25">
      <c r="N9836" s="362"/>
    </row>
    <row r="9837" spans="14:14" x14ac:dyDescent="0.25">
      <c r="N9837" s="362"/>
    </row>
    <row r="9838" spans="14:14" x14ac:dyDescent="0.25">
      <c r="N9838" s="362"/>
    </row>
    <row r="9839" spans="14:14" x14ac:dyDescent="0.25">
      <c r="N9839" s="362"/>
    </row>
    <row r="9840" spans="14:14" x14ac:dyDescent="0.25">
      <c r="N9840" s="362"/>
    </row>
    <row r="9841" spans="14:14" x14ac:dyDescent="0.25">
      <c r="N9841" s="362"/>
    </row>
    <row r="9842" spans="14:14" x14ac:dyDescent="0.25">
      <c r="N9842" s="362"/>
    </row>
    <row r="9843" spans="14:14" x14ac:dyDescent="0.25">
      <c r="N9843" s="362"/>
    </row>
    <row r="9844" spans="14:14" x14ac:dyDescent="0.25">
      <c r="N9844" s="362"/>
    </row>
    <row r="9845" spans="14:14" x14ac:dyDescent="0.25">
      <c r="N9845" s="362"/>
    </row>
    <row r="9846" spans="14:14" x14ac:dyDescent="0.25">
      <c r="N9846" s="362"/>
    </row>
    <row r="9847" spans="14:14" x14ac:dyDescent="0.25">
      <c r="N9847" s="362"/>
    </row>
    <row r="9848" spans="14:14" x14ac:dyDescent="0.25">
      <c r="N9848" s="362"/>
    </row>
    <row r="9849" spans="14:14" x14ac:dyDescent="0.25">
      <c r="N9849" s="362"/>
    </row>
    <row r="9850" spans="14:14" x14ac:dyDescent="0.25">
      <c r="N9850" s="362"/>
    </row>
    <row r="9851" spans="14:14" x14ac:dyDescent="0.25">
      <c r="N9851" s="362"/>
    </row>
    <row r="9852" spans="14:14" x14ac:dyDescent="0.25">
      <c r="N9852" s="362"/>
    </row>
    <row r="9853" spans="14:14" x14ac:dyDescent="0.25">
      <c r="N9853" s="362"/>
    </row>
    <row r="9854" spans="14:14" x14ac:dyDescent="0.25">
      <c r="N9854" s="362"/>
    </row>
    <row r="9855" spans="14:14" x14ac:dyDescent="0.25">
      <c r="N9855" s="362"/>
    </row>
    <row r="9856" spans="14:14" x14ac:dyDescent="0.25">
      <c r="N9856" s="362"/>
    </row>
    <row r="9857" spans="14:14" x14ac:dyDescent="0.25">
      <c r="N9857" s="362"/>
    </row>
    <row r="9858" spans="14:14" x14ac:dyDescent="0.25">
      <c r="N9858" s="362"/>
    </row>
    <row r="9859" spans="14:14" x14ac:dyDescent="0.25">
      <c r="N9859" s="362"/>
    </row>
    <row r="9860" spans="14:14" x14ac:dyDescent="0.25">
      <c r="N9860" s="362"/>
    </row>
    <row r="9861" spans="14:14" x14ac:dyDescent="0.25">
      <c r="N9861" s="362"/>
    </row>
    <row r="9862" spans="14:14" x14ac:dyDescent="0.25">
      <c r="N9862" s="362"/>
    </row>
    <row r="9863" spans="14:14" x14ac:dyDescent="0.25">
      <c r="N9863" s="362"/>
    </row>
    <row r="9864" spans="14:14" x14ac:dyDescent="0.25">
      <c r="N9864" s="362"/>
    </row>
    <row r="9865" spans="14:14" x14ac:dyDescent="0.25">
      <c r="N9865" s="362"/>
    </row>
    <row r="9866" spans="14:14" x14ac:dyDescent="0.25">
      <c r="N9866" s="362"/>
    </row>
    <row r="9867" spans="14:14" x14ac:dyDescent="0.25">
      <c r="N9867" s="362"/>
    </row>
    <row r="9868" spans="14:14" x14ac:dyDescent="0.25">
      <c r="N9868" s="362"/>
    </row>
    <row r="9869" spans="14:14" x14ac:dyDescent="0.25">
      <c r="N9869" s="362"/>
    </row>
    <row r="9870" spans="14:14" x14ac:dyDescent="0.25">
      <c r="N9870" s="362"/>
    </row>
    <row r="9871" spans="14:14" x14ac:dyDescent="0.25">
      <c r="N9871" s="362"/>
    </row>
    <row r="9872" spans="14:14" x14ac:dyDescent="0.25">
      <c r="N9872" s="362"/>
    </row>
    <row r="9873" spans="14:14" x14ac:dyDescent="0.25">
      <c r="N9873" s="362"/>
    </row>
    <row r="9874" spans="14:14" x14ac:dyDescent="0.25">
      <c r="N9874" s="362"/>
    </row>
    <row r="9875" spans="14:14" x14ac:dyDescent="0.25">
      <c r="N9875" s="362"/>
    </row>
    <row r="9876" spans="14:14" x14ac:dyDescent="0.25">
      <c r="N9876" s="362"/>
    </row>
    <row r="9877" spans="14:14" x14ac:dyDescent="0.25">
      <c r="N9877" s="362"/>
    </row>
    <row r="9878" spans="14:14" x14ac:dyDescent="0.25">
      <c r="N9878" s="362"/>
    </row>
    <row r="9879" spans="14:14" x14ac:dyDescent="0.25">
      <c r="N9879" s="362"/>
    </row>
    <row r="9880" spans="14:14" x14ac:dyDescent="0.25">
      <c r="N9880" s="362"/>
    </row>
    <row r="9881" spans="14:14" x14ac:dyDescent="0.25">
      <c r="N9881" s="362"/>
    </row>
    <row r="9882" spans="14:14" x14ac:dyDescent="0.25">
      <c r="N9882" s="362"/>
    </row>
    <row r="9883" spans="14:14" x14ac:dyDescent="0.25">
      <c r="N9883" s="362"/>
    </row>
    <row r="9884" spans="14:14" x14ac:dyDescent="0.25">
      <c r="N9884" s="362"/>
    </row>
    <row r="9885" spans="14:14" x14ac:dyDescent="0.25">
      <c r="N9885" s="362"/>
    </row>
    <row r="9886" spans="14:14" x14ac:dyDescent="0.25">
      <c r="N9886" s="362"/>
    </row>
    <row r="9887" spans="14:14" x14ac:dyDescent="0.25">
      <c r="N9887" s="362"/>
    </row>
    <row r="9888" spans="14:14" x14ac:dyDescent="0.25">
      <c r="N9888" s="362"/>
    </row>
    <row r="9889" spans="14:14" x14ac:dyDescent="0.25">
      <c r="N9889" s="362"/>
    </row>
    <row r="9890" spans="14:14" x14ac:dyDescent="0.25">
      <c r="N9890" s="362"/>
    </row>
    <row r="9891" spans="14:14" x14ac:dyDescent="0.25">
      <c r="N9891" s="362"/>
    </row>
    <row r="9892" spans="14:14" x14ac:dyDescent="0.25">
      <c r="N9892" s="362"/>
    </row>
    <row r="9893" spans="14:14" x14ac:dyDescent="0.25">
      <c r="N9893" s="362"/>
    </row>
    <row r="9894" spans="14:14" x14ac:dyDescent="0.25">
      <c r="N9894" s="362"/>
    </row>
    <row r="9895" spans="14:14" x14ac:dyDescent="0.25">
      <c r="N9895" s="362"/>
    </row>
    <row r="9896" spans="14:14" x14ac:dyDescent="0.25">
      <c r="N9896" s="362"/>
    </row>
    <row r="9897" spans="14:14" x14ac:dyDescent="0.25">
      <c r="N9897" s="362"/>
    </row>
    <row r="9898" spans="14:14" x14ac:dyDescent="0.25">
      <c r="N9898" s="362"/>
    </row>
    <row r="9899" spans="14:14" x14ac:dyDescent="0.25">
      <c r="N9899" s="362"/>
    </row>
    <row r="9900" spans="14:14" x14ac:dyDescent="0.25">
      <c r="N9900" s="362"/>
    </row>
    <row r="9901" spans="14:14" x14ac:dyDescent="0.25">
      <c r="N9901" s="362"/>
    </row>
    <row r="9902" spans="14:14" x14ac:dyDescent="0.25">
      <c r="N9902" s="362"/>
    </row>
    <row r="9903" spans="14:14" x14ac:dyDescent="0.25">
      <c r="N9903" s="362"/>
    </row>
    <row r="9904" spans="14:14" x14ac:dyDescent="0.25">
      <c r="N9904" s="362"/>
    </row>
    <row r="9905" spans="14:14" x14ac:dyDescent="0.25">
      <c r="N9905" s="362"/>
    </row>
    <row r="9906" spans="14:14" x14ac:dyDescent="0.25">
      <c r="N9906" s="362"/>
    </row>
    <row r="9907" spans="14:14" x14ac:dyDescent="0.25">
      <c r="N9907" s="362"/>
    </row>
    <row r="9908" spans="14:14" x14ac:dyDescent="0.25">
      <c r="N9908" s="362"/>
    </row>
    <row r="9909" spans="14:14" x14ac:dyDescent="0.25">
      <c r="N9909" s="362"/>
    </row>
    <row r="9910" spans="14:14" x14ac:dyDescent="0.25">
      <c r="N9910" s="362"/>
    </row>
    <row r="9911" spans="14:14" x14ac:dyDescent="0.25">
      <c r="N9911" s="362"/>
    </row>
    <row r="9912" spans="14:14" x14ac:dyDescent="0.25">
      <c r="N9912" s="362"/>
    </row>
    <row r="9913" spans="14:14" x14ac:dyDescent="0.25">
      <c r="N9913" s="362"/>
    </row>
    <row r="9914" spans="14:14" x14ac:dyDescent="0.25">
      <c r="N9914" s="362"/>
    </row>
    <row r="9915" spans="14:14" x14ac:dyDescent="0.25">
      <c r="N9915" s="362"/>
    </row>
    <row r="9916" spans="14:14" x14ac:dyDescent="0.25">
      <c r="N9916" s="362"/>
    </row>
    <row r="9917" spans="14:14" x14ac:dyDescent="0.25">
      <c r="N9917" s="362"/>
    </row>
    <row r="9918" spans="14:14" x14ac:dyDescent="0.25">
      <c r="N9918" s="362"/>
    </row>
    <row r="9919" spans="14:14" x14ac:dyDescent="0.25">
      <c r="N9919" s="362"/>
    </row>
    <row r="9920" spans="14:14" x14ac:dyDescent="0.25">
      <c r="N9920" s="362"/>
    </row>
    <row r="9921" spans="14:14" x14ac:dyDescent="0.25">
      <c r="N9921" s="362"/>
    </row>
    <row r="9922" spans="14:14" x14ac:dyDescent="0.25">
      <c r="N9922" s="362"/>
    </row>
    <row r="9923" spans="14:14" x14ac:dyDescent="0.25">
      <c r="N9923" s="362"/>
    </row>
    <row r="9924" spans="14:14" x14ac:dyDescent="0.25">
      <c r="N9924" s="362"/>
    </row>
    <row r="9925" spans="14:14" x14ac:dyDescent="0.25">
      <c r="N9925" s="362"/>
    </row>
    <row r="9926" spans="14:14" x14ac:dyDescent="0.25">
      <c r="N9926" s="362"/>
    </row>
    <row r="9927" spans="14:14" x14ac:dyDescent="0.25">
      <c r="N9927" s="362"/>
    </row>
    <row r="9928" spans="14:14" x14ac:dyDescent="0.25">
      <c r="N9928" s="362"/>
    </row>
    <row r="9929" spans="14:14" x14ac:dyDescent="0.25">
      <c r="N9929" s="362"/>
    </row>
    <row r="9930" spans="14:14" x14ac:dyDescent="0.25">
      <c r="N9930" s="362"/>
    </row>
    <row r="9931" spans="14:14" x14ac:dyDescent="0.25">
      <c r="N9931" s="362"/>
    </row>
    <row r="9932" spans="14:14" x14ac:dyDescent="0.25">
      <c r="N9932" s="362"/>
    </row>
    <row r="9933" spans="14:14" x14ac:dyDescent="0.25">
      <c r="N9933" s="362"/>
    </row>
    <row r="9934" spans="14:14" x14ac:dyDescent="0.25">
      <c r="N9934" s="362"/>
    </row>
    <row r="9935" spans="14:14" x14ac:dyDescent="0.25">
      <c r="N9935" s="362"/>
    </row>
    <row r="9936" spans="14:14" x14ac:dyDescent="0.25">
      <c r="N9936" s="362"/>
    </row>
    <row r="9937" spans="14:14" x14ac:dyDescent="0.25">
      <c r="N9937" s="362"/>
    </row>
    <row r="9938" spans="14:14" x14ac:dyDescent="0.25">
      <c r="N9938" s="362"/>
    </row>
    <row r="9939" spans="14:14" x14ac:dyDescent="0.25">
      <c r="N9939" s="362"/>
    </row>
    <row r="9940" spans="14:14" x14ac:dyDescent="0.25">
      <c r="N9940" s="362"/>
    </row>
    <row r="9941" spans="14:14" x14ac:dyDescent="0.25">
      <c r="N9941" s="362"/>
    </row>
    <row r="9942" spans="14:14" x14ac:dyDescent="0.25">
      <c r="N9942" s="362"/>
    </row>
    <row r="9943" spans="14:14" x14ac:dyDescent="0.25">
      <c r="N9943" s="362"/>
    </row>
    <row r="9944" spans="14:14" x14ac:dyDescent="0.25">
      <c r="N9944" s="362"/>
    </row>
    <row r="9945" spans="14:14" x14ac:dyDescent="0.25">
      <c r="N9945" s="362"/>
    </row>
    <row r="9946" spans="14:14" x14ac:dyDescent="0.25">
      <c r="N9946" s="362"/>
    </row>
    <row r="9947" spans="14:14" x14ac:dyDescent="0.25">
      <c r="N9947" s="362"/>
    </row>
    <row r="9948" spans="14:14" x14ac:dyDescent="0.25">
      <c r="N9948" s="362"/>
    </row>
    <row r="9949" spans="14:14" x14ac:dyDescent="0.25">
      <c r="N9949" s="362"/>
    </row>
    <row r="9950" spans="14:14" x14ac:dyDescent="0.25">
      <c r="N9950" s="362"/>
    </row>
    <row r="9951" spans="14:14" x14ac:dyDescent="0.25">
      <c r="N9951" s="362"/>
    </row>
    <row r="9952" spans="14:14" x14ac:dyDescent="0.25">
      <c r="N9952" s="362"/>
    </row>
    <row r="9953" spans="14:14" x14ac:dyDescent="0.25">
      <c r="N9953" s="362"/>
    </row>
    <row r="9954" spans="14:14" x14ac:dyDescent="0.25">
      <c r="N9954" s="362"/>
    </row>
    <row r="9955" spans="14:14" x14ac:dyDescent="0.25">
      <c r="N9955" s="362"/>
    </row>
    <row r="9956" spans="14:14" x14ac:dyDescent="0.25">
      <c r="N9956" s="362"/>
    </row>
    <row r="9957" spans="14:14" x14ac:dyDescent="0.25">
      <c r="N9957" s="362"/>
    </row>
    <row r="9958" spans="14:14" x14ac:dyDescent="0.25">
      <c r="N9958" s="362"/>
    </row>
    <row r="9959" spans="14:14" x14ac:dyDescent="0.25">
      <c r="N9959" s="362"/>
    </row>
    <row r="9960" spans="14:14" x14ac:dyDescent="0.25">
      <c r="N9960" s="362"/>
    </row>
    <row r="9961" spans="14:14" x14ac:dyDescent="0.25">
      <c r="N9961" s="362"/>
    </row>
    <row r="9962" spans="14:14" x14ac:dyDescent="0.25">
      <c r="N9962" s="362"/>
    </row>
    <row r="9963" spans="14:14" x14ac:dyDescent="0.25">
      <c r="N9963" s="362"/>
    </row>
    <row r="9964" spans="14:14" x14ac:dyDescent="0.25">
      <c r="N9964" s="362"/>
    </row>
    <row r="9965" spans="14:14" x14ac:dyDescent="0.25">
      <c r="N9965" s="362"/>
    </row>
    <row r="9966" spans="14:14" x14ac:dyDescent="0.25">
      <c r="N9966" s="362"/>
    </row>
    <row r="9967" spans="14:14" x14ac:dyDescent="0.25">
      <c r="N9967" s="362"/>
    </row>
    <row r="9968" spans="14:14" x14ac:dyDescent="0.25">
      <c r="N9968" s="362"/>
    </row>
    <row r="9969" spans="14:14" x14ac:dyDescent="0.25">
      <c r="N9969" s="362"/>
    </row>
    <row r="9970" spans="14:14" x14ac:dyDescent="0.25">
      <c r="N9970" s="362"/>
    </row>
    <row r="9971" spans="14:14" x14ac:dyDescent="0.25">
      <c r="N9971" s="362"/>
    </row>
    <row r="9972" spans="14:14" x14ac:dyDescent="0.25">
      <c r="N9972" s="362"/>
    </row>
    <row r="9973" spans="14:14" x14ac:dyDescent="0.25">
      <c r="N9973" s="362"/>
    </row>
    <row r="9974" spans="14:14" x14ac:dyDescent="0.25">
      <c r="N9974" s="362"/>
    </row>
    <row r="9975" spans="14:14" x14ac:dyDescent="0.25">
      <c r="N9975" s="362"/>
    </row>
    <row r="9976" spans="14:14" x14ac:dyDescent="0.25">
      <c r="N9976" s="362"/>
    </row>
    <row r="9977" spans="14:14" x14ac:dyDescent="0.25">
      <c r="N9977" s="362"/>
    </row>
    <row r="9978" spans="14:14" x14ac:dyDescent="0.25">
      <c r="N9978" s="362"/>
    </row>
    <row r="9979" spans="14:14" x14ac:dyDescent="0.25">
      <c r="N9979" s="362"/>
    </row>
    <row r="9980" spans="14:14" x14ac:dyDescent="0.25">
      <c r="N9980" s="362"/>
    </row>
    <row r="9981" spans="14:14" x14ac:dyDescent="0.25">
      <c r="N9981" s="362"/>
    </row>
    <row r="9982" spans="14:14" x14ac:dyDescent="0.25">
      <c r="N9982" s="362"/>
    </row>
    <row r="9983" spans="14:14" x14ac:dyDescent="0.25">
      <c r="N9983" s="362"/>
    </row>
    <row r="9984" spans="14:14" x14ac:dyDescent="0.25">
      <c r="N9984" s="362"/>
    </row>
    <row r="9985" spans="14:14" x14ac:dyDescent="0.25">
      <c r="N9985" s="362"/>
    </row>
    <row r="9986" spans="14:14" x14ac:dyDescent="0.25">
      <c r="N9986" s="362"/>
    </row>
    <row r="9987" spans="14:14" x14ac:dyDescent="0.25">
      <c r="N9987" s="362"/>
    </row>
    <row r="9988" spans="14:14" x14ac:dyDescent="0.25">
      <c r="N9988" s="362"/>
    </row>
    <row r="9989" spans="14:14" x14ac:dyDescent="0.25">
      <c r="N9989" s="362"/>
    </row>
    <row r="9990" spans="14:14" x14ac:dyDescent="0.25">
      <c r="N9990" s="362"/>
    </row>
    <row r="9991" spans="14:14" x14ac:dyDescent="0.25">
      <c r="N9991" s="362"/>
    </row>
    <row r="9992" spans="14:14" x14ac:dyDescent="0.25">
      <c r="N9992" s="362"/>
    </row>
    <row r="9993" spans="14:14" x14ac:dyDescent="0.25">
      <c r="N9993" s="362"/>
    </row>
    <row r="9994" spans="14:14" x14ac:dyDescent="0.25">
      <c r="N9994" s="362"/>
    </row>
    <row r="9995" spans="14:14" x14ac:dyDescent="0.25">
      <c r="N9995" s="362"/>
    </row>
    <row r="9996" spans="14:14" x14ac:dyDescent="0.25">
      <c r="N9996" s="362"/>
    </row>
    <row r="9997" spans="14:14" x14ac:dyDescent="0.25">
      <c r="N9997" s="362"/>
    </row>
    <row r="9998" spans="14:14" x14ac:dyDescent="0.25">
      <c r="N9998" s="362"/>
    </row>
    <row r="9999" spans="14:14" x14ac:dyDescent="0.25">
      <c r="N9999" s="362"/>
    </row>
    <row r="10000" spans="14:14" x14ac:dyDescent="0.25">
      <c r="N10000" s="362"/>
    </row>
    <row r="10001" spans="14:14" x14ac:dyDescent="0.25">
      <c r="N10001" s="362"/>
    </row>
    <row r="10002" spans="14:14" x14ac:dyDescent="0.25">
      <c r="N10002" s="362"/>
    </row>
    <row r="10003" spans="14:14" x14ac:dyDescent="0.25">
      <c r="N10003" s="362"/>
    </row>
    <row r="10004" spans="14:14" x14ac:dyDescent="0.25">
      <c r="N10004" s="362"/>
    </row>
    <row r="10005" spans="14:14" x14ac:dyDescent="0.25">
      <c r="N10005" s="362"/>
    </row>
    <row r="10006" spans="14:14" x14ac:dyDescent="0.25">
      <c r="N10006" s="362"/>
    </row>
    <row r="10007" spans="14:14" x14ac:dyDescent="0.25">
      <c r="N10007" s="362"/>
    </row>
    <row r="10008" spans="14:14" x14ac:dyDescent="0.25">
      <c r="N10008" s="362"/>
    </row>
    <row r="10009" spans="14:14" x14ac:dyDescent="0.25">
      <c r="N10009" s="362"/>
    </row>
    <row r="10010" spans="14:14" x14ac:dyDescent="0.25">
      <c r="N10010" s="362"/>
    </row>
    <row r="10011" spans="14:14" x14ac:dyDescent="0.25">
      <c r="N10011" s="362"/>
    </row>
    <row r="10012" spans="14:14" x14ac:dyDescent="0.25">
      <c r="N10012" s="362"/>
    </row>
    <row r="10013" spans="14:14" x14ac:dyDescent="0.25">
      <c r="N10013" s="362"/>
    </row>
    <row r="10014" spans="14:14" x14ac:dyDescent="0.25">
      <c r="N10014" s="362"/>
    </row>
    <row r="10015" spans="14:14" x14ac:dyDescent="0.25">
      <c r="N10015" s="362"/>
    </row>
    <row r="10016" spans="14:14" x14ac:dyDescent="0.25">
      <c r="N10016" s="362"/>
    </row>
    <row r="10017" spans="14:14" x14ac:dyDescent="0.25">
      <c r="N10017" s="362"/>
    </row>
    <row r="10018" spans="14:14" x14ac:dyDescent="0.25">
      <c r="N10018" s="362"/>
    </row>
    <row r="10019" spans="14:14" x14ac:dyDescent="0.25">
      <c r="N10019" s="362"/>
    </row>
    <row r="10020" spans="14:14" x14ac:dyDescent="0.25">
      <c r="N10020" s="362"/>
    </row>
    <row r="10021" spans="14:14" x14ac:dyDescent="0.25">
      <c r="N10021" s="362"/>
    </row>
    <row r="10022" spans="14:14" x14ac:dyDescent="0.25">
      <c r="N10022" s="362"/>
    </row>
    <row r="10023" spans="14:14" x14ac:dyDescent="0.25">
      <c r="N10023" s="362"/>
    </row>
    <row r="10024" spans="14:14" x14ac:dyDescent="0.25">
      <c r="N10024" s="362"/>
    </row>
    <row r="10025" spans="14:14" x14ac:dyDescent="0.25">
      <c r="N10025" s="362"/>
    </row>
    <row r="10026" spans="14:14" x14ac:dyDescent="0.25">
      <c r="N10026" s="362"/>
    </row>
    <row r="10027" spans="14:14" x14ac:dyDescent="0.25">
      <c r="N10027" s="362"/>
    </row>
    <row r="10028" spans="14:14" x14ac:dyDescent="0.25">
      <c r="N10028" s="362"/>
    </row>
    <row r="10029" spans="14:14" x14ac:dyDescent="0.25">
      <c r="N10029" s="362"/>
    </row>
    <row r="10030" spans="14:14" x14ac:dyDescent="0.25">
      <c r="N10030" s="362"/>
    </row>
    <row r="10031" spans="14:14" x14ac:dyDescent="0.25">
      <c r="N10031" s="362"/>
    </row>
    <row r="10032" spans="14:14" x14ac:dyDescent="0.25">
      <c r="N10032" s="362"/>
    </row>
    <row r="10033" spans="14:14" x14ac:dyDescent="0.25">
      <c r="N10033" s="362"/>
    </row>
    <row r="10034" spans="14:14" x14ac:dyDescent="0.25">
      <c r="N10034" s="362"/>
    </row>
    <row r="10035" spans="14:14" x14ac:dyDescent="0.25">
      <c r="N10035" s="362"/>
    </row>
    <row r="10036" spans="14:14" x14ac:dyDescent="0.25">
      <c r="N10036" s="362"/>
    </row>
    <row r="10037" spans="14:14" x14ac:dyDescent="0.25">
      <c r="N10037" s="362"/>
    </row>
    <row r="10038" spans="14:14" x14ac:dyDescent="0.25">
      <c r="N10038" s="362"/>
    </row>
    <row r="10039" spans="14:14" x14ac:dyDescent="0.25">
      <c r="N10039" s="362"/>
    </row>
    <row r="10040" spans="14:14" x14ac:dyDescent="0.25">
      <c r="N10040" s="362"/>
    </row>
    <row r="10041" spans="14:14" x14ac:dyDescent="0.25">
      <c r="N10041" s="362"/>
    </row>
    <row r="10042" spans="14:14" x14ac:dyDescent="0.25">
      <c r="N10042" s="362"/>
    </row>
    <row r="10043" spans="14:14" x14ac:dyDescent="0.25">
      <c r="N10043" s="362"/>
    </row>
    <row r="10044" spans="14:14" x14ac:dyDescent="0.25">
      <c r="N10044" s="362"/>
    </row>
    <row r="10045" spans="14:14" x14ac:dyDescent="0.25">
      <c r="N10045" s="362"/>
    </row>
    <row r="10046" spans="14:14" x14ac:dyDescent="0.25">
      <c r="N10046" s="362"/>
    </row>
    <row r="10047" spans="14:14" x14ac:dyDescent="0.25">
      <c r="N10047" s="362"/>
    </row>
    <row r="10048" spans="14:14" x14ac:dyDescent="0.25">
      <c r="N10048" s="362"/>
    </row>
    <row r="10049" spans="14:14" x14ac:dyDescent="0.25">
      <c r="N10049" s="362"/>
    </row>
    <row r="10050" spans="14:14" x14ac:dyDescent="0.25">
      <c r="N10050" s="362"/>
    </row>
    <row r="10051" spans="14:14" x14ac:dyDescent="0.25">
      <c r="N10051" s="362"/>
    </row>
    <row r="10052" spans="14:14" x14ac:dyDescent="0.25">
      <c r="N10052" s="362"/>
    </row>
    <row r="10053" spans="14:14" x14ac:dyDescent="0.25">
      <c r="N10053" s="362"/>
    </row>
    <row r="10054" spans="14:14" x14ac:dyDescent="0.25">
      <c r="N10054" s="362"/>
    </row>
    <row r="10055" spans="14:14" x14ac:dyDescent="0.25">
      <c r="N10055" s="362"/>
    </row>
    <row r="10056" spans="14:14" x14ac:dyDescent="0.25">
      <c r="N10056" s="362"/>
    </row>
    <row r="10057" spans="14:14" x14ac:dyDescent="0.25">
      <c r="N10057" s="362"/>
    </row>
    <row r="10058" spans="14:14" x14ac:dyDescent="0.25">
      <c r="N10058" s="362"/>
    </row>
    <row r="10059" spans="14:14" x14ac:dyDescent="0.25">
      <c r="N10059" s="362"/>
    </row>
    <row r="10060" spans="14:14" x14ac:dyDescent="0.25">
      <c r="N10060" s="362"/>
    </row>
    <row r="10061" spans="14:14" x14ac:dyDescent="0.25">
      <c r="N10061" s="362"/>
    </row>
    <row r="10062" spans="14:14" x14ac:dyDescent="0.25">
      <c r="N10062" s="362"/>
    </row>
    <row r="10063" spans="14:14" x14ac:dyDescent="0.25">
      <c r="N10063" s="362"/>
    </row>
    <row r="10064" spans="14:14" x14ac:dyDescent="0.25">
      <c r="N10064" s="362"/>
    </row>
    <row r="10065" spans="14:14" x14ac:dyDescent="0.25">
      <c r="N10065" s="362"/>
    </row>
    <row r="10066" spans="14:14" x14ac:dyDescent="0.25">
      <c r="N10066" s="362"/>
    </row>
    <row r="10067" spans="14:14" x14ac:dyDescent="0.25">
      <c r="N10067" s="362"/>
    </row>
    <row r="10068" spans="14:14" x14ac:dyDescent="0.25">
      <c r="N10068" s="362"/>
    </row>
    <row r="10069" spans="14:14" x14ac:dyDescent="0.25">
      <c r="N10069" s="362"/>
    </row>
    <row r="10070" spans="14:14" x14ac:dyDescent="0.25">
      <c r="N10070" s="362"/>
    </row>
    <row r="10071" spans="14:14" x14ac:dyDescent="0.25">
      <c r="N10071" s="362"/>
    </row>
    <row r="10072" spans="14:14" x14ac:dyDescent="0.25">
      <c r="N10072" s="362"/>
    </row>
    <row r="10073" spans="14:14" x14ac:dyDescent="0.25">
      <c r="N10073" s="362"/>
    </row>
    <row r="10074" spans="14:14" x14ac:dyDescent="0.25">
      <c r="N10074" s="362"/>
    </row>
    <row r="10075" spans="14:14" x14ac:dyDescent="0.25">
      <c r="N10075" s="362"/>
    </row>
    <row r="10076" spans="14:14" x14ac:dyDescent="0.25">
      <c r="N10076" s="362"/>
    </row>
    <row r="10077" spans="14:14" x14ac:dyDescent="0.25">
      <c r="N10077" s="362"/>
    </row>
    <row r="10078" spans="14:14" x14ac:dyDescent="0.25">
      <c r="N10078" s="362"/>
    </row>
    <row r="10079" spans="14:14" x14ac:dyDescent="0.25">
      <c r="N10079" s="362"/>
    </row>
    <row r="10080" spans="14:14" x14ac:dyDescent="0.25">
      <c r="N10080" s="362"/>
    </row>
    <row r="10081" spans="14:14" x14ac:dyDescent="0.25">
      <c r="N10081" s="362"/>
    </row>
    <row r="10082" spans="14:14" x14ac:dyDescent="0.25">
      <c r="N10082" s="362"/>
    </row>
    <row r="10083" spans="14:14" x14ac:dyDescent="0.25">
      <c r="N10083" s="362"/>
    </row>
    <row r="10084" spans="14:14" x14ac:dyDescent="0.25">
      <c r="N10084" s="362"/>
    </row>
    <row r="10085" spans="14:14" x14ac:dyDescent="0.25">
      <c r="N10085" s="362"/>
    </row>
    <row r="10086" spans="14:14" x14ac:dyDescent="0.25">
      <c r="N10086" s="362"/>
    </row>
    <row r="10087" spans="14:14" x14ac:dyDescent="0.25">
      <c r="N10087" s="362"/>
    </row>
    <row r="10088" spans="14:14" x14ac:dyDescent="0.25">
      <c r="N10088" s="362"/>
    </row>
    <row r="10089" spans="14:14" x14ac:dyDescent="0.25">
      <c r="N10089" s="362"/>
    </row>
    <row r="10090" spans="14:14" x14ac:dyDescent="0.25">
      <c r="N10090" s="362"/>
    </row>
    <row r="10091" spans="14:14" x14ac:dyDescent="0.25">
      <c r="N10091" s="362"/>
    </row>
    <row r="10092" spans="14:14" x14ac:dyDescent="0.25">
      <c r="N10092" s="362"/>
    </row>
    <row r="10093" spans="14:14" x14ac:dyDescent="0.25">
      <c r="N10093" s="362"/>
    </row>
    <row r="10094" spans="14:14" x14ac:dyDescent="0.25">
      <c r="N10094" s="362"/>
    </row>
    <row r="10095" spans="14:14" x14ac:dyDescent="0.25">
      <c r="N10095" s="362"/>
    </row>
    <row r="10096" spans="14:14" x14ac:dyDescent="0.25">
      <c r="N10096" s="362"/>
    </row>
    <row r="10097" spans="14:14" x14ac:dyDescent="0.25">
      <c r="N10097" s="362"/>
    </row>
    <row r="10098" spans="14:14" x14ac:dyDescent="0.25">
      <c r="N10098" s="362"/>
    </row>
    <row r="10099" spans="14:14" x14ac:dyDescent="0.25">
      <c r="N10099" s="362"/>
    </row>
    <row r="10100" spans="14:14" x14ac:dyDescent="0.25">
      <c r="N10100" s="362"/>
    </row>
    <row r="10101" spans="14:14" x14ac:dyDescent="0.25">
      <c r="N10101" s="362"/>
    </row>
    <row r="10102" spans="14:14" x14ac:dyDescent="0.25">
      <c r="N10102" s="362"/>
    </row>
    <row r="10103" spans="14:14" x14ac:dyDescent="0.25">
      <c r="N10103" s="362"/>
    </row>
    <row r="10104" spans="14:14" x14ac:dyDescent="0.25">
      <c r="N10104" s="362"/>
    </row>
    <row r="10105" spans="14:14" x14ac:dyDescent="0.25">
      <c r="N10105" s="362"/>
    </row>
    <row r="10106" spans="14:14" x14ac:dyDescent="0.25">
      <c r="N10106" s="362"/>
    </row>
    <row r="10107" spans="14:14" x14ac:dyDescent="0.25">
      <c r="N10107" s="362"/>
    </row>
    <row r="10108" spans="14:14" x14ac:dyDescent="0.25">
      <c r="N10108" s="362"/>
    </row>
    <row r="10109" spans="14:14" x14ac:dyDescent="0.25">
      <c r="N10109" s="362"/>
    </row>
    <row r="10110" spans="14:14" x14ac:dyDescent="0.25">
      <c r="N10110" s="362"/>
    </row>
    <row r="10111" spans="14:14" x14ac:dyDescent="0.25">
      <c r="N10111" s="362"/>
    </row>
    <row r="10112" spans="14:14" x14ac:dyDescent="0.25">
      <c r="N10112" s="362"/>
    </row>
    <row r="10113" spans="14:14" x14ac:dyDescent="0.25">
      <c r="N10113" s="362"/>
    </row>
    <row r="10114" spans="14:14" x14ac:dyDescent="0.25">
      <c r="N10114" s="362"/>
    </row>
    <row r="10115" spans="14:14" x14ac:dyDescent="0.25">
      <c r="N10115" s="362"/>
    </row>
    <row r="10116" spans="14:14" x14ac:dyDescent="0.25">
      <c r="N10116" s="362"/>
    </row>
    <row r="10117" spans="14:14" x14ac:dyDescent="0.25">
      <c r="N10117" s="362"/>
    </row>
    <row r="10118" spans="14:14" x14ac:dyDescent="0.25">
      <c r="N10118" s="362"/>
    </row>
    <row r="10119" spans="14:14" x14ac:dyDescent="0.25">
      <c r="N10119" s="362"/>
    </row>
    <row r="10120" spans="14:14" x14ac:dyDescent="0.25">
      <c r="N10120" s="362"/>
    </row>
    <row r="10121" spans="14:14" x14ac:dyDescent="0.25">
      <c r="N10121" s="362"/>
    </row>
    <row r="10122" spans="14:14" x14ac:dyDescent="0.25">
      <c r="N10122" s="362"/>
    </row>
    <row r="10123" spans="14:14" x14ac:dyDescent="0.25">
      <c r="N10123" s="362"/>
    </row>
    <row r="10124" spans="14:14" x14ac:dyDescent="0.25">
      <c r="N10124" s="362"/>
    </row>
    <row r="10125" spans="14:14" x14ac:dyDescent="0.25">
      <c r="N10125" s="362"/>
    </row>
    <row r="10126" spans="14:14" x14ac:dyDescent="0.25">
      <c r="N10126" s="362"/>
    </row>
    <row r="10127" spans="14:14" x14ac:dyDescent="0.25">
      <c r="N10127" s="362"/>
    </row>
    <row r="10128" spans="14:14" x14ac:dyDescent="0.25">
      <c r="N10128" s="362"/>
    </row>
    <row r="10129" spans="14:14" x14ac:dyDescent="0.25">
      <c r="N10129" s="362"/>
    </row>
    <row r="10130" spans="14:14" x14ac:dyDescent="0.25">
      <c r="N10130" s="362"/>
    </row>
    <row r="10131" spans="14:14" x14ac:dyDescent="0.25">
      <c r="N10131" s="362"/>
    </row>
    <row r="10132" spans="14:14" x14ac:dyDescent="0.25">
      <c r="N10132" s="362"/>
    </row>
    <row r="10133" spans="14:14" x14ac:dyDescent="0.25">
      <c r="N10133" s="362"/>
    </row>
    <row r="10134" spans="14:14" x14ac:dyDescent="0.25">
      <c r="N10134" s="362"/>
    </row>
    <row r="10135" spans="14:14" x14ac:dyDescent="0.25">
      <c r="N10135" s="362"/>
    </row>
    <row r="10136" spans="14:14" x14ac:dyDescent="0.25">
      <c r="N10136" s="362"/>
    </row>
    <row r="10137" spans="14:14" x14ac:dyDescent="0.25">
      <c r="N10137" s="362"/>
    </row>
    <row r="10138" spans="14:14" x14ac:dyDescent="0.25">
      <c r="N10138" s="362"/>
    </row>
    <row r="10139" spans="14:14" x14ac:dyDescent="0.25">
      <c r="N10139" s="362"/>
    </row>
    <row r="10140" spans="14:14" x14ac:dyDescent="0.25">
      <c r="N10140" s="362"/>
    </row>
    <row r="10141" spans="14:14" x14ac:dyDescent="0.25">
      <c r="N10141" s="362"/>
    </row>
    <row r="10142" spans="14:14" x14ac:dyDescent="0.25">
      <c r="N10142" s="362"/>
    </row>
    <row r="10143" spans="14:14" x14ac:dyDescent="0.25">
      <c r="N10143" s="362"/>
    </row>
    <row r="10144" spans="14:14" x14ac:dyDescent="0.25">
      <c r="N10144" s="362"/>
    </row>
    <row r="10145" spans="14:14" x14ac:dyDescent="0.25">
      <c r="N10145" s="362"/>
    </row>
    <row r="10146" spans="14:14" x14ac:dyDescent="0.25">
      <c r="N10146" s="362"/>
    </row>
    <row r="10147" spans="14:14" x14ac:dyDescent="0.25">
      <c r="N10147" s="362"/>
    </row>
    <row r="10148" spans="14:14" x14ac:dyDescent="0.25">
      <c r="N10148" s="362"/>
    </row>
    <row r="10149" spans="14:14" x14ac:dyDescent="0.25">
      <c r="N10149" s="362"/>
    </row>
    <row r="10150" spans="14:14" x14ac:dyDescent="0.25">
      <c r="N10150" s="362"/>
    </row>
    <row r="10151" spans="14:14" x14ac:dyDescent="0.25">
      <c r="N10151" s="362"/>
    </row>
    <row r="10152" spans="14:14" x14ac:dyDescent="0.25">
      <c r="N10152" s="362"/>
    </row>
    <row r="10153" spans="14:14" x14ac:dyDescent="0.25">
      <c r="N10153" s="362"/>
    </row>
    <row r="10154" spans="14:14" x14ac:dyDescent="0.25">
      <c r="N10154" s="362"/>
    </row>
    <row r="10155" spans="14:14" x14ac:dyDescent="0.25">
      <c r="N10155" s="362"/>
    </row>
    <row r="10156" spans="14:14" x14ac:dyDescent="0.25">
      <c r="N10156" s="362"/>
    </row>
    <row r="10157" spans="14:14" x14ac:dyDescent="0.25">
      <c r="N10157" s="362"/>
    </row>
    <row r="10158" spans="14:14" x14ac:dyDescent="0.25">
      <c r="N10158" s="362"/>
    </row>
    <row r="10159" spans="14:14" x14ac:dyDescent="0.25">
      <c r="N10159" s="362"/>
    </row>
    <row r="10160" spans="14:14" x14ac:dyDescent="0.25">
      <c r="N10160" s="362"/>
    </row>
    <row r="10161" spans="14:14" x14ac:dyDescent="0.25">
      <c r="N10161" s="362"/>
    </row>
    <row r="10162" spans="14:14" x14ac:dyDescent="0.25">
      <c r="N10162" s="362"/>
    </row>
    <row r="10163" spans="14:14" x14ac:dyDescent="0.25">
      <c r="N10163" s="362"/>
    </row>
    <row r="10164" spans="14:14" x14ac:dyDescent="0.25">
      <c r="N10164" s="362"/>
    </row>
    <row r="10165" spans="14:14" x14ac:dyDescent="0.25">
      <c r="N10165" s="362"/>
    </row>
    <row r="10166" spans="14:14" x14ac:dyDescent="0.25">
      <c r="N10166" s="362"/>
    </row>
    <row r="10167" spans="14:14" x14ac:dyDescent="0.25">
      <c r="N10167" s="362"/>
    </row>
    <row r="10168" spans="14:14" x14ac:dyDescent="0.25">
      <c r="N10168" s="362"/>
    </row>
    <row r="10169" spans="14:14" x14ac:dyDescent="0.25">
      <c r="N10169" s="362"/>
    </row>
    <row r="10170" spans="14:14" x14ac:dyDescent="0.25">
      <c r="N10170" s="362"/>
    </row>
    <row r="10171" spans="14:14" x14ac:dyDescent="0.25">
      <c r="N10171" s="362"/>
    </row>
    <row r="10172" spans="14:14" x14ac:dyDescent="0.25">
      <c r="N10172" s="362"/>
    </row>
    <row r="10173" spans="14:14" x14ac:dyDescent="0.25">
      <c r="N10173" s="362"/>
    </row>
    <row r="10174" spans="14:14" x14ac:dyDescent="0.25">
      <c r="N10174" s="362"/>
    </row>
    <row r="10175" spans="14:14" x14ac:dyDescent="0.25">
      <c r="N10175" s="362"/>
    </row>
    <row r="10176" spans="14:14" x14ac:dyDescent="0.25">
      <c r="N10176" s="362"/>
    </row>
    <row r="10177" spans="14:14" x14ac:dyDescent="0.25">
      <c r="N10177" s="362"/>
    </row>
    <row r="10178" spans="14:14" x14ac:dyDescent="0.25">
      <c r="N10178" s="362"/>
    </row>
    <row r="10179" spans="14:14" x14ac:dyDescent="0.25">
      <c r="N10179" s="362"/>
    </row>
    <row r="10180" spans="14:14" x14ac:dyDescent="0.25">
      <c r="N10180" s="362"/>
    </row>
    <row r="10181" spans="14:14" x14ac:dyDescent="0.25">
      <c r="N10181" s="362"/>
    </row>
    <row r="10182" spans="14:14" x14ac:dyDescent="0.25">
      <c r="N10182" s="362"/>
    </row>
    <row r="10183" spans="14:14" x14ac:dyDescent="0.25">
      <c r="N10183" s="362"/>
    </row>
    <row r="10184" spans="14:14" x14ac:dyDescent="0.25">
      <c r="N10184" s="362"/>
    </row>
    <row r="10185" spans="14:14" x14ac:dyDescent="0.25">
      <c r="N10185" s="362"/>
    </row>
    <row r="10186" spans="14:14" x14ac:dyDescent="0.25">
      <c r="N10186" s="362"/>
    </row>
    <row r="10187" spans="14:14" x14ac:dyDescent="0.25">
      <c r="N10187" s="362"/>
    </row>
    <row r="10188" spans="14:14" x14ac:dyDescent="0.25">
      <c r="N10188" s="362"/>
    </row>
    <row r="10189" spans="14:14" x14ac:dyDescent="0.25">
      <c r="N10189" s="362"/>
    </row>
    <row r="10190" spans="14:14" x14ac:dyDescent="0.25">
      <c r="N10190" s="362"/>
    </row>
    <row r="10191" spans="14:14" x14ac:dyDescent="0.25">
      <c r="N10191" s="362"/>
    </row>
    <row r="10192" spans="14:14" x14ac:dyDescent="0.25">
      <c r="N10192" s="362"/>
    </row>
    <row r="10193" spans="14:14" x14ac:dyDescent="0.25">
      <c r="N10193" s="362"/>
    </row>
    <row r="10194" spans="14:14" x14ac:dyDescent="0.25">
      <c r="N10194" s="362"/>
    </row>
    <row r="10195" spans="14:14" x14ac:dyDescent="0.25">
      <c r="N10195" s="362"/>
    </row>
    <row r="10196" spans="14:14" x14ac:dyDescent="0.25">
      <c r="N10196" s="362"/>
    </row>
    <row r="10197" spans="14:14" x14ac:dyDescent="0.25">
      <c r="N10197" s="362"/>
    </row>
    <row r="10198" spans="14:14" x14ac:dyDescent="0.25">
      <c r="N10198" s="362"/>
    </row>
    <row r="10199" spans="14:14" x14ac:dyDescent="0.25">
      <c r="N10199" s="362"/>
    </row>
    <row r="10200" spans="14:14" x14ac:dyDescent="0.25">
      <c r="N10200" s="362"/>
    </row>
    <row r="10201" spans="14:14" x14ac:dyDescent="0.25">
      <c r="N10201" s="362"/>
    </row>
    <row r="10202" spans="14:14" x14ac:dyDescent="0.25">
      <c r="N10202" s="362"/>
    </row>
    <row r="10203" spans="14:14" x14ac:dyDescent="0.25">
      <c r="N10203" s="362"/>
    </row>
    <row r="10204" spans="14:14" x14ac:dyDescent="0.25">
      <c r="N10204" s="362"/>
    </row>
    <row r="10205" spans="14:14" x14ac:dyDescent="0.25">
      <c r="N10205" s="362"/>
    </row>
    <row r="10206" spans="14:14" x14ac:dyDescent="0.25">
      <c r="N10206" s="362"/>
    </row>
    <row r="10207" spans="14:14" x14ac:dyDescent="0.25">
      <c r="N10207" s="362"/>
    </row>
    <row r="10208" spans="14:14" x14ac:dyDescent="0.25">
      <c r="N10208" s="362"/>
    </row>
    <row r="10209" spans="14:14" x14ac:dyDescent="0.25">
      <c r="N10209" s="362"/>
    </row>
    <row r="10210" spans="14:14" x14ac:dyDescent="0.25">
      <c r="N10210" s="362"/>
    </row>
    <row r="10211" spans="14:14" x14ac:dyDescent="0.25">
      <c r="N10211" s="362"/>
    </row>
    <row r="10212" spans="14:14" x14ac:dyDescent="0.25">
      <c r="N10212" s="362"/>
    </row>
    <row r="10213" spans="14:14" x14ac:dyDescent="0.25">
      <c r="N10213" s="362"/>
    </row>
    <row r="10214" spans="14:14" x14ac:dyDescent="0.25">
      <c r="N10214" s="362"/>
    </row>
    <row r="10215" spans="14:14" x14ac:dyDescent="0.25">
      <c r="N10215" s="362"/>
    </row>
    <row r="10216" spans="14:14" x14ac:dyDescent="0.25">
      <c r="N10216" s="362"/>
    </row>
    <row r="10217" spans="14:14" x14ac:dyDescent="0.25">
      <c r="N10217" s="362"/>
    </row>
    <row r="10218" spans="14:14" x14ac:dyDescent="0.25">
      <c r="N10218" s="362"/>
    </row>
    <row r="10219" spans="14:14" x14ac:dyDescent="0.25">
      <c r="N10219" s="362"/>
    </row>
    <row r="10220" spans="14:14" x14ac:dyDescent="0.25">
      <c r="N10220" s="362"/>
    </row>
    <row r="10221" spans="14:14" x14ac:dyDescent="0.25">
      <c r="N10221" s="362"/>
    </row>
    <row r="10222" spans="14:14" x14ac:dyDescent="0.25">
      <c r="N10222" s="362"/>
    </row>
    <row r="10223" spans="14:14" x14ac:dyDescent="0.25">
      <c r="N10223" s="362"/>
    </row>
    <row r="10224" spans="14:14" x14ac:dyDescent="0.25">
      <c r="N10224" s="362"/>
    </row>
    <row r="10225" spans="14:14" x14ac:dyDescent="0.25">
      <c r="N10225" s="362"/>
    </row>
    <row r="10226" spans="14:14" x14ac:dyDescent="0.25">
      <c r="N10226" s="362"/>
    </row>
    <row r="10227" spans="14:14" x14ac:dyDescent="0.25">
      <c r="N10227" s="362"/>
    </row>
    <row r="10228" spans="14:14" x14ac:dyDescent="0.25">
      <c r="N10228" s="362"/>
    </row>
    <row r="10229" spans="14:14" x14ac:dyDescent="0.25">
      <c r="N10229" s="362"/>
    </row>
    <row r="10230" spans="14:14" x14ac:dyDescent="0.25">
      <c r="N10230" s="362"/>
    </row>
    <row r="10231" spans="14:14" x14ac:dyDescent="0.25">
      <c r="N10231" s="362"/>
    </row>
    <row r="10232" spans="14:14" x14ac:dyDescent="0.25">
      <c r="N10232" s="362"/>
    </row>
    <row r="10233" spans="14:14" x14ac:dyDescent="0.25">
      <c r="N10233" s="362"/>
    </row>
    <row r="10234" spans="14:14" x14ac:dyDescent="0.25">
      <c r="N10234" s="362"/>
    </row>
    <row r="10235" spans="14:14" x14ac:dyDescent="0.25">
      <c r="N10235" s="362"/>
    </row>
    <row r="10236" spans="14:14" x14ac:dyDescent="0.25">
      <c r="N10236" s="362"/>
    </row>
    <row r="10237" spans="14:14" x14ac:dyDescent="0.25">
      <c r="N10237" s="362"/>
    </row>
    <row r="10238" spans="14:14" x14ac:dyDescent="0.25">
      <c r="N10238" s="362"/>
    </row>
    <row r="10239" spans="14:14" x14ac:dyDescent="0.25">
      <c r="N10239" s="362"/>
    </row>
    <row r="10240" spans="14:14" x14ac:dyDescent="0.25">
      <c r="N10240" s="362"/>
    </row>
    <row r="10241" spans="14:14" x14ac:dyDescent="0.25">
      <c r="N10241" s="362"/>
    </row>
    <row r="10242" spans="14:14" x14ac:dyDescent="0.25">
      <c r="N10242" s="362"/>
    </row>
    <row r="10243" spans="14:14" x14ac:dyDescent="0.25">
      <c r="N10243" s="362"/>
    </row>
    <row r="10244" spans="14:14" x14ac:dyDescent="0.25">
      <c r="N10244" s="362"/>
    </row>
    <row r="10245" spans="14:14" x14ac:dyDescent="0.25">
      <c r="N10245" s="362"/>
    </row>
    <row r="10246" spans="14:14" x14ac:dyDescent="0.25">
      <c r="N10246" s="362"/>
    </row>
    <row r="10247" spans="14:14" x14ac:dyDescent="0.25">
      <c r="N10247" s="362"/>
    </row>
    <row r="10248" spans="14:14" x14ac:dyDescent="0.25">
      <c r="N10248" s="362"/>
    </row>
    <row r="10249" spans="14:14" x14ac:dyDescent="0.25">
      <c r="N10249" s="362"/>
    </row>
    <row r="10250" spans="14:14" x14ac:dyDescent="0.25">
      <c r="N10250" s="362"/>
    </row>
    <row r="10251" spans="14:14" x14ac:dyDescent="0.25">
      <c r="N10251" s="362"/>
    </row>
    <row r="10252" spans="14:14" x14ac:dyDescent="0.25">
      <c r="N10252" s="362"/>
    </row>
    <row r="10253" spans="14:14" x14ac:dyDescent="0.25">
      <c r="N10253" s="362"/>
    </row>
    <row r="10254" spans="14:14" x14ac:dyDescent="0.25">
      <c r="N10254" s="362"/>
    </row>
    <row r="10255" spans="14:14" x14ac:dyDescent="0.25">
      <c r="N10255" s="362"/>
    </row>
    <row r="10256" spans="14:14" x14ac:dyDescent="0.25">
      <c r="N10256" s="362"/>
    </row>
    <row r="10257" spans="14:14" x14ac:dyDescent="0.25">
      <c r="N10257" s="362"/>
    </row>
    <row r="10258" spans="14:14" x14ac:dyDescent="0.25">
      <c r="N10258" s="362"/>
    </row>
    <row r="10259" spans="14:14" x14ac:dyDescent="0.25">
      <c r="N10259" s="362"/>
    </row>
    <row r="10260" spans="14:14" x14ac:dyDescent="0.25">
      <c r="N10260" s="362"/>
    </row>
    <row r="10261" spans="14:14" x14ac:dyDescent="0.25">
      <c r="N10261" s="362"/>
    </row>
    <row r="10262" spans="14:14" x14ac:dyDescent="0.25">
      <c r="N10262" s="362"/>
    </row>
    <row r="10263" spans="14:14" x14ac:dyDescent="0.25">
      <c r="N10263" s="362"/>
    </row>
    <row r="10264" spans="14:14" x14ac:dyDescent="0.25">
      <c r="N10264" s="362"/>
    </row>
    <row r="10265" spans="14:14" x14ac:dyDescent="0.25">
      <c r="N10265" s="362"/>
    </row>
    <row r="10266" spans="14:14" x14ac:dyDescent="0.25">
      <c r="N10266" s="362"/>
    </row>
    <row r="10267" spans="14:14" x14ac:dyDescent="0.25">
      <c r="N10267" s="362"/>
    </row>
    <row r="10268" spans="14:14" x14ac:dyDescent="0.25">
      <c r="N10268" s="362"/>
    </row>
    <row r="10269" spans="14:14" x14ac:dyDescent="0.25">
      <c r="N10269" s="362"/>
    </row>
    <row r="10270" spans="14:14" x14ac:dyDescent="0.25">
      <c r="N10270" s="362"/>
    </row>
    <row r="10271" spans="14:14" x14ac:dyDescent="0.25">
      <c r="N10271" s="362"/>
    </row>
    <row r="10272" spans="14:14" x14ac:dyDescent="0.25">
      <c r="N10272" s="362"/>
    </row>
    <row r="10273" spans="14:14" x14ac:dyDescent="0.25">
      <c r="N10273" s="362"/>
    </row>
    <row r="10274" spans="14:14" x14ac:dyDescent="0.25">
      <c r="N10274" s="362"/>
    </row>
    <row r="10275" spans="14:14" x14ac:dyDescent="0.25">
      <c r="N10275" s="362"/>
    </row>
    <row r="10276" spans="14:14" x14ac:dyDescent="0.25">
      <c r="N10276" s="362"/>
    </row>
    <row r="10277" spans="14:14" x14ac:dyDescent="0.25">
      <c r="N10277" s="362"/>
    </row>
    <row r="10278" spans="14:14" x14ac:dyDescent="0.25">
      <c r="N10278" s="362"/>
    </row>
    <row r="10279" spans="14:14" x14ac:dyDescent="0.25">
      <c r="N10279" s="362"/>
    </row>
    <row r="10280" spans="14:14" x14ac:dyDescent="0.25">
      <c r="N10280" s="362"/>
    </row>
    <row r="10281" spans="14:14" x14ac:dyDescent="0.25">
      <c r="N10281" s="362"/>
    </row>
    <row r="10282" spans="14:14" x14ac:dyDescent="0.25">
      <c r="N10282" s="362"/>
    </row>
    <row r="10283" spans="14:14" x14ac:dyDescent="0.25">
      <c r="N10283" s="362"/>
    </row>
    <row r="10284" spans="14:14" x14ac:dyDescent="0.25">
      <c r="N10284" s="362"/>
    </row>
    <row r="10285" spans="14:14" x14ac:dyDescent="0.25">
      <c r="N10285" s="362"/>
    </row>
    <row r="10286" spans="14:14" x14ac:dyDescent="0.25">
      <c r="N10286" s="362"/>
    </row>
    <row r="10287" spans="14:14" x14ac:dyDescent="0.25">
      <c r="N10287" s="362"/>
    </row>
    <row r="10288" spans="14:14" x14ac:dyDescent="0.25">
      <c r="N10288" s="362"/>
    </row>
    <row r="10289" spans="14:14" x14ac:dyDescent="0.25">
      <c r="N10289" s="362"/>
    </row>
    <row r="10290" spans="14:14" x14ac:dyDescent="0.25">
      <c r="N10290" s="362"/>
    </row>
    <row r="10291" spans="14:14" x14ac:dyDescent="0.25">
      <c r="N10291" s="362"/>
    </row>
    <row r="10292" spans="14:14" x14ac:dyDescent="0.25">
      <c r="N10292" s="362"/>
    </row>
    <row r="10293" spans="14:14" x14ac:dyDescent="0.25">
      <c r="N10293" s="362"/>
    </row>
    <row r="10294" spans="14:14" x14ac:dyDescent="0.25">
      <c r="N10294" s="362"/>
    </row>
    <row r="10295" spans="14:14" x14ac:dyDescent="0.25">
      <c r="N10295" s="362"/>
    </row>
    <row r="10296" spans="14:14" x14ac:dyDescent="0.25">
      <c r="N10296" s="362"/>
    </row>
    <row r="10297" spans="14:14" x14ac:dyDescent="0.25">
      <c r="N10297" s="362"/>
    </row>
    <row r="10298" spans="14:14" x14ac:dyDescent="0.25">
      <c r="N10298" s="362"/>
    </row>
    <row r="10299" spans="14:14" x14ac:dyDescent="0.25">
      <c r="N10299" s="362"/>
    </row>
    <row r="10300" spans="14:14" x14ac:dyDescent="0.25">
      <c r="N10300" s="362"/>
    </row>
    <row r="10301" spans="14:14" x14ac:dyDescent="0.25">
      <c r="N10301" s="362"/>
    </row>
    <row r="10302" spans="14:14" x14ac:dyDescent="0.25">
      <c r="N10302" s="362"/>
    </row>
    <row r="10303" spans="14:14" x14ac:dyDescent="0.25">
      <c r="N10303" s="362"/>
    </row>
    <row r="10304" spans="14:14" x14ac:dyDescent="0.25">
      <c r="N10304" s="362"/>
    </row>
    <row r="10305" spans="14:14" x14ac:dyDescent="0.25">
      <c r="N10305" s="362"/>
    </row>
    <row r="10306" spans="14:14" x14ac:dyDescent="0.25">
      <c r="N10306" s="362"/>
    </row>
    <row r="10307" spans="14:14" x14ac:dyDescent="0.25">
      <c r="N10307" s="362"/>
    </row>
    <row r="10308" spans="14:14" x14ac:dyDescent="0.25">
      <c r="N10308" s="362"/>
    </row>
    <row r="10309" spans="14:14" x14ac:dyDescent="0.25">
      <c r="N10309" s="362"/>
    </row>
    <row r="10310" spans="14:14" x14ac:dyDescent="0.25">
      <c r="N10310" s="362"/>
    </row>
    <row r="10311" spans="14:14" x14ac:dyDescent="0.25">
      <c r="N10311" s="362"/>
    </row>
    <row r="10312" spans="14:14" x14ac:dyDescent="0.25">
      <c r="N10312" s="362"/>
    </row>
    <row r="10313" spans="14:14" x14ac:dyDescent="0.25">
      <c r="N10313" s="362"/>
    </row>
    <row r="10314" spans="14:14" x14ac:dyDescent="0.25">
      <c r="N10314" s="362"/>
    </row>
    <row r="10315" spans="14:14" x14ac:dyDescent="0.25">
      <c r="N10315" s="362"/>
    </row>
    <row r="10316" spans="14:14" x14ac:dyDescent="0.25">
      <c r="N10316" s="362"/>
    </row>
    <row r="10317" spans="14:14" x14ac:dyDescent="0.25">
      <c r="N10317" s="362"/>
    </row>
    <row r="10318" spans="14:14" x14ac:dyDescent="0.25">
      <c r="N10318" s="362"/>
    </row>
    <row r="10319" spans="14:14" x14ac:dyDescent="0.25">
      <c r="N10319" s="362"/>
    </row>
    <row r="10320" spans="14:14" x14ac:dyDescent="0.25">
      <c r="N10320" s="362"/>
    </row>
    <row r="10321" spans="14:14" x14ac:dyDescent="0.25">
      <c r="N10321" s="362"/>
    </row>
    <row r="10322" spans="14:14" x14ac:dyDescent="0.25">
      <c r="N10322" s="362"/>
    </row>
    <row r="10323" spans="14:14" x14ac:dyDescent="0.25">
      <c r="N10323" s="362"/>
    </row>
    <row r="10324" spans="14:14" x14ac:dyDescent="0.25">
      <c r="N10324" s="362"/>
    </row>
    <row r="10325" spans="14:14" x14ac:dyDescent="0.25">
      <c r="N10325" s="362"/>
    </row>
    <row r="10326" spans="14:14" x14ac:dyDescent="0.25">
      <c r="N10326" s="362"/>
    </row>
    <row r="10327" spans="14:14" x14ac:dyDescent="0.25">
      <c r="N10327" s="362"/>
    </row>
    <row r="10328" spans="14:14" x14ac:dyDescent="0.25">
      <c r="N10328" s="362"/>
    </row>
    <row r="10329" spans="14:14" x14ac:dyDescent="0.25">
      <c r="N10329" s="362"/>
    </row>
    <row r="10330" spans="14:14" x14ac:dyDescent="0.25">
      <c r="N10330" s="362"/>
    </row>
    <row r="10331" spans="14:14" x14ac:dyDescent="0.25">
      <c r="N10331" s="362"/>
    </row>
    <row r="10332" spans="14:14" x14ac:dyDescent="0.25">
      <c r="N10332" s="362"/>
    </row>
    <row r="10333" spans="14:14" x14ac:dyDescent="0.25">
      <c r="N10333" s="362"/>
    </row>
    <row r="10334" spans="14:14" x14ac:dyDescent="0.25">
      <c r="N10334" s="362"/>
    </row>
    <row r="10335" spans="14:14" x14ac:dyDescent="0.25">
      <c r="N10335" s="362"/>
    </row>
    <row r="10336" spans="14:14" x14ac:dyDescent="0.25">
      <c r="N10336" s="362"/>
    </row>
    <row r="10337" spans="14:14" x14ac:dyDescent="0.25">
      <c r="N10337" s="362"/>
    </row>
    <row r="10338" spans="14:14" x14ac:dyDescent="0.25">
      <c r="N10338" s="362"/>
    </row>
    <row r="10339" spans="14:14" x14ac:dyDescent="0.25">
      <c r="N10339" s="362"/>
    </row>
    <row r="10340" spans="14:14" x14ac:dyDescent="0.25">
      <c r="N10340" s="362"/>
    </row>
    <row r="10341" spans="14:14" x14ac:dyDescent="0.25">
      <c r="N10341" s="362"/>
    </row>
    <row r="10342" spans="14:14" x14ac:dyDescent="0.25">
      <c r="N10342" s="362"/>
    </row>
    <row r="10343" spans="14:14" x14ac:dyDescent="0.25">
      <c r="N10343" s="362"/>
    </row>
    <row r="10344" spans="14:14" x14ac:dyDescent="0.25">
      <c r="N10344" s="362"/>
    </row>
    <row r="10345" spans="14:14" x14ac:dyDescent="0.25">
      <c r="N10345" s="362"/>
    </row>
    <row r="10346" spans="14:14" x14ac:dyDescent="0.25">
      <c r="N10346" s="362"/>
    </row>
    <row r="10347" spans="14:14" x14ac:dyDescent="0.25">
      <c r="N10347" s="362"/>
    </row>
    <row r="10348" spans="14:14" x14ac:dyDescent="0.25">
      <c r="N10348" s="362"/>
    </row>
    <row r="10349" spans="14:14" x14ac:dyDescent="0.25">
      <c r="N10349" s="362"/>
    </row>
    <row r="10350" spans="14:14" x14ac:dyDescent="0.25">
      <c r="N10350" s="362"/>
    </row>
    <row r="10351" spans="14:14" x14ac:dyDescent="0.25">
      <c r="N10351" s="362"/>
    </row>
    <row r="10352" spans="14:14" x14ac:dyDescent="0.25">
      <c r="N10352" s="362"/>
    </row>
    <row r="10353" spans="14:14" x14ac:dyDescent="0.25">
      <c r="N10353" s="362"/>
    </row>
    <row r="10354" spans="14:14" x14ac:dyDescent="0.25">
      <c r="N10354" s="362"/>
    </row>
    <row r="10355" spans="14:14" x14ac:dyDescent="0.25">
      <c r="N10355" s="362"/>
    </row>
    <row r="10356" spans="14:14" x14ac:dyDescent="0.25">
      <c r="N10356" s="362"/>
    </row>
    <row r="10357" spans="14:14" x14ac:dyDescent="0.25">
      <c r="N10357" s="362"/>
    </row>
    <row r="10358" spans="14:14" x14ac:dyDescent="0.25">
      <c r="N10358" s="362"/>
    </row>
    <row r="10359" spans="14:14" x14ac:dyDescent="0.25">
      <c r="N10359" s="362"/>
    </row>
    <row r="10360" spans="14:14" x14ac:dyDescent="0.25">
      <c r="N10360" s="362"/>
    </row>
    <row r="10361" spans="14:14" x14ac:dyDescent="0.25">
      <c r="N10361" s="362"/>
    </row>
    <row r="10362" spans="14:14" x14ac:dyDescent="0.25">
      <c r="N10362" s="362"/>
    </row>
    <row r="10363" spans="14:14" x14ac:dyDescent="0.25">
      <c r="N10363" s="362"/>
    </row>
    <row r="10364" spans="14:14" x14ac:dyDescent="0.25">
      <c r="N10364" s="362"/>
    </row>
    <row r="10365" spans="14:14" x14ac:dyDescent="0.25">
      <c r="N10365" s="362"/>
    </row>
    <row r="10366" spans="14:14" x14ac:dyDescent="0.25">
      <c r="N10366" s="362"/>
    </row>
    <row r="10367" spans="14:14" x14ac:dyDescent="0.25">
      <c r="N10367" s="362"/>
    </row>
    <row r="10368" spans="14:14" x14ac:dyDescent="0.25">
      <c r="N10368" s="362"/>
    </row>
    <row r="10369" spans="14:14" x14ac:dyDescent="0.25">
      <c r="N10369" s="362"/>
    </row>
    <row r="10370" spans="14:14" x14ac:dyDescent="0.25">
      <c r="N10370" s="362"/>
    </row>
    <row r="10371" spans="14:14" x14ac:dyDescent="0.25">
      <c r="N10371" s="362"/>
    </row>
    <row r="10372" spans="14:14" x14ac:dyDescent="0.25">
      <c r="N10372" s="362"/>
    </row>
    <row r="10373" spans="14:14" x14ac:dyDescent="0.25">
      <c r="N10373" s="362"/>
    </row>
    <row r="10374" spans="14:14" x14ac:dyDescent="0.25">
      <c r="N10374" s="362"/>
    </row>
    <row r="10375" spans="14:14" x14ac:dyDescent="0.25">
      <c r="N10375" s="362"/>
    </row>
    <row r="10376" spans="14:14" x14ac:dyDescent="0.25">
      <c r="N10376" s="362"/>
    </row>
    <row r="10377" spans="14:14" x14ac:dyDescent="0.25">
      <c r="N10377" s="362"/>
    </row>
    <row r="10378" spans="14:14" x14ac:dyDescent="0.25">
      <c r="N10378" s="362"/>
    </row>
    <row r="10379" spans="14:14" x14ac:dyDescent="0.25">
      <c r="N10379" s="362"/>
    </row>
    <row r="10380" spans="14:14" x14ac:dyDescent="0.25">
      <c r="N10380" s="362"/>
    </row>
    <row r="10381" spans="14:14" x14ac:dyDescent="0.25">
      <c r="N10381" s="362"/>
    </row>
    <row r="10382" spans="14:14" x14ac:dyDescent="0.25">
      <c r="N10382" s="362"/>
    </row>
    <row r="10383" spans="14:14" x14ac:dyDescent="0.25">
      <c r="N10383" s="362"/>
    </row>
    <row r="10384" spans="14:14" x14ac:dyDescent="0.25">
      <c r="N10384" s="362"/>
    </row>
    <row r="10385" spans="14:14" x14ac:dyDescent="0.25">
      <c r="N10385" s="362"/>
    </row>
    <row r="10386" spans="14:14" x14ac:dyDescent="0.25">
      <c r="N10386" s="362"/>
    </row>
    <row r="10387" spans="14:14" x14ac:dyDescent="0.25">
      <c r="N10387" s="362"/>
    </row>
    <row r="10388" spans="14:14" x14ac:dyDescent="0.25">
      <c r="N10388" s="362"/>
    </row>
    <row r="10389" spans="14:14" x14ac:dyDescent="0.25">
      <c r="N10389" s="362"/>
    </row>
    <row r="10390" spans="14:14" x14ac:dyDescent="0.25">
      <c r="N10390" s="362"/>
    </row>
    <row r="10391" spans="14:14" x14ac:dyDescent="0.25">
      <c r="N10391" s="362"/>
    </row>
    <row r="10392" spans="14:14" x14ac:dyDescent="0.25">
      <c r="N10392" s="362"/>
    </row>
    <row r="10393" spans="14:14" x14ac:dyDescent="0.25">
      <c r="N10393" s="362"/>
    </row>
    <row r="10394" spans="14:14" x14ac:dyDescent="0.25">
      <c r="N10394" s="362"/>
    </row>
    <row r="10395" spans="14:14" x14ac:dyDescent="0.25">
      <c r="N10395" s="362"/>
    </row>
    <row r="10396" spans="14:14" x14ac:dyDescent="0.25">
      <c r="N10396" s="362"/>
    </row>
    <row r="10397" spans="14:14" x14ac:dyDescent="0.25">
      <c r="N10397" s="362"/>
    </row>
    <row r="10398" spans="14:14" x14ac:dyDescent="0.25">
      <c r="N10398" s="362"/>
    </row>
    <row r="10399" spans="14:14" x14ac:dyDescent="0.25">
      <c r="N10399" s="362"/>
    </row>
    <row r="10400" spans="14:14" x14ac:dyDescent="0.25">
      <c r="N10400" s="362"/>
    </row>
    <row r="10401" spans="14:14" x14ac:dyDescent="0.25">
      <c r="N10401" s="362"/>
    </row>
    <row r="10402" spans="14:14" x14ac:dyDescent="0.25">
      <c r="N10402" s="362"/>
    </row>
    <row r="10403" spans="14:14" x14ac:dyDescent="0.25">
      <c r="N10403" s="362"/>
    </row>
    <row r="10404" spans="14:14" x14ac:dyDescent="0.25">
      <c r="N10404" s="362"/>
    </row>
    <row r="10405" spans="14:14" x14ac:dyDescent="0.25">
      <c r="N10405" s="362"/>
    </row>
    <row r="10406" spans="14:14" x14ac:dyDescent="0.25">
      <c r="N10406" s="362"/>
    </row>
    <row r="10407" spans="14:14" x14ac:dyDescent="0.25">
      <c r="N10407" s="362"/>
    </row>
    <row r="10408" spans="14:14" x14ac:dyDescent="0.25">
      <c r="N10408" s="362"/>
    </row>
    <row r="10409" spans="14:14" x14ac:dyDescent="0.25">
      <c r="N10409" s="362"/>
    </row>
    <row r="10410" spans="14:14" x14ac:dyDescent="0.25">
      <c r="N10410" s="362"/>
    </row>
    <row r="10411" spans="14:14" x14ac:dyDescent="0.25">
      <c r="N10411" s="362"/>
    </row>
    <row r="10412" spans="14:14" x14ac:dyDescent="0.25">
      <c r="N10412" s="362"/>
    </row>
    <row r="10413" spans="14:14" x14ac:dyDescent="0.25">
      <c r="N10413" s="362"/>
    </row>
    <row r="10414" spans="14:14" x14ac:dyDescent="0.25">
      <c r="N10414" s="362"/>
    </row>
    <row r="10415" spans="14:14" x14ac:dyDescent="0.25">
      <c r="N10415" s="362"/>
    </row>
    <row r="10416" spans="14:14" x14ac:dyDescent="0.25">
      <c r="N10416" s="362"/>
    </row>
    <row r="10417" spans="14:14" x14ac:dyDescent="0.25">
      <c r="N10417" s="362"/>
    </row>
    <row r="10418" spans="14:14" x14ac:dyDescent="0.25">
      <c r="N10418" s="362"/>
    </row>
    <row r="10419" spans="14:14" x14ac:dyDescent="0.25">
      <c r="N10419" s="362"/>
    </row>
    <row r="10420" spans="14:14" x14ac:dyDescent="0.25">
      <c r="N10420" s="362"/>
    </row>
    <row r="10421" spans="14:14" x14ac:dyDescent="0.25">
      <c r="N10421" s="362"/>
    </row>
    <row r="10422" spans="14:14" x14ac:dyDescent="0.25">
      <c r="N10422" s="362"/>
    </row>
    <row r="10423" spans="14:14" x14ac:dyDescent="0.25">
      <c r="N10423" s="362"/>
    </row>
    <row r="10424" spans="14:14" x14ac:dyDescent="0.25">
      <c r="N10424" s="362"/>
    </row>
    <row r="10425" spans="14:14" x14ac:dyDescent="0.25">
      <c r="N10425" s="362"/>
    </row>
    <row r="10426" spans="14:14" x14ac:dyDescent="0.25">
      <c r="N10426" s="362"/>
    </row>
    <row r="10427" spans="14:14" x14ac:dyDescent="0.25">
      <c r="N10427" s="362"/>
    </row>
    <row r="10428" spans="14:14" x14ac:dyDescent="0.25">
      <c r="N10428" s="362"/>
    </row>
    <row r="10429" spans="14:14" x14ac:dyDescent="0.25">
      <c r="N10429" s="362"/>
    </row>
    <row r="10430" spans="14:14" x14ac:dyDescent="0.25">
      <c r="N10430" s="362"/>
    </row>
    <row r="10431" spans="14:14" x14ac:dyDescent="0.25">
      <c r="N10431" s="362"/>
    </row>
    <row r="10432" spans="14:14" x14ac:dyDescent="0.25">
      <c r="N10432" s="362"/>
    </row>
    <row r="10433" spans="14:14" x14ac:dyDescent="0.25">
      <c r="N10433" s="362"/>
    </row>
    <row r="10434" spans="14:14" x14ac:dyDescent="0.25">
      <c r="N10434" s="362"/>
    </row>
    <row r="10435" spans="14:14" x14ac:dyDescent="0.25">
      <c r="N10435" s="362"/>
    </row>
    <row r="10436" spans="14:14" x14ac:dyDescent="0.25">
      <c r="N10436" s="362"/>
    </row>
    <row r="10437" spans="14:14" x14ac:dyDescent="0.25">
      <c r="N10437" s="362"/>
    </row>
    <row r="10438" spans="14:14" x14ac:dyDescent="0.25">
      <c r="N10438" s="362"/>
    </row>
    <row r="10439" spans="14:14" x14ac:dyDescent="0.25">
      <c r="N10439" s="362"/>
    </row>
    <row r="10440" spans="14:14" x14ac:dyDescent="0.25">
      <c r="N10440" s="362"/>
    </row>
    <row r="10441" spans="14:14" x14ac:dyDescent="0.25">
      <c r="N10441" s="362"/>
    </row>
    <row r="10442" spans="14:14" x14ac:dyDescent="0.25">
      <c r="N10442" s="362"/>
    </row>
    <row r="10443" spans="14:14" x14ac:dyDescent="0.25">
      <c r="N10443" s="362"/>
    </row>
    <row r="10444" spans="14:14" x14ac:dyDescent="0.25">
      <c r="N10444" s="362"/>
    </row>
    <row r="10445" spans="14:14" x14ac:dyDescent="0.25">
      <c r="N10445" s="362"/>
    </row>
    <row r="10446" spans="14:14" x14ac:dyDescent="0.25">
      <c r="N10446" s="362"/>
    </row>
    <row r="10447" spans="14:14" x14ac:dyDescent="0.25">
      <c r="N10447" s="362"/>
    </row>
    <row r="10448" spans="14:14" x14ac:dyDescent="0.25">
      <c r="N10448" s="362"/>
    </row>
    <row r="10449" spans="14:14" x14ac:dyDescent="0.25">
      <c r="N10449" s="362"/>
    </row>
    <row r="10450" spans="14:14" x14ac:dyDescent="0.25">
      <c r="N10450" s="362"/>
    </row>
    <row r="10451" spans="14:14" x14ac:dyDescent="0.25">
      <c r="N10451" s="362"/>
    </row>
    <row r="10452" spans="14:14" x14ac:dyDescent="0.25">
      <c r="N10452" s="362"/>
    </row>
    <row r="10453" spans="14:14" x14ac:dyDescent="0.25">
      <c r="N10453" s="362"/>
    </row>
    <row r="10454" spans="14:14" x14ac:dyDescent="0.25">
      <c r="N10454" s="362"/>
    </row>
    <row r="10455" spans="14:14" x14ac:dyDescent="0.25">
      <c r="N10455" s="362"/>
    </row>
    <row r="10456" spans="14:14" x14ac:dyDescent="0.25">
      <c r="N10456" s="362"/>
    </row>
    <row r="10457" spans="14:14" x14ac:dyDescent="0.25">
      <c r="N10457" s="362"/>
    </row>
    <row r="10458" spans="14:14" x14ac:dyDescent="0.25">
      <c r="N10458" s="362"/>
    </row>
    <row r="10459" spans="14:14" x14ac:dyDescent="0.25">
      <c r="N10459" s="362"/>
    </row>
    <row r="10460" spans="14:14" x14ac:dyDescent="0.25">
      <c r="N10460" s="362"/>
    </row>
    <row r="10461" spans="14:14" x14ac:dyDescent="0.25">
      <c r="N10461" s="362"/>
    </row>
    <row r="10462" spans="14:14" x14ac:dyDescent="0.25">
      <c r="N10462" s="362"/>
    </row>
    <row r="10463" spans="14:14" x14ac:dyDescent="0.25">
      <c r="N10463" s="362"/>
    </row>
    <row r="10464" spans="14:14" x14ac:dyDescent="0.25">
      <c r="N10464" s="362"/>
    </row>
    <row r="10465" spans="14:14" x14ac:dyDescent="0.25">
      <c r="N10465" s="362"/>
    </row>
    <row r="10466" spans="14:14" x14ac:dyDescent="0.25">
      <c r="N10466" s="362"/>
    </row>
    <row r="10467" spans="14:14" x14ac:dyDescent="0.25">
      <c r="N10467" s="362"/>
    </row>
    <row r="10468" spans="14:14" x14ac:dyDescent="0.25">
      <c r="N10468" s="362"/>
    </row>
    <row r="10469" spans="14:14" x14ac:dyDescent="0.25">
      <c r="N10469" s="362"/>
    </row>
    <row r="10470" spans="14:14" x14ac:dyDescent="0.25">
      <c r="N10470" s="362"/>
    </row>
    <row r="10471" spans="14:14" x14ac:dyDescent="0.25">
      <c r="N10471" s="362"/>
    </row>
    <row r="10472" spans="14:14" x14ac:dyDescent="0.25">
      <c r="N10472" s="362"/>
    </row>
    <row r="10473" spans="14:14" x14ac:dyDescent="0.25">
      <c r="N10473" s="362"/>
    </row>
    <row r="10474" spans="14:14" x14ac:dyDescent="0.25">
      <c r="N10474" s="362"/>
    </row>
    <row r="10475" spans="14:14" x14ac:dyDescent="0.25">
      <c r="N10475" s="362"/>
    </row>
    <row r="10476" spans="14:14" x14ac:dyDescent="0.25">
      <c r="N10476" s="362"/>
    </row>
    <row r="10477" spans="14:14" x14ac:dyDescent="0.25">
      <c r="N10477" s="362"/>
    </row>
    <row r="10478" spans="14:14" x14ac:dyDescent="0.25">
      <c r="N10478" s="362"/>
    </row>
    <row r="10479" spans="14:14" x14ac:dyDescent="0.25">
      <c r="N10479" s="362"/>
    </row>
    <row r="10480" spans="14:14" x14ac:dyDescent="0.25">
      <c r="N10480" s="362"/>
    </row>
    <row r="10481" spans="14:14" x14ac:dyDescent="0.25">
      <c r="N10481" s="362"/>
    </row>
    <row r="10482" spans="14:14" x14ac:dyDescent="0.25">
      <c r="N10482" s="362"/>
    </row>
    <row r="10483" spans="14:14" x14ac:dyDescent="0.25">
      <c r="N10483" s="362"/>
    </row>
    <row r="10484" spans="14:14" x14ac:dyDescent="0.25">
      <c r="N10484" s="362"/>
    </row>
    <row r="10485" spans="14:14" x14ac:dyDescent="0.25">
      <c r="N10485" s="362"/>
    </row>
    <row r="10486" spans="14:14" x14ac:dyDescent="0.25">
      <c r="N10486" s="362"/>
    </row>
    <row r="10487" spans="14:14" x14ac:dyDescent="0.25">
      <c r="N10487" s="362"/>
    </row>
    <row r="10488" spans="14:14" x14ac:dyDescent="0.25">
      <c r="N10488" s="362"/>
    </row>
    <row r="10489" spans="14:14" x14ac:dyDescent="0.25">
      <c r="N10489" s="362"/>
    </row>
    <row r="10490" spans="14:14" x14ac:dyDescent="0.25">
      <c r="N10490" s="362"/>
    </row>
    <row r="10491" spans="14:14" x14ac:dyDescent="0.25">
      <c r="N10491" s="362"/>
    </row>
    <row r="10492" spans="14:14" x14ac:dyDescent="0.25">
      <c r="N10492" s="362"/>
    </row>
    <row r="10493" spans="14:14" x14ac:dyDescent="0.25">
      <c r="N10493" s="362"/>
    </row>
    <row r="10494" spans="14:14" x14ac:dyDescent="0.25">
      <c r="N10494" s="362"/>
    </row>
    <row r="10495" spans="14:14" x14ac:dyDescent="0.25">
      <c r="N10495" s="362"/>
    </row>
    <row r="10496" spans="14:14" x14ac:dyDescent="0.25">
      <c r="N10496" s="362"/>
    </row>
    <row r="10497" spans="14:14" x14ac:dyDescent="0.25">
      <c r="N10497" s="362"/>
    </row>
    <row r="10498" spans="14:14" x14ac:dyDescent="0.25">
      <c r="N10498" s="362"/>
    </row>
    <row r="10499" spans="14:14" x14ac:dyDescent="0.25">
      <c r="N10499" s="362"/>
    </row>
    <row r="10500" spans="14:14" x14ac:dyDescent="0.25">
      <c r="N10500" s="362"/>
    </row>
    <row r="10501" spans="14:14" x14ac:dyDescent="0.25">
      <c r="N10501" s="362"/>
    </row>
    <row r="10502" spans="14:14" x14ac:dyDescent="0.25">
      <c r="N10502" s="362"/>
    </row>
    <row r="10503" spans="14:14" x14ac:dyDescent="0.25">
      <c r="N10503" s="362"/>
    </row>
    <row r="10504" spans="14:14" x14ac:dyDescent="0.25">
      <c r="N10504" s="362"/>
    </row>
    <row r="10505" spans="14:14" x14ac:dyDescent="0.25">
      <c r="N10505" s="362"/>
    </row>
    <row r="10506" spans="14:14" x14ac:dyDescent="0.25">
      <c r="N10506" s="362"/>
    </row>
    <row r="10507" spans="14:14" x14ac:dyDescent="0.25">
      <c r="N10507" s="362"/>
    </row>
    <row r="10508" spans="14:14" x14ac:dyDescent="0.25">
      <c r="N10508" s="362"/>
    </row>
    <row r="10509" spans="14:14" x14ac:dyDescent="0.25">
      <c r="N10509" s="362"/>
    </row>
    <row r="10510" spans="14:14" x14ac:dyDescent="0.25">
      <c r="N10510" s="362"/>
    </row>
    <row r="10511" spans="14:14" x14ac:dyDescent="0.25">
      <c r="N10511" s="362"/>
    </row>
    <row r="10512" spans="14:14" x14ac:dyDescent="0.25">
      <c r="N10512" s="362"/>
    </row>
    <row r="10513" spans="14:14" x14ac:dyDescent="0.25">
      <c r="N10513" s="362"/>
    </row>
    <row r="10514" spans="14:14" x14ac:dyDescent="0.25">
      <c r="N10514" s="362"/>
    </row>
    <row r="10515" spans="14:14" x14ac:dyDescent="0.25">
      <c r="N10515" s="362"/>
    </row>
    <row r="10516" spans="14:14" x14ac:dyDescent="0.25">
      <c r="N10516" s="362"/>
    </row>
    <row r="10517" spans="14:14" x14ac:dyDescent="0.25">
      <c r="N10517" s="362"/>
    </row>
    <row r="10518" spans="14:14" x14ac:dyDescent="0.25">
      <c r="N10518" s="362"/>
    </row>
    <row r="10519" spans="14:14" x14ac:dyDescent="0.25">
      <c r="N10519" s="362"/>
    </row>
    <row r="10520" spans="14:14" x14ac:dyDescent="0.25">
      <c r="N10520" s="362"/>
    </row>
    <row r="10521" spans="14:14" x14ac:dyDescent="0.25">
      <c r="N10521" s="362"/>
    </row>
    <row r="10522" spans="14:14" x14ac:dyDescent="0.25">
      <c r="N10522" s="362"/>
    </row>
    <row r="10523" spans="14:14" x14ac:dyDescent="0.25">
      <c r="N10523" s="362"/>
    </row>
    <row r="10524" spans="14:14" x14ac:dyDescent="0.25">
      <c r="N10524" s="362"/>
    </row>
    <row r="10525" spans="14:14" x14ac:dyDescent="0.25">
      <c r="N10525" s="362"/>
    </row>
    <row r="10526" spans="14:14" x14ac:dyDescent="0.25">
      <c r="N10526" s="362"/>
    </row>
    <row r="10527" spans="14:14" x14ac:dyDescent="0.25">
      <c r="N10527" s="362"/>
    </row>
    <row r="10528" spans="14:14" x14ac:dyDescent="0.25">
      <c r="N10528" s="362"/>
    </row>
    <row r="10529" spans="14:14" x14ac:dyDescent="0.25">
      <c r="N10529" s="362"/>
    </row>
    <row r="10530" spans="14:14" x14ac:dyDescent="0.25">
      <c r="N10530" s="362"/>
    </row>
    <row r="10531" spans="14:14" x14ac:dyDescent="0.25">
      <c r="N10531" s="362"/>
    </row>
    <row r="10532" spans="14:14" x14ac:dyDescent="0.25">
      <c r="N10532" s="362"/>
    </row>
    <row r="10533" spans="14:14" x14ac:dyDescent="0.25">
      <c r="N10533" s="362"/>
    </row>
    <row r="10534" spans="14:14" x14ac:dyDescent="0.25">
      <c r="N10534" s="362"/>
    </row>
    <row r="10535" spans="14:14" x14ac:dyDescent="0.25">
      <c r="N10535" s="362"/>
    </row>
    <row r="10536" spans="14:14" x14ac:dyDescent="0.25">
      <c r="N10536" s="362"/>
    </row>
    <row r="10537" spans="14:14" x14ac:dyDescent="0.25">
      <c r="N10537" s="362"/>
    </row>
    <row r="10538" spans="14:14" x14ac:dyDescent="0.25">
      <c r="N10538" s="362"/>
    </row>
    <row r="10539" spans="14:14" x14ac:dyDescent="0.25">
      <c r="N10539" s="362"/>
    </row>
    <row r="10540" spans="14:14" x14ac:dyDescent="0.25">
      <c r="N10540" s="362"/>
    </row>
    <row r="10541" spans="14:14" x14ac:dyDescent="0.25">
      <c r="N10541" s="362"/>
    </row>
    <row r="10542" spans="14:14" x14ac:dyDescent="0.25">
      <c r="N10542" s="362"/>
    </row>
    <row r="10543" spans="14:14" x14ac:dyDescent="0.25">
      <c r="N10543" s="362"/>
    </row>
    <row r="10544" spans="14:14" x14ac:dyDescent="0.25">
      <c r="N10544" s="362"/>
    </row>
    <row r="10545" spans="14:14" x14ac:dyDescent="0.25">
      <c r="N10545" s="362"/>
    </row>
    <row r="10546" spans="14:14" x14ac:dyDescent="0.25">
      <c r="N10546" s="362"/>
    </row>
    <row r="10547" spans="14:14" x14ac:dyDescent="0.25">
      <c r="N10547" s="362"/>
    </row>
    <row r="10548" spans="14:14" x14ac:dyDescent="0.25">
      <c r="N10548" s="362"/>
    </row>
    <row r="10549" spans="14:14" x14ac:dyDescent="0.25">
      <c r="N10549" s="362"/>
    </row>
    <row r="10550" spans="14:14" x14ac:dyDescent="0.25">
      <c r="N10550" s="362"/>
    </row>
    <row r="10551" spans="14:14" x14ac:dyDescent="0.25">
      <c r="N10551" s="362"/>
    </row>
    <row r="10552" spans="14:14" x14ac:dyDescent="0.25">
      <c r="N10552" s="362"/>
    </row>
    <row r="10553" spans="14:14" x14ac:dyDescent="0.25">
      <c r="N10553" s="362"/>
    </row>
    <row r="10554" spans="14:14" x14ac:dyDescent="0.25">
      <c r="N10554" s="362"/>
    </row>
    <row r="10555" spans="14:14" x14ac:dyDescent="0.25">
      <c r="N10555" s="362"/>
    </row>
    <row r="10556" spans="14:14" x14ac:dyDescent="0.25">
      <c r="N10556" s="362"/>
    </row>
  </sheetData>
  <autoFilter ref="A4:GZ444">
    <filterColumn colId="1">
      <customFilters and="1">
        <customFilter operator="notEqual" val=" "/>
      </customFilters>
    </filterColumn>
  </autoFilter>
  <mergeCells count="3">
    <mergeCell ref="B2:E2"/>
    <mergeCell ref="Q2:S2"/>
    <mergeCell ref="B1:E1"/>
  </mergeCells>
  <phoneticPr fontId="18" type="noConversion"/>
  <pageMargins left="0.78740157480314965" right="0" top="0" bottom="0" header="0" footer="0"/>
  <pageSetup paperSize="9" scale="50" orientation="portrait" r:id="rId1"/>
  <headerFooter alignWithMargins="0"/>
  <rowBreaks count="4" manualBreakCount="4">
    <brk id="105" max="16383" man="1"/>
    <brk id="221" min="1" max="240" man="1"/>
    <brk id="442" min="1" max="240" man="1"/>
    <brk id="509" max="16383" man="1"/>
  </rowBreaks>
  <colBreaks count="1" manualBreakCount="1">
    <brk id="17" max="1055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jan</vt:lpstr>
      <vt:lpstr>jan!Заголовки_для_печати</vt:lpstr>
      <vt:lpstr>jan!Область_печати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Т.Петюлько</dc:creator>
  <cp:lastModifiedBy>user</cp:lastModifiedBy>
  <cp:lastPrinted>2018-02-02T09:26:59Z</cp:lastPrinted>
  <dcterms:created xsi:type="dcterms:W3CDTF">2003-10-01T10:51:45Z</dcterms:created>
  <dcterms:modified xsi:type="dcterms:W3CDTF">2018-02-10T10:00:26Z</dcterms:modified>
</cp:coreProperties>
</file>