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B Drive\Te dhenat e tregut te KE\"/>
    </mc:Choice>
  </mc:AlternateContent>
  <bookViews>
    <workbookView xWindow="0" yWindow="0" windowWidth="24240" windowHeight="11730" tabRatio="881" activeTab="5"/>
  </bookViews>
  <sheets>
    <sheet name="MBB" sheetId="40" r:id="rId1"/>
    <sheet name="Sheet1 (2)" sheetId="37" r:id="rId2"/>
    <sheet name="Te dhenat per parapag " sheetId="1" r:id="rId3"/>
    <sheet name="te hyrat " sheetId="7" r:id="rId4"/>
    <sheet name="Trafiku Min&amp;Grafet " sheetId="30" r:id="rId5"/>
    <sheet name="traffi indikators TM4 2015" sheetId="34" r:id="rId6"/>
  </sheets>
  <definedNames>
    <definedName name="_xlnm.Print_Area" localSheetId="5">'traffi indikators TM4 2015'!#REF!</definedName>
  </definedNames>
  <calcPr calcId="162913"/>
</workbook>
</file>

<file path=xl/calcChain.xml><?xml version="1.0" encoding="utf-8"?>
<calcChain xmlns="http://schemas.openxmlformats.org/spreadsheetml/2006/main">
  <c r="BI64" i="7" l="1"/>
  <c r="BI61" i="7"/>
  <c r="BI60" i="7"/>
  <c r="BI65" i="7" s="1"/>
  <c r="BI74" i="7" l="1"/>
  <c r="BI72" i="7"/>
  <c r="BI73" i="7"/>
  <c r="BI76" i="7"/>
  <c r="BI58" i="30"/>
  <c r="BI57" i="30"/>
  <c r="BI56" i="30"/>
  <c r="BI59" i="30" s="1"/>
  <c r="BI52" i="30"/>
  <c r="BI53" i="30" s="1"/>
  <c r="BI51" i="30"/>
  <c r="BI50" i="30"/>
  <c r="BI49" i="30"/>
  <c r="BI47" i="30"/>
  <c r="BI38" i="30"/>
  <c r="BI23" i="30"/>
  <c r="BI28" i="30"/>
  <c r="BI77" i="7" l="1"/>
  <c r="BI9" i="30"/>
  <c r="BI105" i="1" l="1"/>
  <c r="BI83" i="1"/>
  <c r="BI82" i="1"/>
  <c r="BI81" i="1"/>
  <c r="BI79" i="1"/>
  <c r="BI78" i="1"/>
  <c r="BI59" i="1"/>
  <c r="BI80" i="1" s="1"/>
  <c r="BI62" i="1"/>
  <c r="BI24" i="1"/>
  <c r="BI21" i="1"/>
  <c r="BI26" i="1" s="1"/>
  <c r="BI11" i="1"/>
  <c r="BI10" i="1"/>
  <c r="BI7" i="1"/>
  <c r="BI63" i="1" l="1"/>
  <c r="BI85" i="1" s="1"/>
  <c r="AJ84" i="40"/>
  <c r="AJ81" i="40"/>
  <c r="AJ80" i="40"/>
  <c r="AJ79" i="40"/>
  <c r="AJ74" i="40"/>
  <c r="AJ73" i="40"/>
  <c r="AJ50" i="40"/>
  <c r="AJ49" i="40"/>
  <c r="AJ42" i="40"/>
  <c r="AJ83" i="40" s="1"/>
  <c r="AJ41" i="40"/>
  <c r="AJ82" i="40" s="1"/>
  <c r="BI86" i="1" l="1"/>
  <c r="BI87" i="1"/>
  <c r="BI68" i="1"/>
  <c r="AT92" i="40"/>
  <c r="AT93" i="40" s="1"/>
  <c r="AS92" i="40"/>
  <c r="AS93" i="40" s="1"/>
  <c r="BI40" i="1" l="1"/>
  <c r="BI104" i="1" s="1"/>
  <c r="BI70" i="1"/>
  <c r="BI27" i="1"/>
  <c r="BI103" i="1" s="1"/>
  <c r="BI13" i="1"/>
  <c r="BI102" i="1" s="1"/>
  <c r="BI64" i="1"/>
  <c r="BI106" i="1" s="1"/>
  <c r="AT89" i="40"/>
  <c r="AS89" i="40"/>
  <c r="AG42" i="40"/>
  <c r="BH10" i="1" l="1"/>
  <c r="H3" i="34" l="1"/>
  <c r="BH58" i="30"/>
  <c r="BJ58" i="30"/>
  <c r="BH57" i="30"/>
  <c r="BH56" i="30"/>
  <c r="BH59" i="30" s="1"/>
  <c r="BH52" i="30"/>
  <c r="BH51" i="30"/>
  <c r="BH50" i="30"/>
  <c r="BH49" i="30"/>
  <c r="BH47" i="30"/>
  <c r="BH28" i="30"/>
  <c r="BH38" i="30"/>
  <c r="BH53" i="30" l="1"/>
  <c r="BH23" i="30"/>
  <c r="BH9" i="30"/>
  <c r="BH64" i="7"/>
  <c r="BH61" i="7"/>
  <c r="BH60" i="7"/>
  <c r="BH105" i="1"/>
  <c r="BH82" i="1"/>
  <c r="BH81" i="1"/>
  <c r="BH79" i="1"/>
  <c r="BH78" i="1"/>
  <c r="BH62" i="1"/>
  <c r="BH83" i="1" s="1"/>
  <c r="BH59" i="1"/>
  <c r="BH24" i="1"/>
  <c r="BH21" i="1"/>
  <c r="BH7" i="1"/>
  <c r="BH11" i="1" s="1"/>
  <c r="AI84" i="40"/>
  <c r="AI81" i="40"/>
  <c r="AI80" i="40"/>
  <c r="AI79" i="40"/>
  <c r="AI74" i="40"/>
  <c r="AI73" i="40"/>
  <c r="BH63" i="1" l="1"/>
  <c r="BH80" i="1"/>
  <c r="BH26" i="1"/>
  <c r="BH65" i="7"/>
  <c r="BH74" i="7" s="1"/>
  <c r="AI50" i="40"/>
  <c r="AI83" i="40" s="1"/>
  <c r="AI49" i="40"/>
  <c r="AI42" i="40"/>
  <c r="AH42" i="40"/>
  <c r="AI41" i="40"/>
  <c r="AI82" i="40" s="1"/>
  <c r="BH68" i="1" l="1"/>
  <c r="BH85" i="1"/>
  <c r="BH73" i="7"/>
  <c r="BH72" i="7"/>
  <c r="BH76" i="7"/>
  <c r="BG64" i="7"/>
  <c r="BG61" i="7"/>
  <c r="BG60" i="7"/>
  <c r="BG65" i="7" s="1"/>
  <c r="BH77" i="7" l="1"/>
  <c r="BG76" i="7"/>
  <c r="BG73" i="7"/>
  <c r="BG74" i="7"/>
  <c r="BG72" i="7"/>
  <c r="BG77" i="7" s="1"/>
  <c r="BH87" i="1"/>
  <c r="BH86" i="1"/>
  <c r="BH40" i="1"/>
  <c r="BH104" i="1" s="1"/>
  <c r="BH70" i="1"/>
  <c r="BH64" i="1"/>
  <c r="BH106" i="1" s="1"/>
  <c r="BH13" i="1"/>
  <c r="BH102" i="1" s="1"/>
  <c r="BH27" i="1"/>
  <c r="BH103" i="1" s="1"/>
  <c r="BG58" i="30"/>
  <c r="BG57" i="30"/>
  <c r="BG56" i="30"/>
  <c r="BG59" i="30" s="1"/>
  <c r="BG52" i="30"/>
  <c r="BG51" i="30"/>
  <c r="BG50" i="30"/>
  <c r="BG49" i="30"/>
  <c r="BG47" i="30"/>
  <c r="BG38" i="30"/>
  <c r="BG28" i="30"/>
  <c r="BG23" i="30"/>
  <c r="BG9" i="30"/>
  <c r="BG53" i="30" l="1"/>
  <c r="BG105" i="1"/>
  <c r="BG82" i="1"/>
  <c r="BG81" i="1"/>
  <c r="BG79" i="1"/>
  <c r="BG78" i="1"/>
  <c r="BG62" i="1"/>
  <c r="BG59" i="1"/>
  <c r="BG38" i="1"/>
  <c r="BG24" i="1"/>
  <c r="BG21" i="1"/>
  <c r="BG10" i="1"/>
  <c r="BG7" i="1"/>
  <c r="AH84" i="40"/>
  <c r="AH81" i="40"/>
  <c r="AH80" i="40"/>
  <c r="AH79" i="40"/>
  <c r="AH74" i="40"/>
  <c r="AH73" i="40"/>
  <c r="AH50" i="40"/>
  <c r="AH49" i="40"/>
  <c r="BG80" i="1" l="1"/>
  <c r="BG26" i="1"/>
  <c r="AH83" i="40"/>
  <c r="BG83" i="1"/>
  <c r="BG11" i="1"/>
  <c r="BG39" i="1"/>
  <c r="BG63" i="1"/>
  <c r="AH41" i="40"/>
  <c r="AH82" i="40" s="1"/>
  <c r="BG85" i="1" l="1"/>
  <c r="BG68" i="1"/>
  <c r="BG87" i="1"/>
  <c r="BG86" i="1"/>
  <c r="BG40" i="1"/>
  <c r="BG104" i="1" s="1"/>
  <c r="BF105" i="1"/>
  <c r="BF82" i="1"/>
  <c r="BF81" i="1"/>
  <c r="BF79" i="1"/>
  <c r="BF78" i="1"/>
  <c r="BF58" i="30"/>
  <c r="BF57" i="30"/>
  <c r="BF56" i="30"/>
  <c r="BF52" i="30"/>
  <c r="BF51" i="30"/>
  <c r="BF50" i="30"/>
  <c r="BF49" i="30"/>
  <c r="BF47" i="30"/>
  <c r="BF38" i="30"/>
  <c r="BF28" i="30"/>
  <c r="BF23" i="30"/>
  <c r="BF9" i="30"/>
  <c r="BF64" i="7"/>
  <c r="BF61" i="7"/>
  <c r="BF60" i="7"/>
  <c r="BF53" i="30" l="1"/>
  <c r="BF59" i="30"/>
  <c r="BG64" i="1"/>
  <c r="BG106" i="1" s="1"/>
  <c r="BG70" i="1"/>
  <c r="BG13" i="1"/>
  <c r="BG102" i="1" s="1"/>
  <c r="BG27" i="1"/>
  <c r="BG103" i="1" s="1"/>
  <c r="BF65" i="7"/>
  <c r="BF72" i="7" s="1"/>
  <c r="BF62" i="1"/>
  <c r="BF59" i="1"/>
  <c r="BF63" i="1" s="1"/>
  <c r="BF38" i="1"/>
  <c r="BF39" i="1" s="1"/>
  <c r="BF24" i="1"/>
  <c r="BF21" i="1"/>
  <c r="BF26" i="1" s="1"/>
  <c r="BF10" i="1"/>
  <c r="BF7" i="1"/>
  <c r="BF11" i="1" s="1"/>
  <c r="BF85" i="1" l="1"/>
  <c r="BF68" i="1"/>
  <c r="BF70" i="1" s="1"/>
  <c r="BF64" i="1"/>
  <c r="BF106" i="1" s="1"/>
  <c r="BF40" i="1"/>
  <c r="BF104" i="1" s="1"/>
  <c r="BF13" i="1"/>
  <c r="BF102" i="1" s="1"/>
  <c r="BF76" i="7"/>
  <c r="BF74" i="7"/>
  <c r="BF73" i="7"/>
  <c r="BF77" i="7" s="1"/>
  <c r="BF80" i="1"/>
  <c r="BF83" i="1"/>
  <c r="AG84" i="40"/>
  <c r="AG81" i="40"/>
  <c r="AG80" i="40"/>
  <c r="AG79" i="40"/>
  <c r="AG50" i="40"/>
  <c r="AG49" i="40"/>
  <c r="BF86" i="1" l="1"/>
  <c r="BF87" i="1"/>
  <c r="BF27" i="1"/>
  <c r="BF103" i="1" s="1"/>
  <c r="AG74" i="40"/>
  <c r="AG83" i="40" s="1"/>
  <c r="AG73" i="40"/>
  <c r="AG41" i="40"/>
  <c r="AG82" i="40" l="1"/>
  <c r="AF50" i="40"/>
  <c r="AF49" i="40"/>
  <c r="BE24" i="1"/>
  <c r="AF39" i="40" l="1"/>
  <c r="BE64" i="7"/>
  <c r="BE61" i="7"/>
  <c r="BE60" i="7"/>
  <c r="BE65" i="7" s="1"/>
  <c r="BE74" i="7" s="1"/>
  <c r="BE73" i="7" l="1"/>
  <c r="BE76" i="7"/>
  <c r="BE72" i="7"/>
  <c r="BD64" i="7"/>
  <c r="BD63" i="7"/>
  <c r="BD61" i="7"/>
  <c r="BD60" i="7"/>
  <c r="BD65" i="7" s="1"/>
  <c r="BD72" i="7" s="1"/>
  <c r="BE77" i="7" l="1"/>
  <c r="BD76" i="7"/>
  <c r="BD74" i="7"/>
  <c r="BD73" i="7"/>
  <c r="BD77" i="7" l="1"/>
  <c r="BC49" i="30" l="1"/>
  <c r="BD49" i="30"/>
  <c r="BE49" i="30"/>
  <c r="BE58" i="30" l="1"/>
  <c r="BE57" i="30"/>
  <c r="BE56" i="30"/>
  <c r="BE59" i="30" s="1"/>
  <c r="BE52" i="30"/>
  <c r="BE51" i="30"/>
  <c r="BE50" i="30"/>
  <c r="BE47" i="30"/>
  <c r="BE38" i="30"/>
  <c r="BJ38" i="30"/>
  <c r="BE28" i="30"/>
  <c r="BE23" i="30"/>
  <c r="BE9" i="30"/>
  <c r="K19" i="34"/>
  <c r="J19" i="34"/>
  <c r="I19" i="34"/>
  <c r="H19" i="34"/>
  <c r="K18" i="34"/>
  <c r="J18" i="34"/>
  <c r="I18" i="34"/>
  <c r="H18" i="34"/>
  <c r="L18" i="34" s="1"/>
  <c r="K17" i="34"/>
  <c r="J17" i="34"/>
  <c r="I17" i="34"/>
  <c r="H17" i="34"/>
  <c r="I16" i="34"/>
  <c r="H16" i="34"/>
  <c r="G16" i="34"/>
  <c r="K16" i="34" s="1"/>
  <c r="F16" i="34"/>
  <c r="J16" i="34" s="1"/>
  <c r="K14" i="34"/>
  <c r="J14" i="34"/>
  <c r="I14" i="34"/>
  <c r="H14" i="34"/>
  <c r="K13" i="34"/>
  <c r="J13" i="34"/>
  <c r="I13" i="34"/>
  <c r="H13" i="34"/>
  <c r="K12" i="34"/>
  <c r="J12" i="34"/>
  <c r="I12" i="34"/>
  <c r="H12" i="34"/>
  <c r="K11" i="34"/>
  <c r="J11" i="34"/>
  <c r="I11" i="34"/>
  <c r="H11" i="34"/>
  <c r="K10" i="34"/>
  <c r="J10" i="34"/>
  <c r="I10" i="34"/>
  <c r="H10" i="34"/>
  <c r="I9" i="34"/>
  <c r="H9" i="34"/>
  <c r="G9" i="34"/>
  <c r="K9" i="34" s="1"/>
  <c r="F9" i="34"/>
  <c r="J9" i="34" s="1"/>
  <c r="K8" i="34"/>
  <c r="J8" i="34"/>
  <c r="I8" i="34"/>
  <c r="H8" i="34"/>
  <c r="K7" i="34"/>
  <c r="J7" i="34"/>
  <c r="I7" i="34"/>
  <c r="H7" i="34"/>
  <c r="K6" i="34"/>
  <c r="J6" i="34"/>
  <c r="I6" i="34"/>
  <c r="H6" i="34"/>
  <c r="K5" i="34"/>
  <c r="J5" i="34"/>
  <c r="I5" i="34"/>
  <c r="H5" i="34"/>
  <c r="K4" i="34"/>
  <c r="J4" i="34"/>
  <c r="I4" i="34"/>
  <c r="H4" i="34"/>
  <c r="I3" i="34"/>
  <c r="G3" i="34"/>
  <c r="K3" i="34" s="1"/>
  <c r="F3" i="34"/>
  <c r="J3" i="34" s="1"/>
  <c r="I2" i="34"/>
  <c r="H2" i="34"/>
  <c r="BD105" i="1"/>
  <c r="BE105" i="1"/>
  <c r="BD82" i="1"/>
  <c r="BE82" i="1"/>
  <c r="BD81" i="1"/>
  <c r="BE81" i="1"/>
  <c r="BD79" i="1"/>
  <c r="BE79" i="1"/>
  <c r="BD78" i="1"/>
  <c r="BE78" i="1"/>
  <c r="BE62" i="1"/>
  <c r="BE59" i="1"/>
  <c r="BE63" i="1" s="1"/>
  <c r="BB38" i="1"/>
  <c r="BB39" i="1" s="1"/>
  <c r="BC38" i="1"/>
  <c r="BC39" i="1" s="1"/>
  <c r="BD38" i="1"/>
  <c r="BD39" i="1" s="1"/>
  <c r="BE38" i="1"/>
  <c r="BE39" i="1" s="1"/>
  <c r="BE21" i="1"/>
  <c r="BE26" i="1" s="1"/>
  <c r="BE10" i="1"/>
  <c r="BE7" i="1"/>
  <c r="BE11" i="1" s="1"/>
  <c r="AF84" i="40"/>
  <c r="AF81" i="40"/>
  <c r="AF80" i="40"/>
  <c r="AF79" i="40"/>
  <c r="AF74" i="40"/>
  <c r="AF73" i="40"/>
  <c r="BE53" i="30" l="1"/>
  <c r="BE83" i="1"/>
  <c r="BE80" i="1"/>
  <c r="BE85" i="1"/>
  <c r="BE86" i="1" s="1"/>
  <c r="BE68" i="1"/>
  <c r="BE70" i="1" s="1"/>
  <c r="F2" i="34"/>
  <c r="J2" i="34" s="1"/>
  <c r="G2" i="34"/>
  <c r="K2" i="34" s="1"/>
  <c r="AF42" i="40"/>
  <c r="AF83" i="40" s="1"/>
  <c r="AJ85" i="40" s="1"/>
  <c r="AF41" i="40"/>
  <c r="AF82" i="40" s="1"/>
  <c r="BD56" i="30"/>
  <c r="BD57" i="30"/>
  <c r="BD58" i="30"/>
  <c r="BD50" i="30"/>
  <c r="BD51" i="30"/>
  <c r="BD52" i="30"/>
  <c r="BD47" i="30"/>
  <c r="BD38" i="30"/>
  <c r="BD59" i="1"/>
  <c r="BD62" i="1"/>
  <c r="AE79" i="40"/>
  <c r="AE81" i="40"/>
  <c r="AE84" i="40"/>
  <c r="AE73" i="40"/>
  <c r="AE74" i="40"/>
  <c r="BD28" i="30"/>
  <c r="BD23" i="30"/>
  <c r="BD24" i="1"/>
  <c r="BD21" i="1"/>
  <c r="BD26" i="1" s="1"/>
  <c r="AE50" i="40"/>
  <c r="AE49" i="40"/>
  <c r="BE64" i="1" l="1"/>
  <c r="BE106" i="1" s="1"/>
  <c r="BE87" i="1"/>
  <c r="BD63" i="1"/>
  <c r="BE27" i="1"/>
  <c r="BE103" i="1" s="1"/>
  <c r="BE13" i="1"/>
  <c r="BE102" i="1" s="1"/>
  <c r="BD59" i="30"/>
  <c r="BE40" i="1"/>
  <c r="BE104" i="1" s="1"/>
  <c r="BD53" i="30"/>
  <c r="AE39" i="40"/>
  <c r="AE80" i="40" s="1"/>
  <c r="BD9" i="30"/>
  <c r="BD10" i="1"/>
  <c r="BD83" i="1" s="1"/>
  <c r="BD7" i="1"/>
  <c r="BD11" i="1" l="1"/>
  <c r="BD85" i="1" s="1"/>
  <c r="BD87" i="1" s="1"/>
  <c r="BD80" i="1"/>
  <c r="AE41" i="40"/>
  <c r="AE82" i="40" s="1"/>
  <c r="AE42" i="40"/>
  <c r="AE83" i="40" s="1"/>
  <c r="AI85" i="40" s="1"/>
  <c r="AD79" i="40"/>
  <c r="AD80" i="40"/>
  <c r="AD81" i="40"/>
  <c r="AD84" i="40"/>
  <c r="BD68" i="1" l="1"/>
  <c r="BD13" i="1" s="1"/>
  <c r="BD102" i="1" s="1"/>
  <c r="BD86" i="1"/>
  <c r="BD70" i="1"/>
  <c r="BD40" i="1"/>
  <c r="BD104" i="1" s="1"/>
  <c r="BD27" i="1"/>
  <c r="BD103" i="1" s="1"/>
  <c r="BD64" i="1"/>
  <c r="BD106" i="1" s="1"/>
  <c r="BC56" i="30"/>
  <c r="BC57" i="30"/>
  <c r="BC58" i="30"/>
  <c r="BC50" i="30"/>
  <c r="BC51" i="30"/>
  <c r="BC52" i="30"/>
  <c r="BC47" i="30"/>
  <c r="BC64" i="7"/>
  <c r="BC63" i="7"/>
  <c r="BC61" i="7"/>
  <c r="BC60" i="7"/>
  <c r="BC59" i="30" l="1"/>
  <c r="BC65" i="7"/>
  <c r="BC53" i="30"/>
  <c r="BC72" i="7"/>
  <c r="BC73" i="7"/>
  <c r="BC105" i="1"/>
  <c r="AD42" i="40"/>
  <c r="AD41" i="40"/>
  <c r="BC74" i="7" l="1"/>
  <c r="BC76" i="7"/>
  <c r="BC77" i="7" s="1"/>
  <c r="BC28" i="30"/>
  <c r="BC38" i="30" l="1"/>
  <c r="BC59" i="1"/>
  <c r="BC62" i="1"/>
  <c r="AD74" i="40"/>
  <c r="AD83" i="40" s="1"/>
  <c r="AH85" i="40" s="1"/>
  <c r="AD73" i="40"/>
  <c r="AD82" i="40" s="1"/>
  <c r="BC23" i="30"/>
  <c r="BC78" i="1"/>
  <c r="BC79" i="1"/>
  <c r="BC81" i="1"/>
  <c r="BC82" i="1"/>
  <c r="BC24" i="1"/>
  <c r="BC21" i="1"/>
  <c r="AD50" i="40"/>
  <c r="AD49" i="40"/>
  <c r="AE85" i="40" l="1"/>
  <c r="BC26" i="1"/>
  <c r="BC63" i="1"/>
  <c r="BC9" i="30" l="1"/>
  <c r="BC10" i="1"/>
  <c r="BC83" i="1" s="1"/>
  <c r="BC7" i="1"/>
  <c r="BC11" i="1" l="1"/>
  <c r="BC68" i="1" s="1"/>
  <c r="BC40" i="1" s="1"/>
  <c r="BC104" i="1" s="1"/>
  <c r="BC80" i="1"/>
  <c r="BC70" i="1" l="1"/>
  <c r="BC27" i="1"/>
  <c r="BC103" i="1" s="1"/>
  <c r="BC64" i="1"/>
  <c r="BC106" i="1" s="1"/>
  <c r="BC13" i="1"/>
  <c r="BC102" i="1" s="1"/>
  <c r="BC85" i="1"/>
  <c r="AC79" i="40"/>
  <c r="AC80" i="40"/>
  <c r="AC81" i="40"/>
  <c r="AC84" i="40"/>
  <c r="BB58" i="30"/>
  <c r="BB105" i="1"/>
  <c r="BB78" i="1"/>
  <c r="BC86" i="1" l="1"/>
  <c r="BC87" i="1"/>
  <c r="AC50" i="40"/>
  <c r="BB20" i="7" l="1"/>
  <c r="BB61" i="7" s="1"/>
  <c r="BB60" i="7"/>
  <c r="BB63" i="7"/>
  <c r="BB64" i="7"/>
  <c r="BB21" i="1"/>
  <c r="BB65" i="7" l="1"/>
  <c r="BB73" i="7" s="1"/>
  <c r="BB9" i="30"/>
  <c r="BB72" i="7" l="1"/>
  <c r="BB76" i="7"/>
  <c r="BB74" i="7"/>
  <c r="BB59" i="1"/>
  <c r="BB62" i="1"/>
  <c r="BB82" i="1"/>
  <c r="BB81" i="1"/>
  <c r="BB79" i="1"/>
  <c r="AC74" i="40"/>
  <c r="AC73" i="40"/>
  <c r="BB57" i="30"/>
  <c r="BB56" i="30"/>
  <c r="BB38" i="30"/>
  <c r="BB52" i="30"/>
  <c r="BB51" i="30"/>
  <c r="BB50" i="30"/>
  <c r="BB49" i="30"/>
  <c r="BB47" i="30"/>
  <c r="BB28" i="30"/>
  <c r="BB23" i="30"/>
  <c r="AC49" i="40"/>
  <c r="BB24" i="1"/>
  <c r="BB26" i="1" s="1"/>
  <c r="BB59" i="30" l="1"/>
  <c r="BB77" i="7"/>
  <c r="BB63" i="1"/>
  <c r="BB53" i="30"/>
  <c r="BA9" i="30"/>
  <c r="BB10" i="1" l="1"/>
  <c r="BB83" i="1" s="1"/>
  <c r="BB7" i="1"/>
  <c r="BB80" i="1" s="1"/>
  <c r="AC42" i="40"/>
  <c r="AC83" i="40" s="1"/>
  <c r="AC41" i="40"/>
  <c r="AC82" i="40" s="1"/>
  <c r="AB41" i="40"/>
  <c r="AA41" i="40"/>
  <c r="AA42" i="40"/>
  <c r="AB42" i="40"/>
  <c r="AG85" i="40" l="1"/>
  <c r="AD85" i="40"/>
  <c r="BB11" i="1"/>
  <c r="AB84" i="40"/>
  <c r="BB85" i="1" l="1"/>
  <c r="BB68" i="1"/>
  <c r="BA56" i="30"/>
  <c r="BA57" i="30"/>
  <c r="BA58" i="30"/>
  <c r="BA47" i="30"/>
  <c r="BA38" i="30"/>
  <c r="BA49" i="30"/>
  <c r="BA50" i="30"/>
  <c r="BA51" i="30"/>
  <c r="BA52" i="30"/>
  <c r="BB40" i="1" l="1"/>
  <c r="BB104" i="1" s="1"/>
  <c r="BA59" i="30"/>
  <c r="BB64" i="1"/>
  <c r="BB106" i="1" s="1"/>
  <c r="BB27" i="1"/>
  <c r="BB103" i="1" s="1"/>
  <c r="BB70" i="1"/>
  <c r="BB13" i="1"/>
  <c r="BB102" i="1" s="1"/>
  <c r="BB86" i="1"/>
  <c r="BB87" i="1"/>
  <c r="BA53" i="30"/>
  <c r="BA20" i="7"/>
  <c r="BA64" i="7" l="1"/>
  <c r="BA63" i="7"/>
  <c r="BA61" i="7"/>
  <c r="AZ60" i="7"/>
  <c r="AB79" i="40"/>
  <c r="AB80" i="40"/>
  <c r="AB81" i="40"/>
  <c r="AB74" i="40"/>
  <c r="AB73" i="40"/>
  <c r="AB82" i="40" s="1"/>
  <c r="BA28" i="30"/>
  <c r="BA23" i="30"/>
  <c r="AB50" i="40"/>
  <c r="AB49" i="40"/>
  <c r="AB83" i="40" l="1"/>
  <c r="AF85" i="40"/>
  <c r="AC85" i="40"/>
  <c r="AZ105" i="1"/>
  <c r="BA105" i="1"/>
  <c r="BA82" i="1" l="1"/>
  <c r="BA81" i="1"/>
  <c r="BA79" i="1"/>
  <c r="BA78" i="1"/>
  <c r="BA38" i="1"/>
  <c r="BA39" i="1" s="1"/>
  <c r="BA24" i="1"/>
  <c r="BA21" i="1"/>
  <c r="BA26" i="1" l="1"/>
  <c r="BA62" i="1"/>
  <c r="BA59" i="1"/>
  <c r="BA63" i="1" l="1"/>
  <c r="BA10" i="1"/>
  <c r="BA83" i="1" s="1"/>
  <c r="BA7" i="1"/>
  <c r="BA80" i="1" s="1"/>
  <c r="BA11" i="1" l="1"/>
  <c r="Z81" i="40"/>
  <c r="BA68" i="1" l="1"/>
  <c r="BA13" i="1" s="1"/>
  <c r="BA102" i="1" s="1"/>
  <c r="BA85" i="1"/>
  <c r="AA74" i="40"/>
  <c r="BA87" i="1" l="1"/>
  <c r="BA86" i="1"/>
  <c r="BA70" i="1"/>
  <c r="BA27" i="1"/>
  <c r="BA103" i="1" s="1"/>
  <c r="BA64" i="1"/>
  <c r="BA106" i="1" s="1"/>
  <c r="BA40" i="1"/>
  <c r="BA104" i="1" s="1"/>
  <c r="AZ58" i="30"/>
  <c r="AZ57" i="30"/>
  <c r="AZ56" i="30"/>
  <c r="AZ52" i="30"/>
  <c r="AZ51" i="30"/>
  <c r="AZ50" i="30"/>
  <c r="AZ49" i="30"/>
  <c r="AZ47" i="30"/>
  <c r="AY47" i="30"/>
  <c r="AZ38" i="30"/>
  <c r="AZ28" i="30"/>
  <c r="AZ23" i="30"/>
  <c r="AZ59" i="30" l="1"/>
  <c r="AZ53" i="30"/>
  <c r="AZ9" i="30"/>
  <c r="AZ82" i="1" l="1"/>
  <c r="AZ81" i="1"/>
  <c r="AZ79" i="1"/>
  <c r="AZ78" i="1"/>
  <c r="AY78" i="1"/>
  <c r="AZ38" i="1"/>
  <c r="AZ39" i="1" s="1"/>
  <c r="AZ24" i="1"/>
  <c r="AZ21" i="1"/>
  <c r="AZ26" i="1" s="1"/>
  <c r="AZ64" i="7" l="1"/>
  <c r="AZ63" i="7"/>
  <c r="AZ62" i="1"/>
  <c r="AZ59" i="1"/>
  <c r="AZ63" i="1" l="1"/>
  <c r="AZ20" i="7"/>
  <c r="AZ61" i="7" s="1"/>
  <c r="AZ65" i="7" l="1"/>
  <c r="AZ10" i="1"/>
  <c r="AZ83" i="1" s="1"/>
  <c r="AZ7" i="1"/>
  <c r="AZ80" i="1" s="1"/>
  <c r="AZ66" i="7" l="1"/>
  <c r="AZ74" i="7"/>
  <c r="AZ76" i="7"/>
  <c r="AZ72" i="7"/>
  <c r="AZ73" i="7"/>
  <c r="AZ11" i="1"/>
  <c r="AZ68" i="1" s="1"/>
  <c r="AA73" i="40"/>
  <c r="AZ77" i="7" l="1"/>
  <c r="AZ70" i="1"/>
  <c r="AZ85" i="1"/>
  <c r="AA81" i="40"/>
  <c r="AA80" i="40"/>
  <c r="AA79" i="40"/>
  <c r="Z79" i="40"/>
  <c r="AZ86" i="1" l="1"/>
  <c r="AZ87" i="1"/>
  <c r="AZ40" i="1"/>
  <c r="AZ104" i="1" s="1"/>
  <c r="AZ64" i="1"/>
  <c r="AZ106" i="1" s="1"/>
  <c r="AZ27" i="1"/>
  <c r="AZ103" i="1" s="1"/>
  <c r="AZ13" i="1"/>
  <c r="AZ102" i="1" s="1"/>
  <c r="AA50" i="40"/>
  <c r="Z50" i="40"/>
  <c r="AA49" i="40"/>
  <c r="AA83" i="40" l="1"/>
  <c r="AB85" i="40" s="1"/>
  <c r="Z42" i="40"/>
  <c r="AA82" i="40"/>
  <c r="Z41" i="40"/>
  <c r="Z87" i="40" l="1"/>
  <c r="AY111" i="30" l="1"/>
  <c r="AY110" i="30"/>
  <c r="AY109" i="30"/>
  <c r="AY58" i="30"/>
  <c r="AY57" i="30"/>
  <c r="AY56" i="30"/>
  <c r="AY52" i="30"/>
  <c r="AY51" i="30"/>
  <c r="AY50" i="30"/>
  <c r="AY9" i="30"/>
  <c r="AY38" i="30"/>
  <c r="AX38" i="30"/>
  <c r="AY28" i="30"/>
  <c r="AY23" i="30"/>
  <c r="AY115" i="30" l="1"/>
  <c r="AY53" i="30"/>
  <c r="AY59" i="30"/>
  <c r="AY63" i="7"/>
  <c r="AY60" i="7"/>
  <c r="AY61" i="7"/>
  <c r="AY64" i="7"/>
  <c r="AY105" i="1"/>
  <c r="AY82" i="1"/>
  <c r="AY81" i="1"/>
  <c r="AY79" i="1"/>
  <c r="AY62" i="1"/>
  <c r="AY59" i="1"/>
  <c r="AY38" i="1"/>
  <c r="AY39" i="1" s="1"/>
  <c r="AY24" i="1"/>
  <c r="AY21" i="1"/>
  <c r="Z80" i="40"/>
  <c r="Z74" i="40"/>
  <c r="Z83" i="40" s="1"/>
  <c r="Z73" i="40"/>
  <c r="Z49" i="40"/>
  <c r="AY10" i="1"/>
  <c r="AY7" i="1"/>
  <c r="AX58" i="30"/>
  <c r="AX57" i="30"/>
  <c r="AX56" i="30"/>
  <c r="AX52" i="30"/>
  <c r="AX51" i="30"/>
  <c r="AX50" i="30"/>
  <c r="AX49" i="30"/>
  <c r="AX47" i="30"/>
  <c r="AX113" i="30"/>
  <c r="AX112" i="30"/>
  <c r="AX111" i="30"/>
  <c r="AX110" i="30"/>
  <c r="AX109" i="30"/>
  <c r="AX60" i="7"/>
  <c r="AX61" i="7"/>
  <c r="AX63" i="7"/>
  <c r="AX64" i="7"/>
  <c r="AX82" i="1"/>
  <c r="AX81" i="1"/>
  <c r="AX79" i="1"/>
  <c r="AX78" i="1"/>
  <c r="AX62" i="1"/>
  <c r="AX59" i="1"/>
  <c r="AX51" i="1"/>
  <c r="AX48" i="1"/>
  <c r="Y81" i="40"/>
  <c r="Y80" i="40"/>
  <c r="Y79" i="40"/>
  <c r="Y74" i="40"/>
  <c r="Y73" i="40"/>
  <c r="Y58" i="40"/>
  <c r="Y57" i="40"/>
  <c r="Y41" i="40"/>
  <c r="X41" i="40"/>
  <c r="X73" i="40"/>
  <c r="Y50" i="40"/>
  <c r="Y49" i="40"/>
  <c r="AX28" i="30"/>
  <c r="AX23" i="30"/>
  <c r="AX38" i="1"/>
  <c r="AX39" i="1" s="1"/>
  <c r="AX24" i="1"/>
  <c r="AX21" i="1"/>
  <c r="AX26" i="1" s="1"/>
  <c r="AX9" i="30"/>
  <c r="Y42" i="40"/>
  <c r="AX10" i="1"/>
  <c r="AX7" i="1"/>
  <c r="AW113" i="30"/>
  <c r="AW112" i="30"/>
  <c r="AW111" i="30"/>
  <c r="AW110" i="30"/>
  <c r="AW109" i="30"/>
  <c r="AW58" i="30"/>
  <c r="AW57" i="30"/>
  <c r="AW56" i="30"/>
  <c r="AW52" i="30"/>
  <c r="AW51" i="30"/>
  <c r="AW50" i="30"/>
  <c r="AW49" i="30"/>
  <c r="AW47" i="30"/>
  <c r="AW38" i="30"/>
  <c r="AW28" i="30"/>
  <c r="AW23" i="30"/>
  <c r="AW60" i="7"/>
  <c r="AW61" i="7"/>
  <c r="AW63" i="7"/>
  <c r="AW64" i="7"/>
  <c r="AW82" i="1"/>
  <c r="AW81" i="1"/>
  <c r="AW79" i="1"/>
  <c r="AW78" i="1"/>
  <c r="AW62" i="1"/>
  <c r="AW59" i="1"/>
  <c r="AW51" i="1"/>
  <c r="AW48" i="1"/>
  <c r="AW38" i="1"/>
  <c r="AW39" i="1" s="1"/>
  <c r="X81" i="40"/>
  <c r="X80" i="40"/>
  <c r="X79" i="40"/>
  <c r="X74" i="40"/>
  <c r="X58" i="40"/>
  <c r="X57" i="40"/>
  <c r="AW24" i="1"/>
  <c r="AW21" i="1"/>
  <c r="X50" i="40"/>
  <c r="X49" i="40"/>
  <c r="AW9" i="30"/>
  <c r="AW10" i="1"/>
  <c r="AW7" i="1"/>
  <c r="X42" i="40"/>
  <c r="W81" i="40"/>
  <c r="W80" i="40"/>
  <c r="W79" i="40"/>
  <c r="W58" i="40"/>
  <c r="W57" i="40"/>
  <c r="W74" i="40"/>
  <c r="W73" i="40"/>
  <c r="W49" i="40"/>
  <c r="W42" i="40"/>
  <c r="W41" i="40"/>
  <c r="AV58" i="30"/>
  <c r="AV57" i="30"/>
  <c r="AV56" i="30"/>
  <c r="AV52" i="30"/>
  <c r="AV51" i="30"/>
  <c r="AV50" i="30"/>
  <c r="AV49" i="30"/>
  <c r="AV47" i="30"/>
  <c r="AV38" i="30"/>
  <c r="AV60" i="7"/>
  <c r="AV61" i="7"/>
  <c r="AV63" i="7"/>
  <c r="AV64" i="7"/>
  <c r="AV82" i="1"/>
  <c r="AV81" i="1"/>
  <c r="AV79" i="1"/>
  <c r="AV78" i="1"/>
  <c r="AV62" i="1"/>
  <c r="AV59" i="1"/>
  <c r="AV113" i="30"/>
  <c r="AV112" i="30"/>
  <c r="AV111" i="30"/>
  <c r="AV110" i="30"/>
  <c r="AV109" i="30"/>
  <c r="AV51" i="1"/>
  <c r="AV48" i="1"/>
  <c r="AV38" i="1"/>
  <c r="AV39" i="1" s="1"/>
  <c r="AV28" i="30"/>
  <c r="AV23" i="30"/>
  <c r="AV24" i="1"/>
  <c r="AV21" i="1"/>
  <c r="AV9" i="30"/>
  <c r="AV10" i="1"/>
  <c r="AV7" i="1"/>
  <c r="AU38" i="30"/>
  <c r="AU113" i="30"/>
  <c r="AU112" i="30"/>
  <c r="AU111" i="30"/>
  <c r="AU110" i="30"/>
  <c r="AU109" i="30"/>
  <c r="AU64" i="7"/>
  <c r="AU63" i="7"/>
  <c r="AU61" i="7"/>
  <c r="AU60" i="7"/>
  <c r="AU82" i="1"/>
  <c r="AU81" i="1"/>
  <c r="AU79" i="1"/>
  <c r="AU78" i="1"/>
  <c r="AU38" i="1"/>
  <c r="AU39" i="1" s="1"/>
  <c r="U81" i="40"/>
  <c r="V81" i="40"/>
  <c r="U80" i="40"/>
  <c r="V80" i="40"/>
  <c r="U79" i="40"/>
  <c r="V79" i="40"/>
  <c r="AU51" i="1"/>
  <c r="AU48" i="1"/>
  <c r="U58" i="40"/>
  <c r="V58" i="40"/>
  <c r="U57" i="40"/>
  <c r="V57" i="40"/>
  <c r="AU58" i="30"/>
  <c r="AU57" i="30"/>
  <c r="AU56" i="30"/>
  <c r="AU52" i="30"/>
  <c r="AU51" i="30"/>
  <c r="AU50" i="30"/>
  <c r="AU49" i="30"/>
  <c r="AU47" i="30"/>
  <c r="AU62" i="1"/>
  <c r="AU59" i="1"/>
  <c r="V74" i="40"/>
  <c r="V73" i="40"/>
  <c r="U74" i="40"/>
  <c r="U73" i="40"/>
  <c r="U50" i="40"/>
  <c r="V50" i="40"/>
  <c r="W50" i="40"/>
  <c r="AU28" i="30"/>
  <c r="AU23" i="30"/>
  <c r="AU24" i="1"/>
  <c r="AU21" i="1"/>
  <c r="V49" i="40"/>
  <c r="T50" i="40"/>
  <c r="U49" i="40"/>
  <c r="AU9" i="30"/>
  <c r="AU10" i="1"/>
  <c r="AU7" i="1"/>
  <c r="V42" i="40"/>
  <c r="V41" i="40"/>
  <c r="U42" i="40"/>
  <c r="U41" i="40"/>
  <c r="AT113" i="30"/>
  <c r="AT112" i="30"/>
  <c r="AT111" i="30"/>
  <c r="AT119" i="30" s="1"/>
  <c r="AT110" i="30"/>
  <c r="AT109" i="30"/>
  <c r="AT127" i="30"/>
  <c r="AT58" i="30"/>
  <c r="AT82" i="30" s="1"/>
  <c r="AT57" i="30"/>
  <c r="AT81" i="30" s="1"/>
  <c r="AT117" i="30"/>
  <c r="AT56" i="30"/>
  <c r="AT69" i="30" s="1"/>
  <c r="AT52" i="30"/>
  <c r="AT51" i="30"/>
  <c r="AT77" i="30" s="1"/>
  <c r="AT50" i="30"/>
  <c r="AT76" i="30" s="1"/>
  <c r="AT49" i="30"/>
  <c r="AT75" i="30" s="1"/>
  <c r="AT47" i="30"/>
  <c r="AT74" i="30" s="1"/>
  <c r="AT38" i="30"/>
  <c r="AT64" i="7"/>
  <c r="AT63" i="7"/>
  <c r="AT62" i="7"/>
  <c r="AT61" i="7"/>
  <c r="AT60" i="7"/>
  <c r="AT80" i="30"/>
  <c r="AT82" i="1"/>
  <c r="AT81" i="1"/>
  <c r="AT79" i="1"/>
  <c r="AT78" i="1"/>
  <c r="AT48" i="1"/>
  <c r="AT51" i="1"/>
  <c r="AT38" i="1"/>
  <c r="AT39" i="1" s="1"/>
  <c r="AT62" i="1"/>
  <c r="AT59" i="1"/>
  <c r="AT28" i="30"/>
  <c r="AT23" i="30"/>
  <c r="AT24" i="1"/>
  <c r="AT21" i="1"/>
  <c r="AT9" i="30"/>
  <c r="AT7" i="1"/>
  <c r="AT10" i="1"/>
  <c r="AP83" i="40"/>
  <c r="AQ83" i="40" s="1"/>
  <c r="AK131" i="30"/>
  <c r="AK130" i="30"/>
  <c r="AK129" i="30"/>
  <c r="AK128" i="30"/>
  <c r="AK127" i="30"/>
  <c r="AS113" i="30"/>
  <c r="AR113" i="30"/>
  <c r="AR121" i="30" s="1"/>
  <c r="AQ113" i="30"/>
  <c r="AP113" i="30"/>
  <c r="AP121" i="30" s="1"/>
  <c r="AO113" i="30"/>
  <c r="AO131" i="30" s="1"/>
  <c r="AN113" i="30"/>
  <c r="AN121" i="30" s="1"/>
  <c r="AM113" i="30"/>
  <c r="AL113" i="30"/>
  <c r="AL131" i="30" s="1"/>
  <c r="AJ113" i="30"/>
  <c r="AJ131" i="30" s="1"/>
  <c r="AI113" i="30"/>
  <c r="AI121" i="30" s="1"/>
  <c r="AH113" i="30"/>
  <c r="AH131" i="30" s="1"/>
  <c r="AG113" i="30"/>
  <c r="AG121" i="30" s="1"/>
  <c r="AF113" i="30"/>
  <c r="AF121" i="30" s="1"/>
  <c r="AE113" i="30"/>
  <c r="AE121" i="30" s="1"/>
  <c r="AD113" i="30"/>
  <c r="AC113" i="30"/>
  <c r="AC121" i="30" s="1"/>
  <c r="AB113" i="30"/>
  <c r="AB121" i="30" s="1"/>
  <c r="AA113" i="30"/>
  <c r="AA121" i="30" s="1"/>
  <c r="Z113" i="30"/>
  <c r="Y113" i="30"/>
  <c r="Y121" i="30" s="1"/>
  <c r="X113" i="30"/>
  <c r="X131" i="30" s="1"/>
  <c r="W113" i="30"/>
  <c r="W121" i="30" s="1"/>
  <c r="V113" i="30"/>
  <c r="V131" i="30" s="1"/>
  <c r="T113" i="30"/>
  <c r="T121" i="30" s="1"/>
  <c r="S113" i="30"/>
  <c r="S131" i="30" s="1"/>
  <c r="R113" i="30"/>
  <c r="R121" i="30" s="1"/>
  <c r="Q113" i="30"/>
  <c r="P113" i="30"/>
  <c r="P121" i="30" s="1"/>
  <c r="O113" i="30"/>
  <c r="O131" i="30" s="1"/>
  <c r="N113" i="30"/>
  <c r="N121" i="30" s="1"/>
  <c r="M113" i="30"/>
  <c r="L113" i="30"/>
  <c r="L121" i="30" s="1"/>
  <c r="AS112" i="30"/>
  <c r="AS120" i="30" s="1"/>
  <c r="AR112" i="30"/>
  <c r="AR120" i="30" s="1"/>
  <c r="AQ112" i="30"/>
  <c r="AQ130" i="30" s="1"/>
  <c r="AP112" i="30"/>
  <c r="AP120" i="30" s="1"/>
  <c r="AO112" i="30"/>
  <c r="AN112" i="30"/>
  <c r="AN120" i="30" s="1"/>
  <c r="AM112" i="30"/>
  <c r="AL112" i="30"/>
  <c r="AL120" i="30" s="1"/>
  <c r="AJ112" i="30"/>
  <c r="AJ130" i="30" s="1"/>
  <c r="AI112" i="30"/>
  <c r="AI120" i="30" s="1"/>
  <c r="AH112" i="30"/>
  <c r="AG112" i="30"/>
  <c r="AG120" i="30" s="1"/>
  <c r="AF112" i="30"/>
  <c r="AF120" i="30" s="1"/>
  <c r="AE112" i="30"/>
  <c r="AE120" i="30" s="1"/>
  <c r="AD112" i="30"/>
  <c r="AD130" i="30" s="1"/>
  <c r="X112" i="30"/>
  <c r="X120" i="30" s="1"/>
  <c r="O112" i="30"/>
  <c r="O120" i="30" s="1"/>
  <c r="N112" i="30"/>
  <c r="N120" i="30" s="1"/>
  <c r="M112" i="30"/>
  <c r="L112" i="30"/>
  <c r="L120" i="30" s="1"/>
  <c r="AS111" i="30"/>
  <c r="AS119" i="30" s="1"/>
  <c r="AR111" i="30"/>
  <c r="AR119" i="30" s="1"/>
  <c r="AQ111" i="30"/>
  <c r="AQ129" i="30" s="1"/>
  <c r="AP111" i="30"/>
  <c r="AP129" i="30" s="1"/>
  <c r="AO111" i="30"/>
  <c r="AO129" i="30" s="1"/>
  <c r="AN111" i="30"/>
  <c r="AN119" i="30" s="1"/>
  <c r="AM111" i="30"/>
  <c r="AM119" i="30" s="1"/>
  <c r="AL111" i="30"/>
  <c r="AL129" i="30" s="1"/>
  <c r="AH111" i="30"/>
  <c r="AH119" i="30" s="1"/>
  <c r="AF111" i="30"/>
  <c r="AF129" i="30" s="1"/>
  <c r="T111" i="30"/>
  <c r="T119" i="30" s="1"/>
  <c r="L111" i="30"/>
  <c r="L129" i="30" s="1"/>
  <c r="AS110" i="30"/>
  <c r="AS128" i="30" s="1"/>
  <c r="AR110" i="30"/>
  <c r="AR128" i="30" s="1"/>
  <c r="AQ110" i="30"/>
  <c r="AQ128" i="30" s="1"/>
  <c r="AP110" i="30"/>
  <c r="AP128" i="30" s="1"/>
  <c r="AO110" i="30"/>
  <c r="AO128" i="30" s="1"/>
  <c r="AN110" i="30"/>
  <c r="AN118" i="30" s="1"/>
  <c r="AM110" i="30"/>
  <c r="AM128" i="30" s="1"/>
  <c r="AL110" i="30"/>
  <c r="AL128" i="30" s="1"/>
  <c r="AJ110" i="30"/>
  <c r="AJ118" i="30" s="1"/>
  <c r="AI110" i="30"/>
  <c r="AI128" i="30" s="1"/>
  <c r="AH110" i="30"/>
  <c r="AH128" i="30" s="1"/>
  <c r="AG110" i="30"/>
  <c r="AG128" i="30" s="1"/>
  <c r="AF110" i="30"/>
  <c r="AF118" i="30" s="1"/>
  <c r="AE110" i="30"/>
  <c r="AE128" i="30" s="1"/>
  <c r="AD110" i="30"/>
  <c r="AD128" i="30" s="1"/>
  <c r="AC110" i="30"/>
  <c r="AC128" i="30" s="1"/>
  <c r="AB110" i="30"/>
  <c r="AB118" i="30" s="1"/>
  <c r="AA110" i="30"/>
  <c r="AA128" i="30" s="1"/>
  <c r="Z110" i="30"/>
  <c r="Z118" i="30" s="1"/>
  <c r="Y110" i="30"/>
  <c r="Y128" i="30" s="1"/>
  <c r="X110" i="30"/>
  <c r="X118" i="30" s="1"/>
  <c r="W110" i="30"/>
  <c r="W128" i="30" s="1"/>
  <c r="V110" i="30"/>
  <c r="V128" i="30" s="1"/>
  <c r="U110" i="30"/>
  <c r="U128" i="30" s="1"/>
  <c r="T110" i="30"/>
  <c r="T128" i="30" s="1"/>
  <c r="S110" i="30"/>
  <c r="S118" i="30" s="1"/>
  <c r="R110" i="30"/>
  <c r="R128" i="30" s="1"/>
  <c r="Q110" i="30"/>
  <c r="P110" i="30"/>
  <c r="P128" i="30" s="1"/>
  <c r="O110" i="30"/>
  <c r="O128" i="30" s="1"/>
  <c r="N110" i="30"/>
  <c r="N128" i="30" s="1"/>
  <c r="M110" i="30"/>
  <c r="M128" i="30" s="1"/>
  <c r="L110" i="30"/>
  <c r="L128" i="30" s="1"/>
  <c r="AS109" i="30"/>
  <c r="AS127" i="30" s="1"/>
  <c r="AR109" i="30"/>
  <c r="AR127" i="30" s="1"/>
  <c r="AQ109" i="30"/>
  <c r="AQ127" i="30" s="1"/>
  <c r="AP109" i="30"/>
  <c r="AP127" i="30" s="1"/>
  <c r="AO109" i="30"/>
  <c r="AO127" i="30" s="1"/>
  <c r="AN109" i="30"/>
  <c r="AN117" i="30" s="1"/>
  <c r="AM109" i="30"/>
  <c r="AM127" i="30" s="1"/>
  <c r="AL109" i="30"/>
  <c r="AL127" i="30" s="1"/>
  <c r="AJ109" i="30"/>
  <c r="AJ127" i="30" s="1"/>
  <c r="AI109" i="30"/>
  <c r="AI127" i="30" s="1"/>
  <c r="AH109" i="30"/>
  <c r="AH127" i="30" s="1"/>
  <c r="AG109" i="30"/>
  <c r="AG127" i="30" s="1"/>
  <c r="AF109" i="30"/>
  <c r="AF127" i="30" s="1"/>
  <c r="AE109" i="30"/>
  <c r="AE117" i="30" s="1"/>
  <c r="AD109" i="30"/>
  <c r="AD127" i="30" s="1"/>
  <c r="AC109" i="30"/>
  <c r="AC117" i="30" s="1"/>
  <c r="AB109" i="30"/>
  <c r="AB127" i="30" s="1"/>
  <c r="AA109" i="30"/>
  <c r="AA117" i="30" s="1"/>
  <c r="Z109" i="30"/>
  <c r="Z127" i="30" s="1"/>
  <c r="Y109" i="30"/>
  <c r="Y127" i="30" s="1"/>
  <c r="X109" i="30"/>
  <c r="X117" i="30" s="1"/>
  <c r="W109" i="30"/>
  <c r="W127" i="30" s="1"/>
  <c r="V109" i="30"/>
  <c r="V127" i="30" s="1"/>
  <c r="U109" i="30"/>
  <c r="U127" i="30" s="1"/>
  <c r="T109" i="30"/>
  <c r="T117" i="30" s="1"/>
  <c r="S109" i="30"/>
  <c r="S127" i="30" s="1"/>
  <c r="R109" i="30"/>
  <c r="Q109" i="30"/>
  <c r="Q117" i="30" s="1"/>
  <c r="P109" i="30"/>
  <c r="P127" i="30" s="1"/>
  <c r="O109" i="30"/>
  <c r="O127" i="30" s="1"/>
  <c r="N109" i="30"/>
  <c r="N127" i="30" s="1"/>
  <c r="M109" i="30"/>
  <c r="M127" i="30" s="1"/>
  <c r="L109" i="30"/>
  <c r="L127" i="30" s="1"/>
  <c r="X106" i="30"/>
  <c r="W106" i="30"/>
  <c r="U106" i="30"/>
  <c r="AC104" i="30"/>
  <c r="AA104" i="30"/>
  <c r="V104" i="30"/>
  <c r="T104" i="30"/>
  <c r="R104" i="30"/>
  <c r="P104" i="30"/>
  <c r="AG103" i="30"/>
  <c r="AD103" i="30"/>
  <c r="AC103" i="30"/>
  <c r="AC111" i="30" s="1"/>
  <c r="AC129" i="30" s="1"/>
  <c r="AA103" i="30"/>
  <c r="Z103" i="30"/>
  <c r="Y103" i="30"/>
  <c r="V103" i="30"/>
  <c r="Y96" i="30"/>
  <c r="X96" i="30"/>
  <c r="Y95" i="30"/>
  <c r="X95" i="30"/>
  <c r="U93" i="30"/>
  <c r="U113" i="30" s="1"/>
  <c r="AC92" i="30"/>
  <c r="AB92" i="30"/>
  <c r="AB112" i="30" s="1"/>
  <c r="AA92" i="30"/>
  <c r="Z92" i="30"/>
  <c r="Z112" i="30" s="1"/>
  <c r="Y92" i="30"/>
  <c r="W92" i="30"/>
  <c r="V92" i="30"/>
  <c r="U92" i="30"/>
  <c r="T92" i="30"/>
  <c r="S92" i="30"/>
  <c r="R92" i="30"/>
  <c r="Q92" i="30"/>
  <c r="Q112" i="30" s="1"/>
  <c r="Q120" i="30" s="1"/>
  <c r="P92" i="30"/>
  <c r="AJ91" i="30"/>
  <c r="AI91" i="30"/>
  <c r="AI111" i="30" s="1"/>
  <c r="AI119" i="30" s="1"/>
  <c r="AG91" i="30"/>
  <c r="AE91" i="30"/>
  <c r="AD91" i="30"/>
  <c r="AB91" i="30"/>
  <c r="AB111" i="30" s="1"/>
  <c r="AB119" i="30" s="1"/>
  <c r="AA91" i="30"/>
  <c r="Z91" i="30"/>
  <c r="Y91" i="30"/>
  <c r="X91" i="30"/>
  <c r="X111" i="30" s="1"/>
  <c r="X129" i="30" s="1"/>
  <c r="W91" i="30"/>
  <c r="W111" i="30" s="1"/>
  <c r="W119" i="30" s="1"/>
  <c r="V91" i="30"/>
  <c r="U91" i="30"/>
  <c r="U111" i="30" s="1"/>
  <c r="S91" i="30"/>
  <c r="R91" i="30"/>
  <c r="Q91" i="30"/>
  <c r="P91" i="30"/>
  <c r="P111" i="30" s="1"/>
  <c r="O91" i="30"/>
  <c r="O111" i="30" s="1"/>
  <c r="O119" i="30" s="1"/>
  <c r="N91" i="30"/>
  <c r="N111" i="30" s="1"/>
  <c r="N119" i="30" s="1"/>
  <c r="M91" i="30"/>
  <c r="AN63" i="30"/>
  <c r="AS58" i="30"/>
  <c r="AS82" i="30" s="1"/>
  <c r="AR58" i="30"/>
  <c r="AR71" i="30" s="1"/>
  <c r="AQ58" i="30"/>
  <c r="AP58" i="30"/>
  <c r="AP71" i="30" s="1"/>
  <c r="AO58" i="30"/>
  <c r="AN58" i="30"/>
  <c r="AN71" i="30" s="1"/>
  <c r="AM58" i="30"/>
  <c r="AL58" i="30"/>
  <c r="AL71" i="30" s="1"/>
  <c r="AK58" i="30"/>
  <c r="AK71" i="30" s="1"/>
  <c r="AJ58" i="30"/>
  <c r="AJ71" i="30" s="1"/>
  <c r="AI58" i="30"/>
  <c r="AH58" i="30"/>
  <c r="AH71" i="30" s="1"/>
  <c r="AG58" i="30"/>
  <c r="AG71" i="30" s="1"/>
  <c r="AF58" i="30"/>
  <c r="AF71" i="30" s="1"/>
  <c r="AE58" i="30"/>
  <c r="AD58" i="30"/>
  <c r="AD71" i="30" s="1"/>
  <c r="AC58" i="30"/>
  <c r="AC82" i="30" s="1"/>
  <c r="AB58" i="30"/>
  <c r="AB71" i="30" s="1"/>
  <c r="AA58" i="30"/>
  <c r="Z58" i="30"/>
  <c r="Z71" i="30" s="1"/>
  <c r="Y58" i="30"/>
  <c r="Y71" i="30" s="1"/>
  <c r="X58" i="30"/>
  <c r="X71" i="30" s="1"/>
  <c r="W58" i="30"/>
  <c r="V58" i="30"/>
  <c r="V71" i="30" s="1"/>
  <c r="U58" i="30"/>
  <c r="U71" i="30" s="1"/>
  <c r="T58" i="30"/>
  <c r="T71" i="30" s="1"/>
  <c r="S58" i="30"/>
  <c r="R58" i="30"/>
  <c r="R71" i="30" s="1"/>
  <c r="Q58" i="30"/>
  <c r="Q82" i="30" s="1"/>
  <c r="P58" i="30"/>
  <c r="P71" i="30" s="1"/>
  <c r="O58" i="30"/>
  <c r="N58" i="30"/>
  <c r="N71" i="30" s="1"/>
  <c r="M58" i="30"/>
  <c r="M82" i="30" s="1"/>
  <c r="L58" i="30"/>
  <c r="L71" i="30" s="1"/>
  <c r="AS57" i="30"/>
  <c r="AR57" i="30"/>
  <c r="AR70" i="30" s="1"/>
  <c r="AQ57" i="30"/>
  <c r="AQ81" i="30" s="1"/>
  <c r="AP57" i="30"/>
  <c r="AP70" i="30" s="1"/>
  <c r="AO57" i="30"/>
  <c r="AN57" i="30"/>
  <c r="AN70" i="30" s="1"/>
  <c r="AM57" i="30"/>
  <c r="AM81" i="30" s="1"/>
  <c r="AL57" i="30"/>
  <c r="AL70" i="30" s="1"/>
  <c r="AK57" i="30"/>
  <c r="AJ57" i="30"/>
  <c r="AJ70" i="30" s="1"/>
  <c r="AI57" i="30"/>
  <c r="AI81" i="30" s="1"/>
  <c r="AH57" i="30"/>
  <c r="AH70" i="30" s="1"/>
  <c r="AG57" i="30"/>
  <c r="AF57" i="30"/>
  <c r="AF70" i="30" s="1"/>
  <c r="AE57" i="30"/>
  <c r="AD57" i="30"/>
  <c r="AD70" i="30" s="1"/>
  <c r="AC57" i="30"/>
  <c r="AB57" i="30"/>
  <c r="AB70" i="30" s="1"/>
  <c r="AA57" i="30"/>
  <c r="AA81" i="30" s="1"/>
  <c r="Z57" i="30"/>
  <c r="Z70" i="30" s="1"/>
  <c r="Y57" i="30"/>
  <c r="X57" i="30"/>
  <c r="X70" i="30" s="1"/>
  <c r="W57" i="30"/>
  <c r="W70" i="30" s="1"/>
  <c r="V57" i="30"/>
  <c r="V70" i="30" s="1"/>
  <c r="U57" i="30"/>
  <c r="T57" i="30"/>
  <c r="T70" i="30" s="1"/>
  <c r="S57" i="30"/>
  <c r="S70" i="30" s="1"/>
  <c r="R57" i="30"/>
  <c r="R70" i="30" s="1"/>
  <c r="Q57" i="30"/>
  <c r="P57" i="30"/>
  <c r="P70" i="30" s="1"/>
  <c r="O57" i="30"/>
  <c r="O81" i="30" s="1"/>
  <c r="N57" i="30"/>
  <c r="N70" i="30" s="1"/>
  <c r="M57" i="30"/>
  <c r="L57" i="30"/>
  <c r="L70" i="30" s="1"/>
  <c r="AS56" i="30"/>
  <c r="AS69" i="30" s="1"/>
  <c r="AR56" i="30"/>
  <c r="AR69" i="30" s="1"/>
  <c r="AQ56" i="30"/>
  <c r="AP56" i="30"/>
  <c r="AP80" i="30" s="1"/>
  <c r="AO56" i="30"/>
  <c r="AO69" i="30" s="1"/>
  <c r="AN56" i="30"/>
  <c r="AN69" i="30" s="1"/>
  <c r="AM56" i="30"/>
  <c r="AL56" i="30"/>
  <c r="AL69" i="30" s="1"/>
  <c r="AK56" i="30"/>
  <c r="AK80" i="30" s="1"/>
  <c r="AJ56" i="30"/>
  <c r="AJ69" i="30" s="1"/>
  <c r="AI56" i="30"/>
  <c r="AH56" i="30"/>
  <c r="AG56" i="30"/>
  <c r="AG80" i="30" s="1"/>
  <c r="AF56" i="30"/>
  <c r="AF69" i="30" s="1"/>
  <c r="AE56" i="30"/>
  <c r="AD56" i="30"/>
  <c r="AD69" i="30" s="1"/>
  <c r="AC56" i="30"/>
  <c r="AC80" i="30" s="1"/>
  <c r="AB56" i="30"/>
  <c r="AB69" i="30" s="1"/>
  <c r="AA56" i="30"/>
  <c r="Z56" i="30"/>
  <c r="Y56" i="30"/>
  <c r="X56" i="30"/>
  <c r="X69" i="30" s="1"/>
  <c r="W56" i="30"/>
  <c r="V56" i="30"/>
  <c r="V69" i="30" s="1"/>
  <c r="U56" i="30"/>
  <c r="U80" i="30" s="1"/>
  <c r="T56" i="30"/>
  <c r="S56" i="30"/>
  <c r="S69" i="30" s="1"/>
  <c r="R56" i="30"/>
  <c r="R69" i="30" s="1"/>
  <c r="Q56" i="30"/>
  <c r="Q69" i="30" s="1"/>
  <c r="P56" i="30"/>
  <c r="P69" i="30" s="1"/>
  <c r="O56" i="30"/>
  <c r="N56" i="30"/>
  <c r="N80" i="30" s="1"/>
  <c r="M56" i="30"/>
  <c r="M69" i="30" s="1"/>
  <c r="L56" i="30"/>
  <c r="L80" i="30" s="1"/>
  <c r="AS52" i="30"/>
  <c r="AS78" i="30" s="1"/>
  <c r="AR52" i="30"/>
  <c r="AR78" i="30" s="1"/>
  <c r="AQ52" i="30"/>
  <c r="AQ78" i="30" s="1"/>
  <c r="AP52" i="30"/>
  <c r="AP78" i="30" s="1"/>
  <c r="AO52" i="30"/>
  <c r="AO78" i="30" s="1"/>
  <c r="AN52" i="30"/>
  <c r="AN78" i="30" s="1"/>
  <c r="AM52" i="30"/>
  <c r="AM78" i="30" s="1"/>
  <c r="AL52" i="30"/>
  <c r="AL66" i="30" s="1"/>
  <c r="AK52" i="30"/>
  <c r="AJ52" i="30"/>
  <c r="AJ66" i="30" s="1"/>
  <c r="AI52" i="30"/>
  <c r="AI78" i="30" s="1"/>
  <c r="AH52" i="30"/>
  <c r="AH78" i="30" s="1"/>
  <c r="AG52" i="30"/>
  <c r="AF52" i="30"/>
  <c r="AF66" i="30" s="1"/>
  <c r="AE52" i="30"/>
  <c r="AE78" i="30" s="1"/>
  <c r="AD52" i="30"/>
  <c r="AD66" i="30" s="1"/>
  <c r="AC52" i="30"/>
  <c r="AB52" i="30"/>
  <c r="AB66" i="30" s="1"/>
  <c r="AA52" i="30"/>
  <c r="AA78" i="30" s="1"/>
  <c r="Z52" i="30"/>
  <c r="Z78" i="30" s="1"/>
  <c r="Y52" i="30"/>
  <c r="X52" i="30"/>
  <c r="X66" i="30" s="1"/>
  <c r="W52" i="30"/>
  <c r="W78" i="30" s="1"/>
  <c r="V52" i="30"/>
  <c r="V66" i="30" s="1"/>
  <c r="U52" i="30"/>
  <c r="T52" i="30"/>
  <c r="T66" i="30" s="1"/>
  <c r="S52" i="30"/>
  <c r="S66" i="30" s="1"/>
  <c r="R52" i="30"/>
  <c r="R78" i="30" s="1"/>
  <c r="Q52" i="30"/>
  <c r="P52" i="30"/>
  <c r="P66" i="30" s="1"/>
  <c r="O52" i="30"/>
  <c r="O66" i="30" s="1"/>
  <c r="N52" i="30"/>
  <c r="N66" i="30" s="1"/>
  <c r="M52" i="30"/>
  <c r="M66" i="30" s="1"/>
  <c r="L52" i="30"/>
  <c r="L66" i="30" s="1"/>
  <c r="K52" i="30"/>
  <c r="K78" i="30" s="1"/>
  <c r="J52" i="30"/>
  <c r="J66" i="30" s="1"/>
  <c r="I52" i="30"/>
  <c r="H52" i="30"/>
  <c r="H66" i="30" s="1"/>
  <c r="G52" i="30"/>
  <c r="G78" i="30" s="1"/>
  <c r="F52" i="30"/>
  <c r="F66" i="30" s="1"/>
  <c r="E52" i="30"/>
  <c r="E66" i="30" s="1"/>
  <c r="D52" i="30"/>
  <c r="D66" i="30" s="1"/>
  <c r="C52" i="30"/>
  <c r="C66" i="30" s="1"/>
  <c r="AS51" i="30"/>
  <c r="AS77" i="30" s="1"/>
  <c r="AR51" i="30"/>
  <c r="AR77" i="30" s="1"/>
  <c r="AQ51" i="30"/>
  <c r="AQ77" i="30" s="1"/>
  <c r="AP51" i="30"/>
  <c r="AP77" i="30" s="1"/>
  <c r="AO51" i="30"/>
  <c r="AO77" i="30" s="1"/>
  <c r="AN51" i="30"/>
  <c r="AN77" i="30" s="1"/>
  <c r="AM51" i="30"/>
  <c r="AM77" i="30" s="1"/>
  <c r="AL51" i="30"/>
  <c r="AL77" i="30" s="1"/>
  <c r="AK51" i="30"/>
  <c r="AK77" i="30" s="1"/>
  <c r="AJ51" i="30"/>
  <c r="AJ77" i="30" s="1"/>
  <c r="AI51" i="30"/>
  <c r="AI77" i="30" s="1"/>
  <c r="AH51" i="30"/>
  <c r="AH77" i="30" s="1"/>
  <c r="AG51" i="30"/>
  <c r="AG65" i="30" s="1"/>
  <c r="AF51" i="30"/>
  <c r="AF77" i="30" s="1"/>
  <c r="AE51" i="30"/>
  <c r="AE77" i="30" s="1"/>
  <c r="AD51" i="30"/>
  <c r="AD77" i="30" s="1"/>
  <c r="AB51" i="30"/>
  <c r="AB65" i="30" s="1"/>
  <c r="AA51" i="30"/>
  <c r="AA77" i="30" s="1"/>
  <c r="Z51" i="30"/>
  <c r="Z77" i="30" s="1"/>
  <c r="Y51" i="30"/>
  <c r="Y65" i="30" s="1"/>
  <c r="X51" i="30"/>
  <c r="X65" i="30" s="1"/>
  <c r="W51" i="30"/>
  <c r="W77" i="30" s="1"/>
  <c r="V51" i="30"/>
  <c r="V77" i="30" s="1"/>
  <c r="U51" i="30"/>
  <c r="U77" i="30" s="1"/>
  <c r="T51" i="30"/>
  <c r="T77" i="30" s="1"/>
  <c r="S51" i="30"/>
  <c r="S77" i="30" s="1"/>
  <c r="R51" i="30"/>
  <c r="R77" i="30" s="1"/>
  <c r="Q51" i="30"/>
  <c r="Q77" i="30" s="1"/>
  <c r="P51" i="30"/>
  <c r="P65" i="30" s="1"/>
  <c r="O51" i="30"/>
  <c r="O77" i="30" s="1"/>
  <c r="N51" i="30"/>
  <c r="N77" i="30" s="1"/>
  <c r="M51" i="30"/>
  <c r="M77" i="30" s="1"/>
  <c r="L51" i="30"/>
  <c r="L77" i="30" s="1"/>
  <c r="K51" i="30"/>
  <c r="K77" i="30" s="1"/>
  <c r="J51" i="30"/>
  <c r="J77" i="30" s="1"/>
  <c r="I51" i="30"/>
  <c r="I77" i="30" s="1"/>
  <c r="H51" i="30"/>
  <c r="H65" i="30" s="1"/>
  <c r="G51" i="30"/>
  <c r="G77" i="30" s="1"/>
  <c r="F51" i="30"/>
  <c r="F77" i="30" s="1"/>
  <c r="E51" i="30"/>
  <c r="E77" i="30" s="1"/>
  <c r="D51" i="30"/>
  <c r="D77" i="30" s="1"/>
  <c r="C51" i="30"/>
  <c r="C77" i="30" s="1"/>
  <c r="AS50" i="30"/>
  <c r="AS76" i="30" s="1"/>
  <c r="AR50" i="30"/>
  <c r="AR65" i="30" s="1"/>
  <c r="AP50" i="30"/>
  <c r="AP76" i="30" s="1"/>
  <c r="AO50" i="30"/>
  <c r="AO76" i="30" s="1"/>
  <c r="AN50" i="30"/>
  <c r="AM50" i="30"/>
  <c r="AM76" i="30" s="1"/>
  <c r="AL50" i="30"/>
  <c r="AL76" i="30" s="1"/>
  <c r="AH50" i="30"/>
  <c r="AH76" i="30" s="1"/>
  <c r="AF50" i="30"/>
  <c r="AF76" i="30" s="1"/>
  <c r="AB50" i="30"/>
  <c r="AB76" i="30" s="1"/>
  <c r="AA50" i="30"/>
  <c r="AA76" i="30" s="1"/>
  <c r="Z50" i="30"/>
  <c r="Z64" i="30" s="1"/>
  <c r="Y50" i="30"/>
  <c r="Y76" i="30" s="1"/>
  <c r="S50" i="30"/>
  <c r="S76" i="30" s="1"/>
  <c r="R50" i="30"/>
  <c r="R76" i="30" s="1"/>
  <c r="Q50" i="30"/>
  <c r="Q76" i="30" s="1"/>
  <c r="P50" i="30"/>
  <c r="P76" i="30" s="1"/>
  <c r="O50" i="30"/>
  <c r="O64" i="30" s="1"/>
  <c r="N50" i="30"/>
  <c r="N76" i="30" s="1"/>
  <c r="M50" i="30"/>
  <c r="M76" i="30" s="1"/>
  <c r="L50" i="30"/>
  <c r="L76" i="30" s="1"/>
  <c r="K50" i="30"/>
  <c r="K76" i="30" s="1"/>
  <c r="J50" i="30"/>
  <c r="J76" i="30" s="1"/>
  <c r="I50" i="30"/>
  <c r="I76" i="30" s="1"/>
  <c r="H50" i="30"/>
  <c r="H76" i="30" s="1"/>
  <c r="G50" i="30"/>
  <c r="G64" i="30" s="1"/>
  <c r="F50" i="30"/>
  <c r="F76" i="30" s="1"/>
  <c r="E50" i="30"/>
  <c r="E76" i="30" s="1"/>
  <c r="D50" i="30"/>
  <c r="D76" i="30" s="1"/>
  <c r="C50" i="30"/>
  <c r="C76" i="30" s="1"/>
  <c r="AS49" i="30"/>
  <c r="AS75" i="30" s="1"/>
  <c r="AR49" i="30"/>
  <c r="AR75" i="30" s="1"/>
  <c r="AQ49" i="30"/>
  <c r="AQ75" i="30" s="1"/>
  <c r="AP49" i="30"/>
  <c r="AP75" i="30" s="1"/>
  <c r="AO49" i="30"/>
  <c r="AO75" i="30" s="1"/>
  <c r="AN49" i="30"/>
  <c r="AN75" i="30" s="1"/>
  <c r="AM49" i="30"/>
  <c r="AM75" i="30" s="1"/>
  <c r="AL49" i="30"/>
  <c r="AL75" i="30" s="1"/>
  <c r="AK49" i="30"/>
  <c r="AK75" i="30" s="1"/>
  <c r="AJ49" i="30"/>
  <c r="AJ75" i="30" s="1"/>
  <c r="AI49" i="30"/>
  <c r="AI75" i="30" s="1"/>
  <c r="AH49" i="30"/>
  <c r="AH75" i="30" s="1"/>
  <c r="AG49" i="30"/>
  <c r="AG75" i="30" s="1"/>
  <c r="AF49" i="30"/>
  <c r="AF63" i="30" s="1"/>
  <c r="AE49" i="30"/>
  <c r="AE75" i="30" s="1"/>
  <c r="AD49" i="30"/>
  <c r="AD75" i="30" s="1"/>
  <c r="AC49" i="30"/>
  <c r="AC75" i="30" s="1"/>
  <c r="AB49" i="30"/>
  <c r="AB75" i="30" s="1"/>
  <c r="AA49" i="30"/>
  <c r="AA75" i="30" s="1"/>
  <c r="Z49" i="30"/>
  <c r="Z75" i="30" s="1"/>
  <c r="Y49" i="30"/>
  <c r="Y75" i="30" s="1"/>
  <c r="X49" i="30"/>
  <c r="X63" i="30" s="1"/>
  <c r="W49" i="30"/>
  <c r="W75" i="30" s="1"/>
  <c r="V49" i="30"/>
  <c r="V75" i="30" s="1"/>
  <c r="U49" i="30"/>
  <c r="U75" i="30" s="1"/>
  <c r="T49" i="30"/>
  <c r="T75" i="30" s="1"/>
  <c r="AS47" i="30"/>
  <c r="AS74" i="30" s="1"/>
  <c r="AR47" i="30"/>
  <c r="AR74" i="30" s="1"/>
  <c r="AQ47" i="30"/>
  <c r="AQ74" i="30" s="1"/>
  <c r="AP47" i="30"/>
  <c r="AP62" i="30" s="1"/>
  <c r="AO47" i="30"/>
  <c r="AO74" i="30" s="1"/>
  <c r="AN47" i="30"/>
  <c r="AN74" i="30" s="1"/>
  <c r="AM47" i="30"/>
  <c r="AM74" i="30" s="1"/>
  <c r="AL47" i="30"/>
  <c r="AL74" i="30" s="1"/>
  <c r="AK47" i="30"/>
  <c r="AK74" i="30" s="1"/>
  <c r="AJ47" i="30"/>
  <c r="AJ74" i="30" s="1"/>
  <c r="AI47" i="30"/>
  <c r="AI74" i="30" s="1"/>
  <c r="AH47" i="30"/>
  <c r="AH62" i="30" s="1"/>
  <c r="AG47" i="30"/>
  <c r="AG74" i="30" s="1"/>
  <c r="AF47" i="30"/>
  <c r="AF74" i="30" s="1"/>
  <c r="AE47" i="30"/>
  <c r="AE74" i="30" s="1"/>
  <c r="AD47" i="30"/>
  <c r="AD74" i="30" s="1"/>
  <c r="AC47" i="30"/>
  <c r="AC74" i="30" s="1"/>
  <c r="AB47" i="30"/>
  <c r="AB74" i="30" s="1"/>
  <c r="AA47" i="30"/>
  <c r="AA74" i="30" s="1"/>
  <c r="Z47" i="30"/>
  <c r="Z62" i="30" s="1"/>
  <c r="Y47" i="30"/>
  <c r="Y74" i="30" s="1"/>
  <c r="X47" i="30"/>
  <c r="X74" i="30" s="1"/>
  <c r="W47" i="30"/>
  <c r="W74" i="30" s="1"/>
  <c r="V47" i="30"/>
  <c r="V74" i="30" s="1"/>
  <c r="U47" i="30"/>
  <c r="U74" i="30" s="1"/>
  <c r="T47" i="30"/>
  <c r="T74" i="30" s="1"/>
  <c r="S47" i="30"/>
  <c r="S74" i="30" s="1"/>
  <c r="R47" i="30"/>
  <c r="R62" i="30" s="1"/>
  <c r="Q47" i="30"/>
  <c r="Q74" i="30" s="1"/>
  <c r="P47" i="30"/>
  <c r="P74" i="30" s="1"/>
  <c r="O47" i="30"/>
  <c r="O74" i="30" s="1"/>
  <c r="N47" i="30"/>
  <c r="N74" i="30" s="1"/>
  <c r="M47" i="30"/>
  <c r="M74" i="30" s="1"/>
  <c r="L47" i="30"/>
  <c r="L74" i="30" s="1"/>
  <c r="K47" i="30"/>
  <c r="K74" i="30" s="1"/>
  <c r="J47" i="30"/>
  <c r="J62" i="30" s="1"/>
  <c r="I47" i="30"/>
  <c r="I74" i="30" s="1"/>
  <c r="H47" i="30"/>
  <c r="H74" i="30" s="1"/>
  <c r="G47" i="30"/>
  <c r="G74" i="30" s="1"/>
  <c r="F47" i="30"/>
  <c r="F74" i="30" s="1"/>
  <c r="E47" i="30"/>
  <c r="E74" i="30" s="1"/>
  <c r="D47" i="30"/>
  <c r="D74" i="30" s="1"/>
  <c r="C47" i="30"/>
  <c r="C74" i="30" s="1"/>
  <c r="AQ42" i="30"/>
  <c r="AS38" i="30"/>
  <c r="AR38" i="30"/>
  <c r="AQ38" i="30"/>
  <c r="AP38" i="30"/>
  <c r="AO3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W28" i="30"/>
  <c r="V28" i="30"/>
  <c r="U28" i="30"/>
  <c r="T28" i="30"/>
  <c r="S28" i="30"/>
  <c r="AS23" i="30"/>
  <c r="AR23" i="30"/>
  <c r="AP23" i="30"/>
  <c r="AO23" i="30"/>
  <c r="AN23" i="30"/>
  <c r="AM23" i="30"/>
  <c r="AL23" i="30"/>
  <c r="AK23" i="30"/>
  <c r="AH23" i="30"/>
  <c r="Z23" i="30"/>
  <c r="Y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AC21" i="30"/>
  <c r="AQ20" i="30"/>
  <c r="AQ50" i="30" s="1"/>
  <c r="AQ65" i="30" s="1"/>
  <c r="AJ20" i="30"/>
  <c r="AJ23" i="30" s="1"/>
  <c r="AI20" i="30"/>
  <c r="AI23" i="30" s="1"/>
  <c r="AG20" i="30"/>
  <c r="AG23" i="30" s="1"/>
  <c r="AE20" i="30"/>
  <c r="AE23" i="30" s="1"/>
  <c r="AD20" i="30"/>
  <c r="AD23" i="30" s="1"/>
  <c r="AC20" i="30"/>
  <c r="AC50" i="30" s="1"/>
  <c r="AC64" i="30" s="1"/>
  <c r="X20" i="30"/>
  <c r="W20" i="30"/>
  <c r="W23" i="30" s="1"/>
  <c r="V20" i="30"/>
  <c r="V23" i="30" s="1"/>
  <c r="U20" i="30"/>
  <c r="U23" i="30" s="1"/>
  <c r="T20" i="30"/>
  <c r="X14" i="30"/>
  <c r="W14" i="30"/>
  <c r="V14" i="30"/>
  <c r="U14" i="30"/>
  <c r="T14" i="30"/>
  <c r="S14" i="30"/>
  <c r="R14" i="30"/>
  <c r="AS9" i="30"/>
  <c r="AR9" i="30"/>
  <c r="AQ9" i="30"/>
  <c r="AP9" i="30"/>
  <c r="AO9" i="30"/>
  <c r="AN9" i="30"/>
  <c r="AM9" i="30"/>
  <c r="AL9" i="30"/>
  <c r="AJ9" i="30"/>
  <c r="AH9" i="30"/>
  <c r="AG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AK6" i="30"/>
  <c r="AI6" i="30"/>
  <c r="AS64" i="7"/>
  <c r="AR64" i="7"/>
  <c r="AQ64" i="7"/>
  <c r="AP64" i="7"/>
  <c r="AS63" i="7"/>
  <c r="AQ63" i="7"/>
  <c r="AP63" i="7"/>
  <c r="AL63" i="7"/>
  <c r="AK63" i="7"/>
  <c r="AJ63" i="7"/>
  <c r="AH63" i="7"/>
  <c r="AG63" i="7"/>
  <c r="AF63" i="7"/>
  <c r="AD63" i="7"/>
  <c r="AC63" i="7"/>
  <c r="AB63" i="7"/>
  <c r="AA63" i="7"/>
  <c r="Z63" i="7"/>
  <c r="S63" i="7"/>
  <c r="R63" i="7"/>
  <c r="Q63" i="7"/>
  <c r="P63" i="7"/>
  <c r="O63" i="7"/>
  <c r="N63" i="7"/>
  <c r="M63" i="7"/>
  <c r="L63" i="7"/>
  <c r="AS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X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B61" i="7"/>
  <c r="Z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AS60" i="7"/>
  <c r="AR60" i="7"/>
  <c r="AQ60" i="7"/>
  <c r="AP60" i="7"/>
  <c r="AO60" i="7"/>
  <c r="AN60" i="7"/>
  <c r="AM60" i="7"/>
  <c r="AL60" i="7"/>
  <c r="AK60" i="7"/>
  <c r="AJ60" i="7"/>
  <c r="AI60" i="7"/>
  <c r="AF60" i="7"/>
  <c r="AF65" i="7" s="1"/>
  <c r="AF66" i="7" s="1"/>
  <c r="AC60" i="7"/>
  <c r="AB60" i="7"/>
  <c r="Z60" i="7"/>
  <c r="Z55" i="7"/>
  <c r="S55" i="7"/>
  <c r="O55" i="7"/>
  <c r="T52" i="7"/>
  <c r="T54" i="7" s="1"/>
  <c r="Y50" i="7"/>
  <c r="X50" i="7"/>
  <c r="W50" i="7"/>
  <c r="V50" i="7"/>
  <c r="U50" i="7"/>
  <c r="U54" i="7" s="1"/>
  <c r="AO49" i="7"/>
  <c r="AO54" i="7" s="1"/>
  <c r="AO64" i="7" s="1"/>
  <c r="Y49" i="7"/>
  <c r="X49" i="7"/>
  <c r="W49" i="7"/>
  <c r="V49" i="7"/>
  <c r="U49" i="7"/>
  <c r="AA43" i="7"/>
  <c r="Z43" i="7"/>
  <c r="S43" i="7"/>
  <c r="S44" i="7" s="1"/>
  <c r="O43" i="7"/>
  <c r="L44" i="7" s="1"/>
  <c r="AR42" i="7"/>
  <c r="AR63" i="7" s="1"/>
  <c r="AO42" i="7"/>
  <c r="AO63" i="7" s="1"/>
  <c r="AN42" i="7"/>
  <c r="AE42" i="7"/>
  <c r="AE63" i="7" s="1"/>
  <c r="AJ41" i="7"/>
  <c r="T40" i="7"/>
  <c r="T42" i="7" s="1"/>
  <c r="T63" i="7" s="1"/>
  <c r="AK38" i="7"/>
  <c r="AI38" i="7"/>
  <c r="AG38" i="7"/>
  <c r="AC38" i="7"/>
  <c r="Y38" i="7"/>
  <c r="X38" i="7"/>
  <c r="W38" i="7"/>
  <c r="V38" i="7"/>
  <c r="U38" i="7"/>
  <c r="AK37" i="7"/>
  <c r="AI37" i="7"/>
  <c r="AG37" i="7"/>
  <c r="AC37" i="7"/>
  <c r="Y37" i="7"/>
  <c r="X37" i="7"/>
  <c r="W37" i="7"/>
  <c r="V37" i="7"/>
  <c r="U37" i="7"/>
  <c r="S32" i="7"/>
  <c r="S33" i="7" s="1"/>
  <c r="O32" i="7"/>
  <c r="O33" i="7" s="1"/>
  <c r="AI31" i="7"/>
  <c r="AI62" i="7" s="1"/>
  <c r="W31" i="7"/>
  <c r="W62" i="7" s="1"/>
  <c r="V31" i="7"/>
  <c r="V62" i="7" s="1"/>
  <c r="U27" i="7"/>
  <c r="AM21" i="7"/>
  <c r="AI21" i="7"/>
  <c r="S21" i="7"/>
  <c r="S22" i="7" s="1"/>
  <c r="O21" i="7"/>
  <c r="O22" i="7" s="1"/>
  <c r="H21" i="7"/>
  <c r="D21" i="7"/>
  <c r="AE20" i="7"/>
  <c r="AE61" i="7" s="1"/>
  <c r="AA20" i="7"/>
  <c r="AA61" i="7" s="1"/>
  <c r="Y20" i="7"/>
  <c r="Y61" i="7" s="1"/>
  <c r="AJ19" i="7"/>
  <c r="AK16" i="7"/>
  <c r="AI16" i="7"/>
  <c r="AG16" i="7"/>
  <c r="AD16" i="7"/>
  <c r="AC16" i="7"/>
  <c r="X16" i="7"/>
  <c r="W16" i="7"/>
  <c r="V16" i="7"/>
  <c r="U16" i="7"/>
  <c r="AK15" i="7"/>
  <c r="AI15" i="7"/>
  <c r="AG15" i="7"/>
  <c r="AD15" i="7"/>
  <c r="AC15" i="7"/>
  <c r="X15" i="7"/>
  <c r="W15" i="7"/>
  <c r="V15" i="7"/>
  <c r="U15" i="7"/>
  <c r="AM10" i="7"/>
  <c r="AH9" i="7"/>
  <c r="AG9" i="7"/>
  <c r="AG60" i="7" s="1"/>
  <c r="AE9" i="7"/>
  <c r="AE60" i="7" s="1"/>
  <c r="AD9" i="7"/>
  <c r="AA9" i="7"/>
  <c r="AA60" i="7" s="1"/>
  <c r="Y9" i="7"/>
  <c r="Y60" i="7" s="1"/>
  <c r="X9" i="7"/>
  <c r="X60" i="7" s="1"/>
  <c r="V9" i="7"/>
  <c r="V60" i="7" s="1"/>
  <c r="U9" i="7"/>
  <c r="U60" i="7" s="1"/>
  <c r="S9" i="7"/>
  <c r="S60" i="7" s="1"/>
  <c r="R9" i="7"/>
  <c r="R60" i="7" s="1"/>
  <c r="Q9" i="7"/>
  <c r="Q60" i="7" s="1"/>
  <c r="O9" i="7"/>
  <c r="O60" i="7" s="1"/>
  <c r="N9" i="7"/>
  <c r="N60" i="7" s="1"/>
  <c r="M9" i="7"/>
  <c r="L9" i="7"/>
  <c r="L60" i="7" s="1"/>
  <c r="K9" i="7"/>
  <c r="K60" i="7" s="1"/>
  <c r="J9" i="7"/>
  <c r="J60" i="7" s="1"/>
  <c r="I9" i="7"/>
  <c r="I60" i="7" s="1"/>
  <c r="H9" i="7"/>
  <c r="H60" i="7" s="1"/>
  <c r="G9" i="7"/>
  <c r="G60" i="7" s="1"/>
  <c r="F9" i="7"/>
  <c r="F60" i="7" s="1"/>
  <c r="E9" i="7"/>
  <c r="E60" i="7" s="1"/>
  <c r="D9" i="7"/>
  <c r="D60" i="7" s="1"/>
  <c r="C9" i="7"/>
  <c r="C60" i="7" s="1"/>
  <c r="AK8" i="7"/>
  <c r="AJ8" i="7"/>
  <c r="W8" i="7"/>
  <c r="W9" i="7" s="1"/>
  <c r="W60" i="7" s="1"/>
  <c r="AI7" i="7"/>
  <c r="T7" i="7"/>
  <c r="T6" i="7"/>
  <c r="K5" i="7"/>
  <c r="J5" i="7"/>
  <c r="I5" i="7"/>
  <c r="H5" i="7"/>
  <c r="G5" i="7"/>
  <c r="F5" i="7"/>
  <c r="D5" i="7"/>
  <c r="C5" i="7"/>
  <c r="P4" i="7"/>
  <c r="P9" i="7" s="1"/>
  <c r="K4" i="7"/>
  <c r="J4" i="7"/>
  <c r="I4" i="7"/>
  <c r="H4" i="7"/>
  <c r="G4" i="7"/>
  <c r="F4" i="7"/>
  <c r="E4" i="7"/>
  <c r="D4" i="7"/>
  <c r="C4" i="7"/>
  <c r="K83" i="1"/>
  <c r="J83" i="1"/>
  <c r="I83" i="1"/>
  <c r="H83" i="1"/>
  <c r="G83" i="1"/>
  <c r="F83" i="1"/>
  <c r="E83" i="1"/>
  <c r="D83" i="1"/>
  <c r="C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AS81" i="1"/>
  <c r="AR81" i="1"/>
  <c r="AQ81" i="1"/>
  <c r="AP81" i="1"/>
  <c r="AO81" i="1"/>
  <c r="AN81" i="1"/>
  <c r="AL81" i="1"/>
  <c r="AK81" i="1"/>
  <c r="AJ81" i="1"/>
  <c r="AI81" i="1"/>
  <c r="AH81" i="1"/>
  <c r="AG81" i="1"/>
  <c r="AF81" i="1"/>
  <c r="AE81" i="1"/>
  <c r="AD81" i="1"/>
  <c r="AC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C78" i="1"/>
  <c r="AB78" i="1"/>
  <c r="AA78" i="1"/>
  <c r="Z78" i="1"/>
  <c r="Y78" i="1"/>
  <c r="W78" i="1"/>
  <c r="V78" i="1"/>
  <c r="U78" i="1"/>
  <c r="T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S62" i="1"/>
  <c r="AR62" i="1"/>
  <c r="AQ62" i="1"/>
  <c r="AP62" i="1"/>
  <c r="AO62" i="1"/>
  <c r="AS59" i="1"/>
  <c r="AR59" i="1"/>
  <c r="AQ59" i="1"/>
  <c r="AP59" i="1"/>
  <c r="AO59" i="1"/>
  <c r="M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AS48" i="1"/>
  <c r="AR48" i="1"/>
  <c r="AQ48" i="1"/>
  <c r="AQ52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Q48" i="1"/>
  <c r="P48" i="1"/>
  <c r="S46" i="1"/>
  <c r="S78" i="1" s="1"/>
  <c r="S39" i="1"/>
  <c r="AS38" i="1"/>
  <c r="AS39" i="1" s="1"/>
  <c r="AR38" i="1"/>
  <c r="AQ38" i="1"/>
  <c r="AQ39" i="1" s="1"/>
  <c r="AP38" i="1"/>
  <c r="AP39" i="1" s="1"/>
  <c r="AO38" i="1"/>
  <c r="AO39" i="1" s="1"/>
  <c r="AN38" i="1"/>
  <c r="AN39" i="1" s="1"/>
  <c r="AM38" i="1"/>
  <c r="AM39" i="1" s="1"/>
  <c r="AL38" i="1"/>
  <c r="AL39" i="1" s="1"/>
  <c r="AK38" i="1"/>
  <c r="AK39" i="1" s="1"/>
  <c r="AJ38" i="1"/>
  <c r="AJ39" i="1" s="1"/>
  <c r="AI38" i="1"/>
  <c r="AI39" i="1" s="1"/>
  <c r="AH38" i="1"/>
  <c r="AH39" i="1" s="1"/>
  <c r="AG38" i="1"/>
  <c r="AG39" i="1" s="1"/>
  <c r="AF38" i="1"/>
  <c r="AF39" i="1" s="1"/>
  <c r="AE38" i="1"/>
  <c r="AE39" i="1" s="1"/>
  <c r="AD38" i="1"/>
  <c r="AD39" i="1" s="1"/>
  <c r="AC38" i="1"/>
  <c r="AC39" i="1" s="1"/>
  <c r="AB38" i="1"/>
  <c r="AB39" i="1" s="1"/>
  <c r="AA38" i="1"/>
  <c r="AA39" i="1" s="1"/>
  <c r="Z38" i="1"/>
  <c r="Z39" i="1" s="1"/>
  <c r="Y38" i="1"/>
  <c r="Y39" i="1" s="1"/>
  <c r="W38" i="1"/>
  <c r="W39" i="1" s="1"/>
  <c r="V38" i="1"/>
  <c r="V39" i="1" s="1"/>
  <c r="U38" i="1"/>
  <c r="U39" i="1" s="1"/>
  <c r="T38" i="1"/>
  <c r="T39" i="1" s="1"/>
  <c r="R38" i="1"/>
  <c r="R39" i="1" s="1"/>
  <c r="Q38" i="1"/>
  <c r="Q39" i="1" s="1"/>
  <c r="P38" i="1"/>
  <c r="P39" i="1" s="1"/>
  <c r="N38" i="1"/>
  <c r="N39" i="1" s="1"/>
  <c r="M38" i="1"/>
  <c r="M39" i="1" s="1"/>
  <c r="L38" i="1"/>
  <c r="L39" i="1" s="1"/>
  <c r="X36" i="1"/>
  <c r="X38" i="1" s="1"/>
  <c r="X39" i="1" s="1"/>
  <c r="AM81" i="1"/>
  <c r="K26" i="1"/>
  <c r="J26" i="1"/>
  <c r="I26" i="1"/>
  <c r="H26" i="1"/>
  <c r="G26" i="1"/>
  <c r="F26" i="1"/>
  <c r="E26" i="1"/>
  <c r="D26" i="1"/>
  <c r="C26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S21" i="1"/>
  <c r="AR21" i="1"/>
  <c r="AR26" i="1" s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A26" i="1" s="1"/>
  <c r="Z21" i="1"/>
  <c r="Y21" i="1"/>
  <c r="X21" i="1"/>
  <c r="W21" i="1"/>
  <c r="V21" i="1"/>
  <c r="U21" i="1"/>
  <c r="T21" i="1"/>
  <c r="S21" i="1"/>
  <c r="R21" i="1"/>
  <c r="Q21" i="1"/>
  <c r="P21" i="1"/>
  <c r="O21" i="1"/>
  <c r="O80" i="1" s="1"/>
  <c r="N21" i="1"/>
  <c r="N80" i="1" s="1"/>
  <c r="M21" i="1"/>
  <c r="M26" i="1" s="1"/>
  <c r="L21" i="1"/>
  <c r="O11" i="1"/>
  <c r="K11" i="1"/>
  <c r="J11" i="1"/>
  <c r="I11" i="1"/>
  <c r="H11" i="1"/>
  <c r="G11" i="1"/>
  <c r="F11" i="1"/>
  <c r="E11" i="1"/>
  <c r="D11" i="1"/>
  <c r="C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A10" i="1"/>
  <c r="Z10" i="1"/>
  <c r="Y10" i="1"/>
  <c r="W10" i="1"/>
  <c r="V10" i="1"/>
  <c r="U10" i="1"/>
  <c r="T10" i="1"/>
  <c r="S10" i="1"/>
  <c r="R10" i="1"/>
  <c r="Q10" i="1"/>
  <c r="P10" i="1"/>
  <c r="N10" i="1"/>
  <c r="L10" i="1"/>
  <c r="AB8" i="1"/>
  <c r="AB81" i="1" s="1"/>
  <c r="X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C7" i="1"/>
  <c r="AB7" i="1"/>
  <c r="AA7" i="1"/>
  <c r="Z7" i="1"/>
  <c r="Y7" i="1"/>
  <c r="W7" i="1"/>
  <c r="W11" i="1" s="1"/>
  <c r="V7" i="1"/>
  <c r="U7" i="1"/>
  <c r="T7" i="1"/>
  <c r="S7" i="1"/>
  <c r="R7" i="1"/>
  <c r="Q7" i="1"/>
  <c r="P7" i="1"/>
  <c r="M7" i="1"/>
  <c r="M11" i="1" s="1"/>
  <c r="L7" i="1"/>
  <c r="L80" i="1" s="1"/>
  <c r="X6" i="1"/>
  <c r="X79" i="1" s="1"/>
  <c r="AD5" i="1"/>
  <c r="AD7" i="1" s="1"/>
  <c r="X5" i="1"/>
  <c r="X78" i="1" s="1"/>
  <c r="AG7" i="37"/>
  <c r="AF7" i="37"/>
  <c r="AE7" i="37"/>
  <c r="T81" i="40"/>
  <c r="S81" i="40"/>
  <c r="R81" i="40"/>
  <c r="T80" i="40"/>
  <c r="S80" i="40"/>
  <c r="R80" i="40"/>
  <c r="T79" i="40"/>
  <c r="S79" i="40"/>
  <c r="R79" i="40"/>
  <c r="Q79" i="40"/>
  <c r="T74" i="40"/>
  <c r="S74" i="40"/>
  <c r="R74" i="40"/>
  <c r="T73" i="40"/>
  <c r="S73" i="40"/>
  <c r="R73" i="40"/>
  <c r="Q72" i="40"/>
  <c r="Q71" i="40"/>
  <c r="Q80" i="40" s="1"/>
  <c r="Q66" i="40"/>
  <c r="T65" i="40"/>
  <c r="S65" i="40"/>
  <c r="R65" i="40"/>
  <c r="Q65" i="40"/>
  <c r="T58" i="40"/>
  <c r="S58" i="40"/>
  <c r="R58" i="40"/>
  <c r="Q58" i="40"/>
  <c r="T57" i="40"/>
  <c r="S57" i="40"/>
  <c r="R57" i="40"/>
  <c r="Q57" i="40"/>
  <c r="S50" i="40"/>
  <c r="R50" i="40"/>
  <c r="Q50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B49" i="40"/>
  <c r="T42" i="40"/>
  <c r="S42" i="40"/>
  <c r="R42" i="40"/>
  <c r="Q42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B41" i="40"/>
  <c r="B35" i="40"/>
  <c r="D30" i="40"/>
  <c r="C30" i="40"/>
  <c r="F29" i="40"/>
  <c r="E29" i="40"/>
  <c r="F28" i="40"/>
  <c r="E28" i="40"/>
  <c r="F27" i="40"/>
  <c r="B27" i="40"/>
  <c r="B21" i="40"/>
  <c r="B18" i="40"/>
  <c r="D16" i="40"/>
  <c r="B16" i="40"/>
  <c r="F15" i="40"/>
  <c r="E15" i="40"/>
  <c r="F14" i="40"/>
  <c r="E14" i="40"/>
  <c r="C13" i="40"/>
  <c r="E13" i="40" s="1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R8" i="40"/>
  <c r="P8" i="40"/>
  <c r="O8" i="40"/>
  <c r="N8" i="40"/>
  <c r="M8" i="40"/>
  <c r="K8" i="40"/>
  <c r="J8" i="40"/>
  <c r="I8" i="40"/>
  <c r="H8" i="40"/>
  <c r="G8" i="40"/>
  <c r="E8" i="40"/>
  <c r="D8" i="40"/>
  <c r="C8" i="40"/>
  <c r="B8" i="40"/>
  <c r="R6" i="40"/>
  <c r="R7" i="40" s="1"/>
  <c r="P6" i="40"/>
  <c r="P7" i="40" s="1"/>
  <c r="O6" i="40"/>
  <c r="O7" i="40" s="1"/>
  <c r="N6" i="40"/>
  <c r="N7" i="40" s="1"/>
  <c r="M6" i="40"/>
  <c r="M7" i="40" s="1"/>
  <c r="K6" i="40"/>
  <c r="K7" i="40" s="1"/>
  <c r="J6" i="40"/>
  <c r="J7" i="40" s="1"/>
  <c r="I6" i="40"/>
  <c r="I7" i="40" s="1"/>
  <c r="H6" i="40"/>
  <c r="H7" i="40" s="1"/>
  <c r="G6" i="40"/>
  <c r="G7" i="40" s="1"/>
  <c r="E6" i="40"/>
  <c r="E7" i="40" s="1"/>
  <c r="D6" i="40"/>
  <c r="D7" i="40" s="1"/>
  <c r="C6" i="40"/>
  <c r="C7" i="40" s="1"/>
  <c r="B6" i="40"/>
  <c r="B7" i="40" s="1"/>
  <c r="E5" i="40"/>
  <c r="D5" i="40"/>
  <c r="C5" i="40"/>
  <c r="F4" i="40"/>
  <c r="F8" i="40" s="1"/>
  <c r="T9" i="7"/>
  <c r="T60" i="7" s="1"/>
  <c r="AD60" i="7"/>
  <c r="AB10" i="1"/>
  <c r="M60" i="7"/>
  <c r="AE11" i="7"/>
  <c r="AK9" i="30"/>
  <c r="T23" i="30"/>
  <c r="X23" i="30"/>
  <c r="T50" i="30"/>
  <c r="T64" i="30" s="1"/>
  <c r="X50" i="30"/>
  <c r="X76" i="30" s="1"/>
  <c r="AR76" i="30"/>
  <c r="AC51" i="30"/>
  <c r="AC77" i="30" s="1"/>
  <c r="AS66" i="30"/>
  <c r="H78" i="30"/>
  <c r="R66" i="30"/>
  <c r="Z66" i="30"/>
  <c r="AL78" i="30"/>
  <c r="S80" i="30"/>
  <c r="W80" i="30"/>
  <c r="W69" i="30"/>
  <c r="Y69" i="30"/>
  <c r="AA80" i="30"/>
  <c r="AA69" i="30"/>
  <c r="AE80" i="30"/>
  <c r="AE69" i="30"/>
  <c r="AI80" i="30"/>
  <c r="AI69" i="30"/>
  <c r="AM80" i="30"/>
  <c r="AM69" i="30"/>
  <c r="AQ80" i="30"/>
  <c r="AQ69" i="30"/>
  <c r="M81" i="30"/>
  <c r="M70" i="30"/>
  <c r="Q81" i="30"/>
  <c r="Q70" i="30"/>
  <c r="U81" i="30"/>
  <c r="U70" i="30"/>
  <c r="Y81" i="30"/>
  <c r="Y70" i="30"/>
  <c r="AA70" i="30"/>
  <c r="AC81" i="30"/>
  <c r="AC70" i="30"/>
  <c r="AG81" i="30"/>
  <c r="AG70" i="30"/>
  <c r="AK81" i="30"/>
  <c r="AK70" i="30"/>
  <c r="AM70" i="30"/>
  <c r="AO81" i="30"/>
  <c r="AO70" i="30"/>
  <c r="AS81" i="30"/>
  <c r="AS70" i="30"/>
  <c r="O82" i="30"/>
  <c r="O71" i="30"/>
  <c r="S82" i="30"/>
  <c r="S71" i="30"/>
  <c r="W82" i="30"/>
  <c r="W71" i="30"/>
  <c r="AA82" i="30"/>
  <c r="AA71" i="30"/>
  <c r="AE82" i="30"/>
  <c r="AE71" i="30"/>
  <c r="AI82" i="30"/>
  <c r="AI71" i="30"/>
  <c r="AM82" i="30"/>
  <c r="AM71" i="30"/>
  <c r="AO71" i="30"/>
  <c r="AQ82" i="30"/>
  <c r="AQ71" i="30"/>
  <c r="D62" i="30"/>
  <c r="H62" i="30"/>
  <c r="AF62" i="30"/>
  <c r="AR62" i="30"/>
  <c r="AL63" i="30"/>
  <c r="J64" i="30"/>
  <c r="AB64" i="30"/>
  <c r="AH64" i="30"/>
  <c r="AN64" i="30"/>
  <c r="AR64" i="30"/>
  <c r="C65" i="30"/>
  <c r="Q65" i="30"/>
  <c r="AK65" i="30"/>
  <c r="U50" i="30"/>
  <c r="U64" i="30" s="1"/>
  <c r="AK50" i="30"/>
  <c r="AK76" i="30" s="1"/>
  <c r="AN66" i="30"/>
  <c r="AR66" i="30"/>
  <c r="E78" i="30"/>
  <c r="G66" i="30"/>
  <c r="M78" i="30"/>
  <c r="U78" i="30"/>
  <c r="U66" i="30"/>
  <c r="AC78" i="30"/>
  <c r="AC66" i="30"/>
  <c r="AK78" i="30"/>
  <c r="AK66" i="30"/>
  <c r="P80" i="30"/>
  <c r="T80" i="30"/>
  <c r="R81" i="30"/>
  <c r="AD81" i="30"/>
  <c r="AN81" i="30"/>
  <c r="N82" i="30"/>
  <c r="Z82" i="30"/>
  <c r="AJ82" i="30"/>
  <c r="AS62" i="30"/>
  <c r="I64" i="30"/>
  <c r="M64" i="30"/>
  <c r="F65" i="30"/>
  <c r="L65" i="30"/>
  <c r="R65" i="30"/>
  <c r="T65" i="30"/>
  <c r="Z65" i="30"/>
  <c r="AD65" i="30"/>
  <c r="AJ65" i="30"/>
  <c r="U121" i="30"/>
  <c r="T94" i="30"/>
  <c r="M111" i="30"/>
  <c r="M119" i="30" s="1"/>
  <c r="AE111" i="30"/>
  <c r="AE119" i="30" s="1"/>
  <c r="V112" i="30"/>
  <c r="V130" i="30" s="1"/>
  <c r="AF130" i="30"/>
  <c r="AH130" i="30"/>
  <c r="AH120" i="30"/>
  <c r="AM130" i="30"/>
  <c r="AM120" i="30"/>
  <c r="AO130" i="30"/>
  <c r="AO120" i="30"/>
  <c r="AS130" i="30"/>
  <c r="M131" i="30"/>
  <c r="M121" i="30"/>
  <c r="Q131" i="30"/>
  <c r="Q121" i="30"/>
  <c r="S121" i="30"/>
  <c r="AN131" i="30"/>
  <c r="N117" i="30"/>
  <c r="Z117" i="30"/>
  <c r="AD117" i="30"/>
  <c r="AH117" i="30"/>
  <c r="M118" i="30"/>
  <c r="AA118" i="30"/>
  <c r="AL118" i="30"/>
  <c r="AF119" i="30"/>
  <c r="AQ119" i="30"/>
  <c r="U131" i="30"/>
  <c r="AJ111" i="30"/>
  <c r="AJ119" i="30" s="1"/>
  <c r="M130" i="30"/>
  <c r="M120" i="30"/>
  <c r="O130" i="30"/>
  <c r="U112" i="30"/>
  <c r="Y112" i="30"/>
  <c r="Y120" i="30" s="1"/>
  <c r="AA112" i="30"/>
  <c r="AA130" i="30" s="1"/>
  <c r="AN130" i="30"/>
  <c r="R131" i="30"/>
  <c r="Z131" i="30"/>
  <c r="Z121" i="30"/>
  <c r="AD131" i="30"/>
  <c r="AD121" i="30"/>
  <c r="AH121" i="30"/>
  <c r="AM131" i="30"/>
  <c r="AM121" i="30"/>
  <c r="AQ131" i="30"/>
  <c r="AQ121" i="30"/>
  <c r="AS131" i="30"/>
  <c r="AS121" i="30"/>
  <c r="S117" i="30"/>
  <c r="W117" i="30"/>
  <c r="Y117" i="30"/>
  <c r="AG117" i="30"/>
  <c r="AI117" i="30"/>
  <c r="P118" i="30"/>
  <c r="U76" i="30"/>
  <c r="AA131" i="30" l="1"/>
  <c r="AS118" i="30"/>
  <c r="T118" i="30"/>
  <c r="C65" i="7"/>
  <c r="S81" i="30"/>
  <c r="W42" i="7"/>
  <c r="W63" i="7" s="1"/>
  <c r="AR59" i="30"/>
  <c r="V11" i="1"/>
  <c r="J85" i="1"/>
  <c r="K85" i="1"/>
  <c r="S83" i="40"/>
  <c r="W83" i="40"/>
  <c r="AI50" i="30"/>
  <c r="AI76" i="30" s="1"/>
  <c r="V54" i="7"/>
  <c r="AN129" i="30"/>
  <c r="U42" i="7"/>
  <c r="U63" i="7" s="1"/>
  <c r="AE59" i="30"/>
  <c r="S78" i="30"/>
  <c r="AI70" i="30"/>
  <c r="O121" i="30"/>
  <c r="AC41" i="7"/>
  <c r="AO121" i="30"/>
  <c r="AK82" i="30"/>
  <c r="C16" i="40"/>
  <c r="AI42" i="7"/>
  <c r="AI63" i="7" s="1"/>
  <c r="AU52" i="1"/>
  <c r="V118" i="30"/>
  <c r="M71" i="30"/>
  <c r="Y11" i="1"/>
  <c r="X82" i="40"/>
  <c r="AE66" i="30"/>
  <c r="T83" i="40"/>
  <c r="AD52" i="1"/>
  <c r="U69" i="30"/>
  <c r="AB11" i="1"/>
  <c r="AL52" i="1"/>
  <c r="AS65" i="7"/>
  <c r="AS72" i="7" s="1"/>
  <c r="AS129" i="30"/>
  <c r="AJ120" i="30"/>
  <c r="W81" i="30"/>
  <c r="AC26" i="1"/>
  <c r="AN53" i="30"/>
  <c r="R112" i="30"/>
  <c r="R130" i="30" s="1"/>
  <c r="AG69" i="30"/>
  <c r="R83" i="40"/>
  <c r="X42" i="7"/>
  <c r="X63" i="7" s="1"/>
  <c r="Y111" i="30"/>
  <c r="Y129" i="30" s="1"/>
  <c r="W19" i="7"/>
  <c r="W20" i="7" s="1"/>
  <c r="AF128" i="30"/>
  <c r="L33" i="7"/>
  <c r="O65" i="7"/>
  <c r="O72" i="7" s="1"/>
  <c r="Y54" i="7"/>
  <c r="W54" i="7"/>
  <c r="D65" i="7"/>
  <c r="D73" i="7" s="1"/>
  <c r="AL65" i="7"/>
  <c r="AL73" i="7" s="1"/>
  <c r="AK65" i="7"/>
  <c r="M22" i="7"/>
  <c r="AA10" i="7"/>
  <c r="AE10" i="7"/>
  <c r="V42" i="7"/>
  <c r="V63" i="7" s="1"/>
  <c r="AM65" i="7"/>
  <c r="AM74" i="7" s="1"/>
  <c r="AE65" i="7"/>
  <c r="AE66" i="7" s="1"/>
  <c r="C72" i="7"/>
  <c r="C73" i="7"/>
  <c r="AB117" i="30"/>
  <c r="M44" i="7"/>
  <c r="AD78" i="1"/>
  <c r="N83" i="1"/>
  <c r="J87" i="1"/>
  <c r="T52" i="1"/>
  <c r="O44" i="7"/>
  <c r="AF72" i="7"/>
  <c r="J65" i="7"/>
  <c r="J73" i="7" s="1"/>
  <c r="AJ65" i="7"/>
  <c r="AJ72" i="7" s="1"/>
  <c r="U65" i="30"/>
  <c r="AG82" i="30"/>
  <c r="AE70" i="30"/>
  <c r="AC69" i="30"/>
  <c r="P78" i="30"/>
  <c r="L26" i="1"/>
  <c r="M83" i="1"/>
  <c r="Q52" i="1"/>
  <c r="AP63" i="1"/>
  <c r="U82" i="40"/>
  <c r="X83" i="40"/>
  <c r="AE81" i="30"/>
  <c r="Y82" i="40"/>
  <c r="AD120" i="30"/>
  <c r="AQ120" i="30"/>
  <c r="V65" i="30"/>
  <c r="C78" i="30"/>
  <c r="K65" i="30"/>
  <c r="AS71" i="30"/>
  <c r="AQ70" i="30"/>
  <c r="N44" i="7"/>
  <c r="X7" i="1"/>
  <c r="T82" i="40"/>
  <c r="C68" i="1"/>
  <c r="C70" i="1" s="1"/>
  <c r="X20" i="7"/>
  <c r="X61" i="7" s="1"/>
  <c r="V94" i="30"/>
  <c r="V111" i="30"/>
  <c r="V129" i="30" s="1"/>
  <c r="AC112" i="30"/>
  <c r="AC130" i="30" s="1"/>
  <c r="V82" i="40"/>
  <c r="AV52" i="1"/>
  <c r="Z82" i="40"/>
  <c r="N26" i="1"/>
  <c r="AH59" i="30"/>
  <c r="V83" i="40"/>
  <c r="AA85" i="40"/>
  <c r="R65" i="7"/>
  <c r="R74" i="7" s="1"/>
  <c r="P117" i="30"/>
  <c r="AA66" i="30"/>
  <c r="F6" i="40"/>
  <c r="F7" i="40" s="1"/>
  <c r="F13" i="40"/>
  <c r="S82" i="40"/>
  <c r="R80" i="1"/>
  <c r="AA52" i="1"/>
  <c r="AM52" i="1"/>
  <c r="AK19" i="7"/>
  <c r="AH65" i="30"/>
  <c r="L22" i="7"/>
  <c r="X54" i="7"/>
  <c r="AP65" i="7"/>
  <c r="AG111" i="30"/>
  <c r="AG119" i="30" s="1"/>
  <c r="AA106" i="30"/>
  <c r="Y83" i="40"/>
  <c r="Z85" i="40" s="1"/>
  <c r="V121" i="30"/>
  <c r="AO118" i="30"/>
  <c r="AD80" i="30"/>
  <c r="R82" i="40"/>
  <c r="Y59" i="30"/>
  <c r="AV11" i="1"/>
  <c r="AW65" i="7"/>
  <c r="AW74" i="7" s="1"/>
  <c r="U11" i="1"/>
  <c r="AR65" i="7"/>
  <c r="AR73" i="7" s="1"/>
  <c r="W82" i="40"/>
  <c r="P44" i="7"/>
  <c r="U20" i="7"/>
  <c r="U61" i="7" s="1"/>
  <c r="AM75" i="7"/>
  <c r="AF74" i="7"/>
  <c r="G65" i="7"/>
  <c r="G66" i="7" s="1"/>
  <c r="AN65" i="7"/>
  <c r="AN66" i="7" s="1"/>
  <c r="AB65" i="7"/>
  <c r="AB66" i="7" s="1"/>
  <c r="AO65" i="7"/>
  <c r="AO76" i="7" s="1"/>
  <c r="Z65" i="7"/>
  <c r="Z74" i="7" s="1"/>
  <c r="M33" i="7"/>
  <c r="K65" i="7"/>
  <c r="K72" i="7" s="1"/>
  <c r="N22" i="7"/>
  <c r="H10" i="7"/>
  <c r="V20" i="7"/>
  <c r="V61" i="7" s="1"/>
  <c r="H65" i="7"/>
  <c r="H66" i="7" s="1"/>
  <c r="N65" i="7"/>
  <c r="N74" i="7" s="1"/>
  <c r="Q44" i="7"/>
  <c r="R44" i="7"/>
  <c r="N33" i="7"/>
  <c r="O10" i="7"/>
  <c r="O11" i="7" s="1"/>
  <c r="AC20" i="7"/>
  <c r="AC61" i="7" s="1"/>
  <c r="AC65" i="7" s="1"/>
  <c r="AC75" i="7" s="1"/>
  <c r="Y42" i="7"/>
  <c r="Y63" i="7" s="1"/>
  <c r="AV65" i="7"/>
  <c r="W94" i="30"/>
  <c r="AL119" i="30"/>
  <c r="AD118" i="30"/>
  <c r="AR117" i="30"/>
  <c r="N131" i="30"/>
  <c r="AP118" i="30"/>
  <c r="AO117" i="30"/>
  <c r="AR131" i="30"/>
  <c r="N65" i="30"/>
  <c r="D65" i="30"/>
  <c r="U62" i="30"/>
  <c r="AF82" i="30"/>
  <c r="AP81" i="30"/>
  <c r="V81" i="30"/>
  <c r="AF80" i="30"/>
  <c r="AI65" i="30"/>
  <c r="E65" i="30"/>
  <c r="F64" i="30"/>
  <c r="N78" i="30"/>
  <c r="H77" i="30"/>
  <c r="R120" i="30"/>
  <c r="S128" i="30"/>
  <c r="AT66" i="30"/>
  <c r="AQ118" i="30"/>
  <c r="M117" i="30"/>
  <c r="AI130" i="30"/>
  <c r="S112" i="30"/>
  <c r="S120" i="30" s="1"/>
  <c r="AF117" i="30"/>
  <c r="AE131" i="30"/>
  <c r="AR129" i="30"/>
  <c r="AF65" i="30"/>
  <c r="AR82" i="30"/>
  <c r="T82" i="30"/>
  <c r="AH81" i="30"/>
  <c r="AR80" i="30"/>
  <c r="X80" i="30"/>
  <c r="AS65" i="30"/>
  <c r="R64" i="30"/>
  <c r="AF78" i="30"/>
  <c r="F78" i="30"/>
  <c r="AN65" i="30"/>
  <c r="AG77" i="30"/>
  <c r="V106" i="30"/>
  <c r="P119" i="30"/>
  <c r="P129" i="30"/>
  <c r="L118" i="30"/>
  <c r="T131" i="30"/>
  <c r="AJ117" i="30"/>
  <c r="AN115" i="30"/>
  <c r="Y131" i="30"/>
  <c r="E62" i="30"/>
  <c r="AF81" i="30"/>
  <c r="M65" i="30"/>
  <c r="AH118" i="30"/>
  <c r="O117" i="30"/>
  <c r="AP130" i="30"/>
  <c r="AC118" i="30"/>
  <c r="O118" i="30"/>
  <c r="AG131" i="30"/>
  <c r="AA63" i="30"/>
  <c r="AC62" i="30"/>
  <c r="AL82" i="30"/>
  <c r="AD82" i="30"/>
  <c r="T81" i="30"/>
  <c r="V80" i="30"/>
  <c r="T53" i="30"/>
  <c r="AQ23" i="30"/>
  <c r="W65" i="30"/>
  <c r="L78" i="30"/>
  <c r="D78" i="30"/>
  <c r="P77" i="30"/>
  <c r="Y77" i="30"/>
  <c r="AB77" i="30"/>
  <c r="AO59" i="30"/>
  <c r="Q127" i="30"/>
  <c r="T127" i="30"/>
  <c r="AA127" i="30"/>
  <c r="AC127" i="30"/>
  <c r="AN127" i="30"/>
  <c r="X128" i="30"/>
  <c r="AJ128" i="30"/>
  <c r="AN128" i="30"/>
  <c r="T129" i="30"/>
  <c r="AH129" i="30"/>
  <c r="V120" i="30"/>
  <c r="N118" i="30"/>
  <c r="AH115" i="30"/>
  <c r="AF131" i="30"/>
  <c r="AB131" i="30"/>
  <c r="W112" i="30"/>
  <c r="W120" i="30" s="1"/>
  <c r="AR118" i="30"/>
  <c r="AE118" i="30"/>
  <c r="U118" i="30"/>
  <c r="AR115" i="30"/>
  <c r="X130" i="30"/>
  <c r="L130" i="30"/>
  <c r="AA111" i="30"/>
  <c r="AA119" i="30" s="1"/>
  <c r="Y64" i="30"/>
  <c r="AE63" i="30"/>
  <c r="AG62" i="30"/>
  <c r="I62" i="30"/>
  <c r="V82" i="30"/>
  <c r="AR81" i="30"/>
  <c r="L81" i="30"/>
  <c r="AH80" i="30"/>
  <c r="R80" i="30"/>
  <c r="AB53" i="30"/>
  <c r="O78" i="30"/>
  <c r="AM65" i="30"/>
  <c r="Z63" i="30"/>
  <c r="P62" i="30"/>
  <c r="AC71" i="30"/>
  <c r="Y82" i="30"/>
  <c r="U82" i="30"/>
  <c r="O70" i="30"/>
  <c r="AS80" i="30"/>
  <c r="AO80" i="30"/>
  <c r="Q80" i="30"/>
  <c r="AB78" i="30"/>
  <c r="V50" i="30"/>
  <c r="V64" i="30" s="1"/>
  <c r="T59" i="30"/>
  <c r="X127" i="30"/>
  <c r="AE127" i="30"/>
  <c r="Z128" i="30"/>
  <c r="AB128" i="30"/>
  <c r="AM129" i="30"/>
  <c r="AK64" i="30"/>
  <c r="AM118" i="30"/>
  <c r="AP117" i="30"/>
  <c r="U117" i="30"/>
  <c r="AQ115" i="30"/>
  <c r="P131" i="30"/>
  <c r="AL130" i="30"/>
  <c r="L119" i="30"/>
  <c r="AI118" i="30"/>
  <c r="W118" i="30"/>
  <c r="AQ117" i="30"/>
  <c r="V117" i="30"/>
  <c r="L117" i="30"/>
  <c r="AP131" i="30"/>
  <c r="AC131" i="30"/>
  <c r="N130" i="30"/>
  <c r="AL65" i="30"/>
  <c r="J65" i="30"/>
  <c r="AQ64" i="30"/>
  <c r="AM63" i="30"/>
  <c r="AO62" i="30"/>
  <c r="Q62" i="30"/>
  <c r="AF59" i="30"/>
  <c r="AH82" i="30"/>
  <c r="X82" i="30"/>
  <c r="L82" i="30"/>
  <c r="AJ81" i="30"/>
  <c r="X81" i="30"/>
  <c r="P81" i="30"/>
  <c r="AN80" i="30"/>
  <c r="AB80" i="30"/>
  <c r="AF53" i="30"/>
  <c r="W50" i="30"/>
  <c r="W64" i="30" s="1"/>
  <c r="AA65" i="30"/>
  <c r="S65" i="30"/>
  <c r="I65" i="30"/>
  <c r="N64" i="30"/>
  <c r="AD63" i="30"/>
  <c r="T62" i="30"/>
  <c r="AG59" i="30"/>
  <c r="Q71" i="30"/>
  <c r="AK69" i="30"/>
  <c r="AD78" i="30"/>
  <c r="T78" i="30"/>
  <c r="H53" i="30"/>
  <c r="X77" i="30"/>
  <c r="P112" i="30"/>
  <c r="P130" i="30" s="1"/>
  <c r="L11" i="1"/>
  <c r="X52" i="1"/>
  <c r="AW11" i="1"/>
  <c r="AW52" i="1"/>
  <c r="S48" i="1"/>
  <c r="S52" i="1" s="1"/>
  <c r="U83" i="1"/>
  <c r="AE11" i="1"/>
  <c r="AK26" i="1"/>
  <c r="AO26" i="1"/>
  <c r="AS52" i="1"/>
  <c r="W52" i="1"/>
  <c r="AT63" i="1"/>
  <c r="AX52" i="1"/>
  <c r="Q26" i="1"/>
  <c r="AJ26" i="1"/>
  <c r="AR52" i="1"/>
  <c r="Y52" i="1"/>
  <c r="AR63" i="1"/>
  <c r="AU11" i="1"/>
  <c r="V83" i="1"/>
  <c r="X26" i="1"/>
  <c r="AX11" i="1"/>
  <c r="AG11" i="1"/>
  <c r="AS11" i="1"/>
  <c r="AU26" i="1"/>
  <c r="M85" i="1"/>
  <c r="M87" i="1" s="1"/>
  <c r="M68" i="1"/>
  <c r="AD11" i="1"/>
  <c r="AD80" i="1"/>
  <c r="M80" i="1"/>
  <c r="AC11" i="1"/>
  <c r="AC83" i="1"/>
  <c r="D68" i="1"/>
  <c r="D13" i="1" s="1"/>
  <c r="D102" i="1" s="1"/>
  <c r="AE80" i="1"/>
  <c r="AP11" i="1"/>
  <c r="L83" i="1"/>
  <c r="AF11" i="1"/>
  <c r="AB80" i="1"/>
  <c r="N11" i="1"/>
  <c r="N15" i="1" s="1"/>
  <c r="AK11" i="1"/>
  <c r="P11" i="1"/>
  <c r="P80" i="1"/>
  <c r="C85" i="1"/>
  <c r="C87" i="1" s="1"/>
  <c r="AL11" i="1"/>
  <c r="AM11" i="1"/>
  <c r="V26" i="1"/>
  <c r="AY26" i="1"/>
  <c r="U52" i="1"/>
  <c r="AV63" i="1"/>
  <c r="Y83" i="1"/>
  <c r="F85" i="1"/>
  <c r="F87" i="1" s="1"/>
  <c r="G68" i="1"/>
  <c r="G70" i="1" s="1"/>
  <c r="AT52" i="1"/>
  <c r="AK80" i="1"/>
  <c r="W131" i="30"/>
  <c r="G65" i="30"/>
  <c r="L131" i="30"/>
  <c r="R111" i="30"/>
  <c r="R119" i="30" s="1"/>
  <c r="AE115" i="30"/>
  <c r="S111" i="30"/>
  <c r="S119" i="30" s="1"/>
  <c r="AN59" i="30"/>
  <c r="P53" i="30"/>
  <c r="K66" i="30"/>
  <c r="AD50" i="30"/>
  <c r="AD64" i="30" s="1"/>
  <c r="AM59" i="30"/>
  <c r="AC59" i="30"/>
  <c r="S59" i="30"/>
  <c r="AQ59" i="30"/>
  <c r="AT64" i="30"/>
  <c r="AW59" i="30"/>
  <c r="W63" i="30"/>
  <c r="AO82" i="30"/>
  <c r="AL117" i="30"/>
  <c r="AR130" i="30"/>
  <c r="AM64" i="30"/>
  <c r="AJ59" i="30"/>
  <c r="L53" i="30"/>
  <c r="AO65" i="30"/>
  <c r="L62" i="30"/>
  <c r="J78" i="30"/>
  <c r="Z59" i="30"/>
  <c r="AB129" i="30"/>
  <c r="AP119" i="30"/>
  <c r="AS115" i="30"/>
  <c r="AK62" i="30"/>
  <c r="V63" i="30"/>
  <c r="V78" i="30"/>
  <c r="AT70" i="30"/>
  <c r="N81" i="30"/>
  <c r="AI115" i="30"/>
  <c r="AH63" i="30"/>
  <c r="AN76" i="30"/>
  <c r="Q64" i="30"/>
  <c r="X59" i="30"/>
  <c r="AJ80" i="30"/>
  <c r="D53" i="30"/>
  <c r="W66" i="30"/>
  <c r="Y118" i="30"/>
  <c r="Y80" i="30"/>
  <c r="AO115" i="30"/>
  <c r="AJ121" i="30"/>
  <c r="X121" i="30"/>
  <c r="R82" i="30"/>
  <c r="Z81" i="30"/>
  <c r="N69" i="30"/>
  <c r="AG50" i="30"/>
  <c r="AG64" i="30" s="1"/>
  <c r="AN62" i="30"/>
  <c r="AS59" i="30"/>
  <c r="AL81" i="30"/>
  <c r="AM115" i="30"/>
  <c r="AS117" i="30"/>
  <c r="AI131" i="30"/>
  <c r="Y62" i="30"/>
  <c r="AN82" i="30"/>
  <c r="P82" i="30"/>
  <c r="AE50" i="30"/>
  <c r="AE76" i="30" s="1"/>
  <c r="AJ62" i="30"/>
  <c r="AU59" i="30"/>
  <c r="AO66" i="30"/>
  <c r="AB82" i="30"/>
  <c r="R118" i="30"/>
  <c r="AG130" i="30"/>
  <c r="L69" i="30"/>
  <c r="AF115" i="30"/>
  <c r="AE130" i="30"/>
  <c r="AO119" i="30"/>
  <c r="AG118" i="30"/>
  <c r="AI66" i="30"/>
  <c r="O65" i="30"/>
  <c r="AB62" i="30"/>
  <c r="E64" i="30"/>
  <c r="M80" i="30"/>
  <c r="AM117" i="30"/>
  <c r="AI63" i="30"/>
  <c r="M62" i="30"/>
  <c r="Z80" i="30"/>
  <c r="AP66" i="30"/>
  <c r="X62" i="30"/>
  <c r="AH66" i="30"/>
  <c r="W59" i="30"/>
  <c r="AT115" i="30"/>
  <c r="AJ78" i="30"/>
  <c r="AQ66" i="30"/>
  <c r="AT53" i="30"/>
  <c r="AB59" i="30"/>
  <c r="X53" i="30"/>
  <c r="AT65" i="30"/>
  <c r="AP59" i="30"/>
  <c r="T76" i="30"/>
  <c r="AI59" i="30"/>
  <c r="AP82" i="30"/>
  <c r="AB81" i="30"/>
  <c r="AL80" i="30"/>
  <c r="AT71" i="30"/>
  <c r="AK53" i="30"/>
  <c r="AP65" i="30"/>
  <c r="X78" i="30"/>
  <c r="AK59" i="30"/>
  <c r="AA59" i="30"/>
  <c r="U65" i="7"/>
  <c r="U75" i="7" s="1"/>
  <c r="AR74" i="7"/>
  <c r="AR72" i="7"/>
  <c r="E65" i="7"/>
  <c r="E72" i="7" s="1"/>
  <c r="Q65" i="7"/>
  <c r="AR75" i="7"/>
  <c r="F65" i="7"/>
  <c r="F72" i="7" s="1"/>
  <c r="Y65" i="7"/>
  <c r="Y73" i="7" s="1"/>
  <c r="I65" i="7"/>
  <c r="AN75" i="7"/>
  <c r="AO75" i="7"/>
  <c r="AO72" i="7"/>
  <c r="AO73" i="7"/>
  <c r="AO66" i="7"/>
  <c r="AF75" i="7"/>
  <c r="C66" i="7"/>
  <c r="AO74" i="7"/>
  <c r="AK75" i="7"/>
  <c r="AL66" i="7"/>
  <c r="M65" i="7"/>
  <c r="M66" i="7" s="1"/>
  <c r="O73" i="7"/>
  <c r="AL75" i="7"/>
  <c r="D10" i="7"/>
  <c r="AQ65" i="7"/>
  <c r="AQ72" i="7" s="1"/>
  <c r="AL74" i="7"/>
  <c r="AG65" i="7"/>
  <c r="AG72" i="7" s="1"/>
  <c r="T65" i="7"/>
  <c r="T73" i="7" s="1"/>
  <c r="AP75" i="7"/>
  <c r="AF73" i="7"/>
  <c r="Q22" i="7"/>
  <c r="L65" i="7"/>
  <c r="L66" i="7" s="1"/>
  <c r="AA65" i="7"/>
  <c r="AA66" i="7" s="1"/>
  <c r="R72" i="7"/>
  <c r="R22" i="7"/>
  <c r="S65" i="7"/>
  <c r="S73" i="7" s="1"/>
  <c r="P22" i="7"/>
  <c r="AD20" i="7"/>
  <c r="AT65" i="7"/>
  <c r="AT75" i="7" s="1"/>
  <c r="AF80" i="1"/>
  <c r="AH11" i="1"/>
  <c r="AI11" i="1"/>
  <c r="AN26" i="1"/>
  <c r="AM83" i="1"/>
  <c r="AG80" i="1"/>
  <c r="S26" i="1"/>
  <c r="P83" i="1"/>
  <c r="AB26" i="1"/>
  <c r="AB85" i="1" s="1"/>
  <c r="AB86" i="1" s="1"/>
  <c r="I85" i="1"/>
  <c r="I86" i="1" s="1"/>
  <c r="W80" i="1"/>
  <c r="Z52" i="1"/>
  <c r="AL83" i="1"/>
  <c r="R26" i="1"/>
  <c r="AD83" i="1"/>
  <c r="AJ80" i="1"/>
  <c r="P52" i="1"/>
  <c r="AB52" i="1"/>
  <c r="AN52" i="1"/>
  <c r="AP80" i="1"/>
  <c r="AW26" i="1"/>
  <c r="AQ80" i="1"/>
  <c r="AL80" i="1"/>
  <c r="AV83" i="1"/>
  <c r="AK52" i="1"/>
  <c r="N85" i="1"/>
  <c r="N87" i="1" s="1"/>
  <c r="AI80" i="1"/>
  <c r="AS80" i="1"/>
  <c r="C27" i="1"/>
  <c r="C103" i="1" s="1"/>
  <c r="AJ83" i="1"/>
  <c r="F68" i="1"/>
  <c r="F70" i="1" s="1"/>
  <c r="AY11" i="1"/>
  <c r="AT78" i="30"/>
  <c r="AO53" i="30"/>
  <c r="K86" i="1"/>
  <c r="K87" i="1"/>
  <c r="AN83" i="1"/>
  <c r="X80" i="1"/>
  <c r="AG52" i="1"/>
  <c r="AR11" i="1"/>
  <c r="AG26" i="1"/>
  <c r="AI52" i="1"/>
  <c r="AU83" i="1"/>
  <c r="T83" i="1"/>
  <c r="P26" i="1"/>
  <c r="AI26" i="1"/>
  <c r="S83" i="1"/>
  <c r="AQ26" i="1"/>
  <c r="AW80" i="1"/>
  <c r="AJ52" i="1"/>
  <c r="AT26" i="1"/>
  <c r="AS63" i="1"/>
  <c r="AF52" i="1"/>
  <c r="R52" i="1"/>
  <c r="AP83" i="1"/>
  <c r="AQ63" i="1"/>
  <c r="AM80" i="1"/>
  <c r="G85" i="1"/>
  <c r="G87" i="1" s="1"/>
  <c r="AS83" i="1"/>
  <c r="J68" i="1"/>
  <c r="AV26" i="1"/>
  <c r="AL26" i="1"/>
  <c r="E68" i="1"/>
  <c r="E13" i="1" s="1"/>
  <c r="E102" i="1" s="1"/>
  <c r="N68" i="1"/>
  <c r="N13" i="1" s="1"/>
  <c r="N102" i="1" s="1"/>
  <c r="AB83" i="1"/>
  <c r="E85" i="1"/>
  <c r="E87" i="1" s="1"/>
  <c r="AK83" i="1"/>
  <c r="AA83" i="1"/>
  <c r="I68" i="1"/>
  <c r="T26" i="1"/>
  <c r="AE52" i="1"/>
  <c r="AY83" i="1"/>
  <c r="AR80" i="1"/>
  <c r="AD26" i="1"/>
  <c r="AH52" i="1"/>
  <c r="AO83" i="1"/>
  <c r="AU80" i="1"/>
  <c r="AU63" i="1"/>
  <c r="AX83" i="1"/>
  <c r="K68" i="1"/>
  <c r="AY80" i="1"/>
  <c r="AY63" i="1"/>
  <c r="W26" i="1"/>
  <c r="W83" i="1"/>
  <c r="O83" i="1"/>
  <c r="O26" i="1"/>
  <c r="N11" i="7"/>
  <c r="M11" i="7"/>
  <c r="X10" i="1"/>
  <c r="X81" i="1"/>
  <c r="Q11" i="1"/>
  <c r="Q83" i="1"/>
  <c r="AQ11" i="1"/>
  <c r="AQ83" i="1"/>
  <c r="H85" i="1"/>
  <c r="H68" i="1"/>
  <c r="Z26" i="1"/>
  <c r="Z80" i="1"/>
  <c r="B30" i="40"/>
  <c r="B32" i="40"/>
  <c r="E27" i="40"/>
  <c r="U120" i="30"/>
  <c r="U130" i="30"/>
  <c r="AB74" i="7"/>
  <c r="AI83" i="1"/>
  <c r="AI65" i="7"/>
  <c r="AI75" i="7" s="1"/>
  <c r="AE83" i="1"/>
  <c r="AE26" i="1"/>
  <c r="AH80" i="1"/>
  <c r="R86" i="40"/>
  <c r="R83" i="1"/>
  <c r="R11" i="1"/>
  <c r="AF26" i="1"/>
  <c r="AF83" i="1"/>
  <c r="AN11" i="1"/>
  <c r="AN80" i="1"/>
  <c r="U26" i="1"/>
  <c r="U80" i="1"/>
  <c r="AM26" i="1"/>
  <c r="AS26" i="1"/>
  <c r="AG74" i="7"/>
  <c r="W21" i="7"/>
  <c r="W61" i="7"/>
  <c r="W65" i="7" s="1"/>
  <c r="Q80" i="1"/>
  <c r="Z11" i="1"/>
  <c r="AO11" i="1"/>
  <c r="AO80" i="1"/>
  <c r="R127" i="30"/>
  <c r="R117" i="30"/>
  <c r="Q128" i="30"/>
  <c r="Q118" i="30"/>
  <c r="AI53" i="30"/>
  <c r="N68" i="7"/>
  <c r="Q81" i="40"/>
  <c r="Q73" i="40"/>
  <c r="Q82" i="40" s="1"/>
  <c r="Q74" i="40"/>
  <c r="Q83" i="40" s="1"/>
  <c r="AA11" i="1"/>
  <c r="AA68" i="1" s="1"/>
  <c r="AA80" i="1"/>
  <c r="AR39" i="1"/>
  <c r="AR83" i="1"/>
  <c r="V80" i="1"/>
  <c r="V52" i="1"/>
  <c r="AC80" i="1"/>
  <c r="AC52" i="1"/>
  <c r="P60" i="7"/>
  <c r="S10" i="7"/>
  <c r="AH60" i="7"/>
  <c r="AI10" i="7"/>
  <c r="AE75" i="7"/>
  <c r="I53" i="30"/>
  <c r="I78" i="30"/>
  <c r="Q53" i="30"/>
  <c r="Q78" i="30"/>
  <c r="Y66" i="30"/>
  <c r="Y78" i="30"/>
  <c r="AG78" i="30"/>
  <c r="AG66" i="30"/>
  <c r="O69" i="30"/>
  <c r="O80" i="30"/>
  <c r="Q111" i="30"/>
  <c r="Q119" i="30" s="1"/>
  <c r="Y130" i="30"/>
  <c r="Y115" i="30"/>
  <c r="AP74" i="7"/>
  <c r="AP73" i="7"/>
  <c r="AP72" i="7"/>
  <c r="AP66" i="7"/>
  <c r="AP76" i="7"/>
  <c r="S11" i="1"/>
  <c r="D66" i="7"/>
  <c r="AN72" i="7"/>
  <c r="F30" i="40"/>
  <c r="L4" i="40" s="1"/>
  <c r="T80" i="1"/>
  <c r="T11" i="1"/>
  <c r="AJ11" i="1"/>
  <c r="T86" i="40"/>
  <c r="T85" i="40"/>
  <c r="Y26" i="1"/>
  <c r="Y80" i="1"/>
  <c r="X115" i="30"/>
  <c r="AO63" i="1"/>
  <c r="AH83" i="1"/>
  <c r="W10" i="7"/>
  <c r="AG83" i="1"/>
  <c r="D85" i="1"/>
  <c r="D86" i="1" s="1"/>
  <c r="AU65" i="7"/>
  <c r="AW75" i="7"/>
  <c r="AW73" i="7"/>
  <c r="AX65" i="7"/>
  <c r="Q33" i="7"/>
  <c r="AE65" i="30"/>
  <c r="R33" i="7"/>
  <c r="AC76" i="30"/>
  <c r="AV74" i="7"/>
  <c r="AX80" i="1"/>
  <c r="AX63" i="1"/>
  <c r="AX68" i="1" s="1"/>
  <c r="P33" i="7"/>
  <c r="J86" i="1"/>
  <c r="Z83" i="1"/>
  <c r="AP26" i="1"/>
  <c r="AO52" i="1"/>
  <c r="AC53" i="30"/>
  <c r="AP52" i="1"/>
  <c r="AT11" i="1"/>
  <c r="AT80" i="1"/>
  <c r="AW83" i="1"/>
  <c r="AJ115" i="30"/>
  <c r="AH26" i="1"/>
  <c r="AT83" i="1"/>
  <c r="U83" i="40"/>
  <c r="AW72" i="7"/>
  <c r="Q130" i="30"/>
  <c r="AD111" i="30"/>
  <c r="AD129" i="30" s="1"/>
  <c r="AU115" i="30"/>
  <c r="AC120" i="30"/>
  <c r="AY65" i="7"/>
  <c r="AY72" i="7" s="1"/>
  <c r="AL115" i="30"/>
  <c r="AW63" i="1"/>
  <c r="N129" i="30"/>
  <c r="AG129" i="30"/>
  <c r="U94" i="30"/>
  <c r="Y119" i="30"/>
  <c r="AT62" i="30"/>
  <c r="AV115" i="30"/>
  <c r="AX115" i="30"/>
  <c r="AM53" i="30"/>
  <c r="T112" i="30"/>
  <c r="T130" i="30" s="1"/>
  <c r="AU53" i="30"/>
  <c r="AV80" i="1"/>
  <c r="AV53" i="30"/>
  <c r="AX59" i="30"/>
  <c r="AJ129" i="30"/>
  <c r="AV59" i="30"/>
  <c r="AW53" i="30"/>
  <c r="AW115" i="30"/>
  <c r="Z120" i="30"/>
  <c r="Z130" i="30"/>
  <c r="U129" i="30"/>
  <c r="U115" i="30"/>
  <c r="U119" i="30"/>
  <c r="AB120" i="30"/>
  <c r="AB115" i="30"/>
  <c r="AA120" i="30"/>
  <c r="AC119" i="30"/>
  <c r="AJ50" i="30"/>
  <c r="AI9" i="30"/>
  <c r="C53" i="30"/>
  <c r="K53" i="30"/>
  <c r="S53" i="30"/>
  <c r="U53" i="30"/>
  <c r="AQ53" i="30"/>
  <c r="O129" i="30"/>
  <c r="AI129" i="30"/>
  <c r="AC115" i="30"/>
  <c r="AD76" i="30"/>
  <c r="AE129" i="30"/>
  <c r="X119" i="30"/>
  <c r="Z106" i="30"/>
  <c r="AB130" i="30"/>
  <c r="AP115" i="30"/>
  <c r="AG115" i="30"/>
  <c r="AL121" i="30"/>
  <c r="Y106" i="30"/>
  <c r="AO64" i="30"/>
  <c r="S64" i="30"/>
  <c r="K64" i="30"/>
  <c r="C64" i="30"/>
  <c r="AG63" i="30"/>
  <c r="Y63" i="30"/>
  <c r="AQ62" i="30"/>
  <c r="AI62" i="30"/>
  <c r="AA62" i="30"/>
  <c r="S62" i="30"/>
  <c r="K62" i="30"/>
  <c r="C62" i="30"/>
  <c r="AL59" i="30"/>
  <c r="AD59" i="30"/>
  <c r="V59" i="30"/>
  <c r="AP69" i="30"/>
  <c r="AH69" i="30"/>
  <c r="Z69" i="30"/>
  <c r="AR53" i="30"/>
  <c r="AH53" i="30"/>
  <c r="Z53" i="30"/>
  <c r="R53" i="30"/>
  <c r="J53" i="30"/>
  <c r="AM66" i="30"/>
  <c r="AP64" i="30"/>
  <c r="AF64" i="30"/>
  <c r="P64" i="30"/>
  <c r="H64" i="30"/>
  <c r="AJ63" i="30"/>
  <c r="AB63" i="30"/>
  <c r="T63" i="30"/>
  <c r="AL62" i="30"/>
  <c r="AD62" i="30"/>
  <c r="V62" i="30"/>
  <c r="N62" i="30"/>
  <c r="F62" i="30"/>
  <c r="AS53" i="30"/>
  <c r="AC65" i="30"/>
  <c r="X64" i="30"/>
  <c r="J74" i="30"/>
  <c r="R74" i="30"/>
  <c r="Z74" i="30"/>
  <c r="AH74" i="30"/>
  <c r="AP74" i="30"/>
  <c r="X75" i="30"/>
  <c r="AF75" i="30"/>
  <c r="G76" i="30"/>
  <c r="O76" i="30"/>
  <c r="Z76" i="30"/>
  <c r="E53" i="30"/>
  <c r="M53" i="30"/>
  <c r="Y53" i="30"/>
  <c r="Z111" i="30"/>
  <c r="Z129" i="30" s="1"/>
  <c r="AT59" i="30"/>
  <c r="AX53" i="30"/>
  <c r="G53" i="30"/>
  <c r="O53" i="30"/>
  <c r="AA53" i="30"/>
  <c r="AP53" i="30"/>
  <c r="AQ76" i="30"/>
  <c r="M129" i="30"/>
  <c r="V115" i="30"/>
  <c r="T106" i="30"/>
  <c r="W129" i="30"/>
  <c r="AS64" i="30"/>
  <c r="AA64" i="30"/>
  <c r="AK63" i="30"/>
  <c r="AC63" i="30"/>
  <c r="U63" i="30"/>
  <c r="AM62" i="30"/>
  <c r="AE62" i="30"/>
  <c r="W62" i="30"/>
  <c r="O62" i="30"/>
  <c r="G62" i="30"/>
  <c r="T69" i="30"/>
  <c r="AL53" i="30"/>
  <c r="N53" i="30"/>
  <c r="F53" i="30"/>
  <c r="Q66" i="30"/>
  <c r="I66" i="30"/>
  <c r="AL64" i="30"/>
  <c r="L64" i="30"/>
  <c r="D64" i="30"/>
  <c r="AS76" i="7" l="1"/>
  <c r="AS77" i="7" s="1"/>
  <c r="AI64" i="30"/>
  <c r="U73" i="7"/>
  <c r="AS73" i="7"/>
  <c r="AM73" i="7"/>
  <c r="AM66" i="7"/>
  <c r="S85" i="40"/>
  <c r="AM72" i="7"/>
  <c r="W86" i="40"/>
  <c r="N72" i="7"/>
  <c r="AS66" i="7"/>
  <c r="N75" i="7"/>
  <c r="AS74" i="7"/>
  <c r="AH68" i="1"/>
  <c r="AS75" i="7"/>
  <c r="N73" i="7"/>
  <c r="X85" i="40"/>
  <c r="W85" i="40"/>
  <c r="M86" i="1"/>
  <c r="AL72" i="7"/>
  <c r="V119" i="30"/>
  <c r="O66" i="7"/>
  <c r="W53" i="30"/>
  <c r="F16" i="40"/>
  <c r="E16" i="40"/>
  <c r="V86" i="40"/>
  <c r="J72" i="7"/>
  <c r="O75" i="7"/>
  <c r="AH123" i="30"/>
  <c r="AD115" i="30"/>
  <c r="O74" i="7"/>
  <c r="J74" i="7"/>
  <c r="Z86" i="40"/>
  <c r="V65" i="7"/>
  <c r="V66" i="7" s="1"/>
  <c r="W76" i="30"/>
  <c r="AJ74" i="7"/>
  <c r="AJ75" i="7"/>
  <c r="X65" i="7"/>
  <c r="X72" i="7" s="1"/>
  <c r="D72" i="7"/>
  <c r="AE74" i="7"/>
  <c r="AE73" i="7"/>
  <c r="R66" i="7"/>
  <c r="AV75" i="7"/>
  <c r="AW66" i="7"/>
  <c r="L74" i="7"/>
  <c r="AV76" i="7"/>
  <c r="AK72" i="7"/>
  <c r="AK66" i="7"/>
  <c r="AR66" i="7"/>
  <c r="AJ66" i="7"/>
  <c r="R73" i="7"/>
  <c r="AJ73" i="7"/>
  <c r="AW76" i="7"/>
  <c r="AW77" i="7" s="1"/>
  <c r="AA21" i="7"/>
  <c r="K66" i="7"/>
  <c r="K74" i="7"/>
  <c r="AE72" i="7"/>
  <c r="AB75" i="7"/>
  <c r="T66" i="7"/>
  <c r="R75" i="7"/>
  <c r="AK73" i="7"/>
  <c r="AR76" i="7"/>
  <c r="AR77" i="7" s="1"/>
  <c r="AK74" i="7"/>
  <c r="T75" i="7"/>
  <c r="AL68" i="1"/>
  <c r="AL53" i="1" s="1"/>
  <c r="AL105" i="1" s="1"/>
  <c r="D27" i="1"/>
  <c r="D103" i="1" s="1"/>
  <c r="AV66" i="7"/>
  <c r="AS68" i="1"/>
  <c r="D70" i="1"/>
  <c r="W68" i="1"/>
  <c r="AK85" i="1"/>
  <c r="G73" i="7"/>
  <c r="G72" i="7"/>
  <c r="AG73" i="7"/>
  <c r="AC66" i="7"/>
  <c r="L11" i="7"/>
  <c r="AE21" i="7"/>
  <c r="J66" i="7"/>
  <c r="S130" i="30"/>
  <c r="Y86" i="40"/>
  <c r="AA86" i="40"/>
  <c r="Y85" i="40"/>
  <c r="AV72" i="7"/>
  <c r="Z73" i="7"/>
  <c r="X86" i="40"/>
  <c r="AK87" i="1"/>
  <c r="AE64" i="30"/>
  <c r="AC123" i="30"/>
  <c r="C86" i="1"/>
  <c r="AU85" i="1"/>
  <c r="AU87" i="1" s="1"/>
  <c r="K73" i="7"/>
  <c r="AM77" i="7"/>
  <c r="AC74" i="7"/>
  <c r="AC72" i="7"/>
  <c r="AQ75" i="7"/>
  <c r="H72" i="7"/>
  <c r="Z72" i="7"/>
  <c r="AN73" i="7"/>
  <c r="AB72" i="7"/>
  <c r="T74" i="7"/>
  <c r="Z75" i="7"/>
  <c r="AV73" i="7"/>
  <c r="Z66" i="7"/>
  <c r="AN74" i="7"/>
  <c r="N66" i="7"/>
  <c r="H73" i="7"/>
  <c r="S74" i="7"/>
  <c r="M73" i="7"/>
  <c r="AX76" i="7"/>
  <c r="L72" i="7"/>
  <c r="AB73" i="7"/>
  <c r="AC73" i="7"/>
  <c r="T72" i="7"/>
  <c r="L75" i="7"/>
  <c r="V53" i="30"/>
  <c r="P120" i="30"/>
  <c r="AG53" i="30"/>
  <c r="W115" i="30"/>
  <c r="AA115" i="30"/>
  <c r="AD119" i="30"/>
  <c r="T115" i="30"/>
  <c r="W130" i="30"/>
  <c r="Q129" i="30"/>
  <c r="AF123" i="30"/>
  <c r="R129" i="30"/>
  <c r="AG76" i="30"/>
  <c r="AA129" i="30"/>
  <c r="V76" i="30"/>
  <c r="S80" i="1"/>
  <c r="N40" i="1"/>
  <c r="N104" i="1" s="1"/>
  <c r="AU68" i="1"/>
  <c r="AU70" i="1" s="1"/>
  <c r="L85" i="1"/>
  <c r="L68" i="1"/>
  <c r="L13" i="1" s="1"/>
  <c r="L102" i="1" s="1"/>
  <c r="AR68" i="1"/>
  <c r="AM68" i="1"/>
  <c r="AM40" i="1" s="1"/>
  <c r="AM104" i="1" s="1"/>
  <c r="AY85" i="1"/>
  <c r="AY86" i="1" s="1"/>
  <c r="AG68" i="1"/>
  <c r="AB68" i="1"/>
  <c r="AB27" i="1" s="1"/>
  <c r="AB103" i="1" s="1"/>
  <c r="AJ68" i="1"/>
  <c r="AJ70" i="1" s="1"/>
  <c r="AE85" i="1"/>
  <c r="AE86" i="1" s="1"/>
  <c r="AQ68" i="1"/>
  <c r="AQ13" i="1" s="1"/>
  <c r="AQ102" i="1" s="1"/>
  <c r="AO68" i="1"/>
  <c r="AO13" i="1" s="1"/>
  <c r="AO102" i="1" s="1"/>
  <c r="W85" i="1"/>
  <c r="W86" i="1" s="1"/>
  <c r="AB87" i="1"/>
  <c r="I87" i="1"/>
  <c r="AN68" i="1"/>
  <c r="AN13" i="1" s="1"/>
  <c r="AN102" i="1" s="1"/>
  <c r="AK86" i="1"/>
  <c r="F86" i="1"/>
  <c r="N86" i="1"/>
  <c r="AY68" i="1"/>
  <c r="AY70" i="1" s="1"/>
  <c r="AI68" i="1"/>
  <c r="AI13" i="1" s="1"/>
  <c r="AI102" i="1" s="1"/>
  <c r="P68" i="1"/>
  <c r="P40" i="1" s="1"/>
  <c r="P104" i="1" s="1"/>
  <c r="AW68" i="1"/>
  <c r="AW70" i="1" s="1"/>
  <c r="AP68" i="1"/>
  <c r="AP53" i="1" s="1"/>
  <c r="AP105" i="1" s="1"/>
  <c r="G13" i="1"/>
  <c r="G102" i="1" s="1"/>
  <c r="G27" i="1"/>
  <c r="G103" i="1" s="1"/>
  <c r="M13" i="1"/>
  <c r="M102" i="1" s="1"/>
  <c r="M40" i="1"/>
  <c r="M104" i="1" s="1"/>
  <c r="M53" i="1"/>
  <c r="M105" i="1" s="1"/>
  <c r="M70" i="1"/>
  <c r="M27" i="1"/>
  <c r="M103" i="1" s="1"/>
  <c r="AT68" i="1"/>
  <c r="AK68" i="1"/>
  <c r="AK53" i="1" s="1"/>
  <c r="AK105" i="1" s="1"/>
  <c r="AV85" i="1"/>
  <c r="AV87" i="1" s="1"/>
  <c r="AV68" i="1"/>
  <c r="T120" i="30"/>
  <c r="AE53" i="30"/>
  <c r="AE123" i="30" s="1"/>
  <c r="AD53" i="30"/>
  <c r="S115" i="30"/>
  <c r="S129" i="30"/>
  <c r="E66" i="7"/>
  <c r="E73" i="7"/>
  <c r="AD61" i="7"/>
  <c r="AD65" i="7" s="1"/>
  <c r="AD73" i="7" s="1"/>
  <c r="AY73" i="7"/>
  <c r="AA75" i="7"/>
  <c r="F66" i="7"/>
  <c r="F73" i="7"/>
  <c r="AT72" i="7"/>
  <c r="Q75" i="7"/>
  <c r="Q66" i="7"/>
  <c r="Q74" i="7"/>
  <c r="Q73" i="7"/>
  <c r="X75" i="7"/>
  <c r="X66" i="7"/>
  <c r="X74" i="7"/>
  <c r="AG75" i="7"/>
  <c r="AT76" i="7"/>
  <c r="M75" i="7"/>
  <c r="M72" i="7"/>
  <c r="M74" i="7"/>
  <c r="AA73" i="7"/>
  <c r="AA74" i="7"/>
  <c r="AA72" i="7"/>
  <c r="I73" i="7"/>
  <c r="I66" i="7"/>
  <c r="AT66" i="7"/>
  <c r="S66" i="7"/>
  <c r="S72" i="7"/>
  <c r="S75" i="7"/>
  <c r="AT73" i="7"/>
  <c r="AY76" i="7"/>
  <c r="L73" i="7"/>
  <c r="AQ66" i="7"/>
  <c r="AQ74" i="7"/>
  <c r="AQ76" i="7"/>
  <c r="AQ73" i="7"/>
  <c r="Q72" i="7"/>
  <c r="AO77" i="7"/>
  <c r="I72" i="7"/>
  <c r="Y74" i="7"/>
  <c r="Y66" i="7"/>
  <c r="Y72" i="7"/>
  <c r="AU72" i="7"/>
  <c r="AU75" i="7"/>
  <c r="AX72" i="7"/>
  <c r="AG66" i="7"/>
  <c r="Y75" i="7"/>
  <c r="U66" i="7"/>
  <c r="U74" i="7"/>
  <c r="U72" i="7"/>
  <c r="AT74" i="7"/>
  <c r="AW85" i="1"/>
  <c r="AW87" i="1" s="1"/>
  <c r="F13" i="1"/>
  <c r="F102" i="1" s="1"/>
  <c r="D87" i="1"/>
  <c r="F27" i="1"/>
  <c r="F103" i="1" s="1"/>
  <c r="P85" i="1"/>
  <c r="P87" i="1" s="1"/>
  <c r="AU86" i="1"/>
  <c r="AR85" i="1"/>
  <c r="AR86" i="1" s="1"/>
  <c r="K70" i="1"/>
  <c r="K40" i="1"/>
  <c r="K104" i="1" s="1"/>
  <c r="K13" i="1"/>
  <c r="K102" i="1" s="1"/>
  <c r="I70" i="1"/>
  <c r="I40" i="1"/>
  <c r="I104" i="1" s="1"/>
  <c r="I27" i="1"/>
  <c r="I103" i="1" s="1"/>
  <c r="I13" i="1"/>
  <c r="I102" i="1" s="1"/>
  <c r="J70" i="1"/>
  <c r="J40" i="1"/>
  <c r="J104" i="1" s="1"/>
  <c r="J27" i="1"/>
  <c r="J103" i="1" s="1"/>
  <c r="AB70" i="1"/>
  <c r="AB40" i="1"/>
  <c r="AB104" i="1" s="1"/>
  <c r="AB13" i="1"/>
  <c r="AB102" i="1" s="1"/>
  <c r="AI85" i="1"/>
  <c r="AI86" i="1" s="1"/>
  <c r="E86" i="1"/>
  <c r="AD68" i="1"/>
  <c r="AD27" i="1" s="1"/>
  <c r="AD103" i="1" s="1"/>
  <c r="E70" i="1"/>
  <c r="E27" i="1"/>
  <c r="E103" i="1" s="1"/>
  <c r="AD85" i="1"/>
  <c r="N70" i="1"/>
  <c r="N53" i="1"/>
  <c r="N105" i="1" s="1"/>
  <c r="N27" i="1"/>
  <c r="N103" i="1" s="1"/>
  <c r="Z68" i="1"/>
  <c r="Z70" i="1" s="1"/>
  <c r="AL85" i="1"/>
  <c r="AL27" i="1"/>
  <c r="AL103" i="1" s="1"/>
  <c r="G86" i="1"/>
  <c r="AG27" i="1"/>
  <c r="AG103" i="1" s="1"/>
  <c r="J13" i="1"/>
  <c r="J102" i="1" s="1"/>
  <c r="AG85" i="1"/>
  <c r="AG86" i="1" s="1"/>
  <c r="K27" i="1"/>
  <c r="K103" i="1" s="1"/>
  <c r="AA40" i="1"/>
  <c r="AA104" i="1" s="1"/>
  <c r="AA70" i="1"/>
  <c r="AA53" i="1"/>
  <c r="AA105" i="1" s="1"/>
  <c r="AA27" i="1"/>
  <c r="AA103" i="1" s="1"/>
  <c r="W53" i="1"/>
  <c r="W105" i="1" s="1"/>
  <c r="W70" i="1"/>
  <c r="W40" i="1"/>
  <c r="W104" i="1" s="1"/>
  <c r="W13" i="1"/>
  <c r="W102" i="1" s="1"/>
  <c r="R85" i="1"/>
  <c r="R86" i="1" s="1"/>
  <c r="R68" i="1"/>
  <c r="R13" i="1" s="1"/>
  <c r="R102" i="1" s="1"/>
  <c r="Y68" i="1"/>
  <c r="Y27" i="1" s="1"/>
  <c r="Y103" i="1" s="1"/>
  <c r="Y85" i="1"/>
  <c r="Y87" i="1" s="1"/>
  <c r="S68" i="1"/>
  <c r="S13" i="1" s="1"/>
  <c r="S102" i="1" s="1"/>
  <c r="S85" i="1"/>
  <c r="S87" i="1" s="1"/>
  <c r="V85" i="1"/>
  <c r="V87" i="1" s="1"/>
  <c r="V68" i="1"/>
  <c r="V53" i="1" s="1"/>
  <c r="V105" i="1" s="1"/>
  <c r="Q4" i="40"/>
  <c r="S86" i="40"/>
  <c r="Q86" i="40"/>
  <c r="Q85" i="40"/>
  <c r="AI73" i="7"/>
  <c r="AI66" i="7"/>
  <c r="AI72" i="7"/>
  <c r="AI74" i="7"/>
  <c r="AQ85" i="1"/>
  <c r="AQ86" i="1" s="1"/>
  <c r="AJ85" i="1"/>
  <c r="AO85" i="1"/>
  <c r="AO87" i="1" s="1"/>
  <c r="AJ40" i="1"/>
  <c r="AJ104" i="1" s="1"/>
  <c r="R11" i="7"/>
  <c r="Q11" i="7"/>
  <c r="S11" i="7"/>
  <c r="P11" i="7"/>
  <c r="O85" i="1"/>
  <c r="O86" i="1" s="1"/>
  <c r="O68" i="1"/>
  <c r="O27" i="1" s="1"/>
  <c r="O103" i="1" s="1"/>
  <c r="AX73" i="7"/>
  <c r="AX74" i="7"/>
  <c r="AX75" i="7"/>
  <c r="AX66" i="7"/>
  <c r="T85" i="1"/>
  <c r="T87" i="1" s="1"/>
  <c r="T68" i="1"/>
  <c r="T13" i="1" s="1"/>
  <c r="T102" i="1" s="1"/>
  <c r="AP77" i="7"/>
  <c r="P65" i="7"/>
  <c r="P72" i="7" s="1"/>
  <c r="AR40" i="1"/>
  <c r="AR104" i="1" s="1"/>
  <c r="AN70" i="1"/>
  <c r="AN27" i="1"/>
  <c r="AN103" i="1" s="1"/>
  <c r="Z85" i="1"/>
  <c r="Z87" i="1" s="1"/>
  <c r="AN85" i="1"/>
  <c r="AN87" i="1" s="1"/>
  <c r="R85" i="40"/>
  <c r="AI40" i="1"/>
  <c r="AI104" i="1" s="1"/>
  <c r="Z27" i="1"/>
  <c r="Z103" i="1" s="1"/>
  <c r="Q68" i="1"/>
  <c r="Q13" i="1" s="1"/>
  <c r="Q102" i="1" s="1"/>
  <c r="Q85" i="1"/>
  <c r="Q87" i="1" s="1"/>
  <c r="U85" i="1"/>
  <c r="U87" i="1" s="1"/>
  <c r="U68" i="1"/>
  <c r="U27" i="1" s="1"/>
  <c r="U103" i="1" s="1"/>
  <c r="AP85" i="1"/>
  <c r="L8" i="40"/>
  <c r="L6" i="40"/>
  <c r="L7" i="40" s="1"/>
  <c r="L13" i="40"/>
  <c r="AM53" i="1"/>
  <c r="AM105" i="1" s="1"/>
  <c r="W73" i="7"/>
  <c r="AF68" i="1"/>
  <c r="AF27" i="1" s="1"/>
  <c r="AF103" i="1" s="1"/>
  <c r="AF85" i="1"/>
  <c r="AF86" i="1" s="1"/>
  <c r="H27" i="1"/>
  <c r="H103" i="1" s="1"/>
  <c r="H70" i="1"/>
  <c r="H40" i="1"/>
  <c r="H104" i="1" s="1"/>
  <c r="W27" i="1"/>
  <c r="W103" i="1" s="1"/>
  <c r="AH65" i="7"/>
  <c r="AH72" i="7" s="1"/>
  <c r="U86" i="40"/>
  <c r="U85" i="40"/>
  <c r="V85" i="40"/>
  <c r="AX85" i="1"/>
  <c r="AX87" i="1" s="1"/>
  <c r="AH27" i="1"/>
  <c r="AH103" i="1" s="1"/>
  <c r="AH85" i="1"/>
  <c r="AH87" i="1" s="1"/>
  <c r="AT85" i="1"/>
  <c r="AT87" i="1" s="1"/>
  <c r="AC68" i="1"/>
  <c r="AC53" i="1" s="1"/>
  <c r="AC105" i="1" s="1"/>
  <c r="AC85" i="1"/>
  <c r="AC87" i="1" s="1"/>
  <c r="AS85" i="1"/>
  <c r="AE68" i="1"/>
  <c r="E30" i="40"/>
  <c r="L5" i="40"/>
  <c r="H87" i="1"/>
  <c r="H86" i="1"/>
  <c r="X83" i="1"/>
  <c r="X11" i="1"/>
  <c r="AY66" i="7"/>
  <c r="AY75" i="7"/>
  <c r="AY74" i="7"/>
  <c r="AU66" i="7"/>
  <c r="AU73" i="7"/>
  <c r="AU74" i="7"/>
  <c r="AU76" i="7"/>
  <c r="W66" i="7"/>
  <c r="W72" i="7"/>
  <c r="W74" i="7"/>
  <c r="W75" i="7"/>
  <c r="AA85" i="1"/>
  <c r="AA87" i="1" s="1"/>
  <c r="AA13" i="1"/>
  <c r="AA102" i="1" s="1"/>
  <c r="AM85" i="1"/>
  <c r="AM27" i="1"/>
  <c r="AM103" i="1" s="1"/>
  <c r="H13" i="1"/>
  <c r="H102" i="1" s="1"/>
  <c r="P70" i="1"/>
  <c r="AJ53" i="30"/>
  <c r="AJ64" i="30"/>
  <c r="AJ76" i="30"/>
  <c r="Z115" i="30"/>
  <c r="AG123" i="30"/>
  <c r="Z119" i="30"/>
  <c r="AL77" i="7" l="1"/>
  <c r="V68" i="7"/>
  <c r="U69" i="7" s="1"/>
  <c r="Z53" i="1"/>
  <c r="Z105" i="1" s="1"/>
  <c r="X73" i="7"/>
  <c r="AB53" i="1"/>
  <c r="AB105" i="1" s="1"/>
  <c r="P27" i="1"/>
  <c r="P103" i="1" s="1"/>
  <c r="AU40" i="1"/>
  <c r="AU104" i="1" s="1"/>
  <c r="AU53" i="1"/>
  <c r="AU105" i="1" s="1"/>
  <c r="AJ77" i="7"/>
  <c r="P13" i="1"/>
  <c r="AU27" i="1"/>
  <c r="AU103" i="1" s="1"/>
  <c r="AK40" i="1"/>
  <c r="AK104" i="1" s="1"/>
  <c r="AK77" i="7"/>
  <c r="AI123" i="30"/>
  <c r="AI125" i="30" s="1"/>
  <c r="AU64" i="1"/>
  <c r="AU106" i="1" s="1"/>
  <c r="AU13" i="1"/>
  <c r="AU102" i="1" s="1"/>
  <c r="AK27" i="1"/>
  <c r="AK103" i="1" s="1"/>
  <c r="AD123" i="30"/>
  <c r="AJ123" i="30" s="1"/>
  <c r="AJ125" i="30" s="1"/>
  <c r="AV77" i="7"/>
  <c r="V73" i="7"/>
  <c r="V74" i="7"/>
  <c r="V72" i="7"/>
  <c r="V75" i="7"/>
  <c r="AY87" i="1"/>
  <c r="P53" i="1"/>
  <c r="P105" i="1" s="1"/>
  <c r="P86" i="1"/>
  <c r="P88" i="1" s="1"/>
  <c r="AL70" i="1"/>
  <c r="AM13" i="1"/>
  <c r="AM102" i="1" s="1"/>
  <c r="AJ13" i="1"/>
  <c r="AJ102" i="1" s="1"/>
  <c r="AM70" i="1"/>
  <c r="AL13" i="1"/>
  <c r="AL102" i="1" s="1"/>
  <c r="AL40" i="1"/>
  <c r="AL104" i="1" s="1"/>
  <c r="AW53" i="1"/>
  <c r="AW105" i="1" s="1"/>
  <c r="AN40" i="1"/>
  <c r="AN104" i="1" s="1"/>
  <c r="AJ27" i="1"/>
  <c r="AJ103" i="1" s="1"/>
  <c r="AY27" i="1"/>
  <c r="AY103" i="1" s="1"/>
  <c r="AY40" i="1"/>
  <c r="AY104" i="1" s="1"/>
  <c r="AK70" i="1"/>
  <c r="AJ53" i="1"/>
  <c r="AJ105" i="1" s="1"/>
  <c r="W87" i="1"/>
  <c r="AN53" i="1"/>
  <c r="AN105" i="1" s="1"/>
  <c r="AW13" i="1"/>
  <c r="AW102" i="1" s="1"/>
  <c r="AN77" i="7"/>
  <c r="L86" i="1"/>
  <c r="L87" i="1"/>
  <c r="L70" i="1"/>
  <c r="L27" i="1"/>
  <c r="L103" i="1" s="1"/>
  <c r="L40" i="1"/>
  <c r="L104" i="1" s="1"/>
  <c r="L53" i="1"/>
  <c r="L105" i="1" s="1"/>
  <c r="C13" i="1"/>
  <c r="C102" i="1" s="1"/>
  <c r="Z40" i="1"/>
  <c r="Z104" i="1" s="1"/>
  <c r="AY64" i="1"/>
  <c r="AY106" i="1" s="1"/>
  <c r="AW64" i="1"/>
  <c r="AW106" i="1" s="1"/>
  <c r="AW40" i="1"/>
  <c r="AW104" i="1" s="1"/>
  <c r="AW27" i="1"/>
  <c r="AW103" i="1" s="1"/>
  <c r="AE87" i="1"/>
  <c r="AY13" i="1"/>
  <c r="AY102" i="1" s="1"/>
  <c r="AV86" i="1"/>
  <c r="AK13" i="1"/>
  <c r="AK102" i="1" s="1"/>
  <c r="AW86" i="1"/>
  <c r="AQ77" i="7"/>
  <c r="AT77" i="7"/>
  <c r="AU77" i="7"/>
  <c r="AX77" i="7"/>
  <c r="AR87" i="1"/>
  <c r="Z13" i="1"/>
  <c r="Z102" i="1" s="1"/>
  <c r="AI53" i="1"/>
  <c r="AI105" i="1" s="1"/>
  <c r="AI70" i="1"/>
  <c r="AI27" i="1"/>
  <c r="AI103" i="1" s="1"/>
  <c r="AC86" i="1"/>
  <c r="V86" i="1"/>
  <c r="S86" i="1"/>
  <c r="R87" i="1"/>
  <c r="AG87" i="1"/>
  <c r="AV27" i="1"/>
  <c r="AV103" i="1" s="1"/>
  <c r="AV13" i="1"/>
  <c r="AV102" i="1" s="1"/>
  <c r="AV64" i="1"/>
  <c r="AV106" i="1" s="1"/>
  <c r="AV70" i="1"/>
  <c r="AV40" i="1"/>
  <c r="AV104" i="1" s="1"/>
  <c r="T86" i="1"/>
  <c r="AT86" i="1"/>
  <c r="AV53" i="1"/>
  <c r="AV105" i="1" s="1"/>
  <c r="Y86" i="1"/>
  <c r="AD86" i="1"/>
  <c r="AD87" i="1"/>
  <c r="AO53" i="1"/>
  <c r="AO105" i="1" s="1"/>
  <c r="AG53" i="1"/>
  <c r="AG105" i="1" s="1"/>
  <c r="AG13" i="1"/>
  <c r="AG102" i="1" s="1"/>
  <c r="AG40" i="1"/>
  <c r="AG104" i="1" s="1"/>
  <c r="AG70" i="1"/>
  <c r="Z86" i="1"/>
  <c r="AI87" i="1"/>
  <c r="AL87" i="1"/>
  <c r="AL86" i="1"/>
  <c r="AT13" i="1"/>
  <c r="AT102" i="1" s="1"/>
  <c r="AD53" i="1"/>
  <c r="AD105" i="1" s="1"/>
  <c r="AD40" i="1"/>
  <c r="AD104" i="1" s="1"/>
  <c r="AD13" i="1"/>
  <c r="AD102" i="1" s="1"/>
  <c r="AD70" i="1"/>
  <c r="AE70" i="1"/>
  <c r="AE40" i="1"/>
  <c r="AE104" i="1" s="1"/>
  <c r="AE53" i="1"/>
  <c r="AE105" i="1" s="1"/>
  <c r="AE13" i="1"/>
  <c r="AE102" i="1" s="1"/>
  <c r="X85" i="1"/>
  <c r="X86" i="1" s="1"/>
  <c r="X68" i="1"/>
  <c r="X13" i="1" s="1"/>
  <c r="X102" i="1" s="1"/>
  <c r="AH70" i="1"/>
  <c r="AH13" i="1"/>
  <c r="AH102" i="1" s="1"/>
  <c r="AH40" i="1"/>
  <c r="AH104" i="1" s="1"/>
  <c r="AH53" i="1"/>
  <c r="AH105" i="1" s="1"/>
  <c r="AP87" i="1"/>
  <c r="AP86" i="1"/>
  <c r="AX70" i="1"/>
  <c r="AX13" i="1"/>
  <c r="AX102" i="1" s="1"/>
  <c r="AX40" i="1"/>
  <c r="AX104" i="1" s="1"/>
  <c r="AX53" i="1"/>
  <c r="AX105" i="1" s="1"/>
  <c r="AX27" i="1"/>
  <c r="AX103" i="1" s="1"/>
  <c r="O13" i="1"/>
  <c r="O102" i="1" s="1"/>
  <c r="O53" i="1"/>
  <c r="O105" i="1" s="1"/>
  <c r="O40" i="1"/>
  <c r="O104" i="1" s="1"/>
  <c r="O70" i="1"/>
  <c r="Y13" i="1"/>
  <c r="Y102" i="1" s="1"/>
  <c r="Y53" i="1"/>
  <c r="Y105" i="1" s="1"/>
  <c r="Y40" i="1"/>
  <c r="Y104" i="1" s="1"/>
  <c r="Y70" i="1"/>
  <c r="AS53" i="1"/>
  <c r="AS40" i="1"/>
  <c r="AS70" i="1"/>
  <c r="AS13" i="1"/>
  <c r="AS64" i="1"/>
  <c r="AH86" i="1"/>
  <c r="Q53" i="1"/>
  <c r="Q105" i="1" s="1"/>
  <c r="Q40" i="1"/>
  <c r="Q104" i="1" s="1"/>
  <c r="Q27" i="1"/>
  <c r="Q103" i="1" s="1"/>
  <c r="Q70" i="1"/>
  <c r="AQ87" i="1"/>
  <c r="AD66" i="7"/>
  <c r="AD74" i="7"/>
  <c r="AD72" i="7"/>
  <c r="AD75" i="7"/>
  <c r="P102" i="1"/>
  <c r="AS27" i="1"/>
  <c r="AY77" i="7"/>
  <c r="AH73" i="7"/>
  <c r="AH66" i="7"/>
  <c r="AH74" i="7"/>
  <c r="AH75" i="7"/>
  <c r="AR64" i="1"/>
  <c r="AR106" i="1" s="1"/>
  <c r="AR70" i="1"/>
  <c r="AR13" i="1"/>
  <c r="AR102" i="1" s="1"/>
  <c r="AR27" i="1"/>
  <c r="AR103" i="1" s="1"/>
  <c r="AR53" i="1"/>
  <c r="AR105" i="1" s="1"/>
  <c r="AN86" i="1"/>
  <c r="AI77" i="7"/>
  <c r="U86" i="1"/>
  <c r="R40" i="1"/>
  <c r="R104" i="1" s="1"/>
  <c r="R70" i="1"/>
  <c r="R27" i="1"/>
  <c r="R103" i="1" s="1"/>
  <c r="R53" i="1"/>
  <c r="R105" i="1" s="1"/>
  <c r="AO70" i="1"/>
  <c r="AO27" i="1"/>
  <c r="AO103" i="1" s="1"/>
  <c r="AO40" i="1"/>
  <c r="AO104" i="1" s="1"/>
  <c r="AA86" i="1"/>
  <c r="U13" i="1"/>
  <c r="U102" i="1" s="1"/>
  <c r="U40" i="1"/>
  <c r="U104" i="1" s="1"/>
  <c r="U53" i="1"/>
  <c r="U105" i="1" s="1"/>
  <c r="U70" i="1"/>
  <c r="AF87" i="1"/>
  <c r="AO64" i="1"/>
  <c r="AO106" i="1" s="1"/>
  <c r="T53" i="1"/>
  <c r="T105" i="1" s="1"/>
  <c r="T27" i="1"/>
  <c r="T103" i="1" s="1"/>
  <c r="T70" i="1"/>
  <c r="T40" i="1"/>
  <c r="T104" i="1" s="1"/>
  <c r="AX86" i="1"/>
  <c r="AQ70" i="1"/>
  <c r="AQ40" i="1"/>
  <c r="AQ104" i="1" s="1"/>
  <c r="AQ64" i="1"/>
  <c r="AQ106" i="1" s="1"/>
  <c r="AQ53" i="1"/>
  <c r="AQ105" i="1" s="1"/>
  <c r="AQ27" i="1"/>
  <c r="AQ103" i="1" s="1"/>
  <c r="AF40" i="1"/>
  <c r="AF104" i="1" s="1"/>
  <c r="AF13" i="1"/>
  <c r="AF102" i="1" s="1"/>
  <c r="AF70" i="1"/>
  <c r="AF53" i="1"/>
  <c r="AF105" i="1" s="1"/>
  <c r="O87" i="1"/>
  <c r="AJ86" i="1"/>
  <c r="AJ87" i="1"/>
  <c r="S27" i="1"/>
  <c r="S103" i="1" s="1"/>
  <c r="S70" i="1"/>
  <c r="S40" i="1"/>
  <c r="S104" i="1" s="1"/>
  <c r="S53" i="1"/>
  <c r="S105" i="1" s="1"/>
  <c r="AS87" i="1"/>
  <c r="AS86" i="1"/>
  <c r="AP64" i="1"/>
  <c r="AP106" i="1" s="1"/>
  <c r="AP40" i="1"/>
  <c r="AP104" i="1" s="1"/>
  <c r="AP70" i="1"/>
  <c r="AP13" i="1"/>
  <c r="AP102" i="1" s="1"/>
  <c r="AE27" i="1"/>
  <c r="AE103" i="1" s="1"/>
  <c r="AT53" i="1"/>
  <c r="AT105" i="1" s="1"/>
  <c r="AT40" i="1"/>
  <c r="AT104" i="1" s="1"/>
  <c r="AT70" i="1"/>
  <c r="AT27" i="1"/>
  <c r="AT103" i="1" s="1"/>
  <c r="AT64" i="1"/>
  <c r="AT106" i="1" s="1"/>
  <c r="Q86" i="1"/>
  <c r="AX64" i="1"/>
  <c r="AX106" i="1" s="1"/>
  <c r="V13" i="1"/>
  <c r="V102" i="1" s="1"/>
  <c r="V70" i="1"/>
  <c r="V27" i="1"/>
  <c r="V103" i="1" s="1"/>
  <c r="V40" i="1"/>
  <c r="V104" i="1" s="1"/>
  <c r="AM86" i="1"/>
  <c r="AM87" i="1"/>
  <c r="AC27" i="1"/>
  <c r="AC103" i="1" s="1"/>
  <c r="AC70" i="1"/>
  <c r="AC40" i="1"/>
  <c r="AC104" i="1" s="1"/>
  <c r="AC13" i="1"/>
  <c r="AC102" i="1" s="1"/>
  <c r="AP27" i="1"/>
  <c r="AP103" i="1" s="1"/>
  <c r="P66" i="7"/>
  <c r="P73" i="7"/>
  <c r="R68" i="7"/>
  <c r="V69" i="7" s="1"/>
  <c r="P74" i="7"/>
  <c r="P75" i="7"/>
  <c r="AO86" i="1"/>
  <c r="Q8" i="40"/>
  <c r="Q6" i="40"/>
  <c r="Q7" i="40" s="1"/>
  <c r="AH77" i="7" l="1"/>
  <c r="P15" i="1"/>
  <c r="AS103" i="1"/>
  <c r="AS104" i="1"/>
  <c r="X53" i="1"/>
  <c r="X105" i="1" s="1"/>
  <c r="X70" i="1"/>
  <c r="X27" i="1"/>
  <c r="X103" i="1" s="1"/>
  <c r="X40" i="1"/>
  <c r="X104" i="1" s="1"/>
  <c r="AS105" i="1"/>
  <c r="X87" i="1"/>
  <c r="AS106" i="1"/>
  <c r="AS102" i="1"/>
  <c r="BA60" i="7"/>
  <c r="BA65" i="7" s="1"/>
  <c r="BA74" i="7" l="1"/>
  <c r="BA73" i="7"/>
  <c r="BA76" i="7"/>
  <c r="BA72" i="7"/>
  <c r="BA77" i="7" l="1"/>
</calcChain>
</file>

<file path=xl/comments1.xml><?xml version="1.0" encoding="utf-8"?>
<comments xmlns="http://schemas.openxmlformats.org/spreadsheetml/2006/main">
  <authors>
    <author>Enver Bajcinca</author>
  </authors>
  <commentList>
    <comment ref="AJ39" authorId="0" shapeId="0">
      <text>
        <r>
          <rPr>
            <b/>
            <sz val="9"/>
            <color indexed="81"/>
            <rFont val="Tahoma"/>
            <family val="2"/>
          </rPr>
          <t>Enver Bajcinca:</t>
        </r>
        <r>
          <rPr>
            <sz val="9"/>
            <color indexed="81"/>
            <rFont val="Tahoma"/>
            <family val="2"/>
          </rPr>
          <t xml:space="preserve">
Vala po bejne gabime vashdimisht, po ne fusin 3G dhe 4G ne kete rubrike. Duhet qe 3heqet pjesa e 4G</t>
        </r>
      </text>
    </comment>
  </commentList>
</comments>
</file>

<file path=xl/comments2.xml><?xml version="1.0" encoding="utf-8"?>
<comments xmlns="http://schemas.openxmlformats.org/spreadsheetml/2006/main">
  <authors>
    <author>Arijan Qorolli</author>
    <author>dafina.sadikaj</author>
  </authors>
  <commentList>
    <comment ref="AS19" authorId="0" shapeId="0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te verifikohet pasi qe ne krahasim me TM1 ka rritje prej 262%</t>
        </r>
      </text>
    </comment>
    <comment ref="AF36" authorId="1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30255 ATK+203perdorues</t>
        </r>
      </text>
    </comment>
    <comment ref="M70" authorId="0" shapeId="0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2070000</t>
        </r>
      </text>
    </comment>
    <comment ref="P70" authorId="0" shapeId="0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numri I popullsis 101733872
</t>
        </r>
      </text>
    </comment>
  </commentList>
</comments>
</file>

<file path=xl/comments3.xml><?xml version="1.0" encoding="utf-8"?>
<comments xmlns="http://schemas.openxmlformats.org/spreadsheetml/2006/main">
  <authors>
    <author>dafina.sadikaj</author>
    <author>enver.bajcinca</author>
    <author>Arijan Qorolli</author>
  </authors>
  <commentList>
    <comment ref="AB6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 nga pika6.1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marre nga pika 7.3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Te hyrat e pergjithshme-pika 8,7,6,4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dheana eshte fitu prej zbritjes se 20350 me te gjitha vlerat lart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15596-13884.5</t>
        </r>
      </text>
    </comment>
    <comment ref="AH8" authorId="1" shapeId="0">
      <text>
        <r>
          <rPr>
            <b/>
            <sz val="9"/>
            <color indexed="81"/>
            <rFont val="Tahoma"/>
            <family val="2"/>
          </rPr>
          <t>enver.bajcinca:</t>
        </r>
        <r>
          <rPr>
            <sz val="9"/>
            <color indexed="81"/>
            <rFont val="Tahoma"/>
            <family val="2"/>
          </rPr>
          <t xml:space="preserve">
22714-17769</t>
        </r>
      </text>
    </comment>
    <comment ref="AC16" authorId="2" shapeId="0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shifra eshte dhen gabim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I kane paraqit te hyrat totale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I kane raportuar te ardhurat e pergjithshme ne piken 14.1 ne pyetesor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Duhet sqarim shtese nga D3</t>
        </r>
      </text>
    </comment>
    <comment ref="AB40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 nga 7.3.1</t>
        </r>
      </text>
    </comment>
  </commentList>
</comments>
</file>

<file path=xl/comments4.xml><?xml version="1.0" encoding="utf-8"?>
<comments xmlns="http://schemas.openxmlformats.org/spreadsheetml/2006/main">
  <authors>
    <author>dafina.sadikaj</author>
    <author>Arijan Qorolli</author>
    <author>Enver Bajcinca</author>
  </authors>
  <commentList>
    <comment ref="AR6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4.4.2a+4.4.2c</t>
        </r>
      </text>
    </comment>
    <comment ref="AS8" authorId="1" shapeId="0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te dhenat e trafikut nderkombetar nga TM22017 deri ne Tm1 2018 jan permirsuar bazuar ne vlersimin e ARKEP ndersa  nga TM2 2018 derinë TM4 42019 jan korrigjuar nga Vala 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Arijan Qorolli:
te dhenat e trafikut nderkombetar nga TM22017 deri ne Tm1 2018 jan permirsuar bazuar ne vlersimin e ARKEP ndersa  nga TM2 2018 derinë TM4 42019 jan korrigjuar nga Val</t>
        </r>
      </text>
    </comment>
    <comment ref="AZ8" authorId="2" shapeId="0">
      <text>
        <r>
          <rPr>
            <b/>
            <sz val="9"/>
            <color indexed="81"/>
            <rFont val="Tahoma"/>
            <family val="2"/>
          </rPr>
          <t>Enver Bajcinca:</t>
        </r>
        <r>
          <rPr>
            <sz val="9"/>
            <color indexed="81"/>
            <rFont val="Tahoma"/>
            <family val="2"/>
          </rPr>
          <t xml:space="preserve">
të rishikohet
te gjitha te dhenat me te kuqe jan kurrigjuar 
Arijan Qorolli:
te dhenat e trafikut nderkombetar nga TM22017 deri ne Tm1 2018 jan permirsuar bazuar ne vlersimin e ARKEP ndersa  nga TM2 2018 derinë TM4 42019 jan korrigjuar nga Val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totali I vlerave sipas destinacionit nuk perputhet me totalin e dhene ne pytesor sipas llojit te perdoruesve</t>
        </r>
      </text>
    </comment>
    <comment ref="AS40" authorId="0" shapeId="0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KANE VENDOS SHIFER NE PYETESOR FARE</t>
        </r>
      </text>
    </comment>
    <comment ref="Y92" authorId="0" shapeId="0">
      <text>
        <r>
          <rPr>
            <b/>
            <sz val="9"/>
            <color indexed="81"/>
            <rFont val="Tahoma"/>
            <family val="2"/>
          </rPr>
          <t xml:space="preserve">gabim ne te shtypur te dhenat kan qene ne pau shendrruar ne .000 deri ne tm4  per te gjith kategorine </t>
        </r>
      </text>
    </comment>
  </commentList>
</comments>
</file>

<file path=xl/sharedStrings.xml><?xml version="1.0" encoding="utf-8"?>
<sst xmlns="http://schemas.openxmlformats.org/spreadsheetml/2006/main" count="1464" uniqueCount="200">
  <si>
    <t>Numri i përdorueseve</t>
  </si>
  <si>
    <t>K2-2010</t>
  </si>
  <si>
    <t>Përdoruesit me kontrate</t>
  </si>
  <si>
    <t>Individual</t>
  </si>
  <si>
    <t>Biznes</t>
  </si>
  <si>
    <t>Totali</t>
  </si>
  <si>
    <t>Përdoruesit me parapagim</t>
  </si>
  <si>
    <t xml:space="preserve">Vala </t>
  </si>
  <si>
    <t>K1-2010</t>
  </si>
  <si>
    <t>Ipko</t>
  </si>
  <si>
    <t>Përdoruesit me karte te parapaguar</t>
  </si>
  <si>
    <t>Zmobile</t>
  </si>
  <si>
    <t xml:space="preserve">Zmobile </t>
  </si>
  <si>
    <t>K1 2008</t>
  </si>
  <si>
    <t>K2 2008</t>
  </si>
  <si>
    <t>K3 2008</t>
  </si>
  <si>
    <t>K4 2008</t>
  </si>
  <si>
    <t>K1 2009</t>
  </si>
  <si>
    <t>K2 2009</t>
  </si>
  <si>
    <t>K3 2009</t>
  </si>
  <si>
    <t>K4 2009</t>
  </si>
  <si>
    <t xml:space="preserve">D3 Mobile </t>
  </si>
  <si>
    <t xml:space="preserve"> Tabela1.  Numri I pergjithshem I perdoruesve te telefonis mobile dhe penetrimi </t>
  </si>
  <si>
    <t xml:space="preserve">Tabela 2 . Llojet e perdoruesve te telefonis mobile </t>
  </si>
  <si>
    <t xml:space="preserve"> Tabela 3. Ndarja e tregut te telefonis mobile sipas parapaguesve </t>
  </si>
  <si>
    <t xml:space="preserve">Numri total I perdoruesve </t>
  </si>
  <si>
    <t xml:space="preserve">Penetrimi </t>
  </si>
  <si>
    <t xml:space="preserve">Totali </t>
  </si>
  <si>
    <t>K4 2007</t>
  </si>
  <si>
    <t xml:space="preserve">Te hyrat e pergjithshme </t>
  </si>
  <si>
    <t xml:space="preserve">Gjithsejt perdoruesit e tel mobile </t>
  </si>
  <si>
    <t xml:space="preserve">Ipko </t>
  </si>
  <si>
    <t xml:space="preserve">Te hyrat nga tel. mobile </t>
  </si>
  <si>
    <t>K3-2010</t>
  </si>
  <si>
    <t xml:space="preserve">D3 mobile </t>
  </si>
  <si>
    <t xml:space="preserve"> Terminimi </t>
  </si>
  <si>
    <t>Z Mobile</t>
  </si>
  <si>
    <t>K4-2010</t>
  </si>
  <si>
    <t>K4- 2010</t>
  </si>
  <si>
    <t>Vala</t>
  </si>
  <si>
    <t>K1-2011</t>
  </si>
  <si>
    <t>K1 2011</t>
  </si>
  <si>
    <t>K4-2011</t>
  </si>
  <si>
    <t xml:space="preserve">TM1 </t>
  </si>
  <si>
    <t xml:space="preserve">TM4 </t>
  </si>
  <si>
    <t>TM3</t>
  </si>
  <si>
    <t xml:space="preserve">TM2 </t>
  </si>
  <si>
    <t>TM4</t>
  </si>
  <si>
    <t>TM1</t>
  </si>
  <si>
    <t>TM2</t>
  </si>
  <si>
    <t>K2-2011</t>
  </si>
  <si>
    <t>K3-2011</t>
  </si>
  <si>
    <t>K2 2011</t>
  </si>
  <si>
    <t>K3 2011</t>
  </si>
  <si>
    <t>K4 2011</t>
  </si>
  <si>
    <t>Përdoruesit me kontrate (Postpaid)</t>
  </si>
  <si>
    <t>K1-2012</t>
  </si>
  <si>
    <t>On-net</t>
  </si>
  <si>
    <t>Outgoing traffic</t>
  </si>
  <si>
    <t xml:space="preserve">    - Mobile</t>
  </si>
  <si>
    <t xml:space="preserve">    - Fix</t>
  </si>
  <si>
    <t xml:space="preserve">    - International</t>
  </si>
  <si>
    <t>Incomming traffic</t>
  </si>
  <si>
    <t>Total MNO Outgoing traffic</t>
  </si>
  <si>
    <t>Total MVNO Outgoing traffic</t>
  </si>
  <si>
    <t xml:space="preserve">Total outgoing trafik </t>
  </si>
  <si>
    <t>K1 21012</t>
  </si>
  <si>
    <t xml:space="preserve"> Te hyrat tjera /Vlera korrigjuese </t>
  </si>
  <si>
    <t xml:space="preserve">trafiku I terminuar </t>
  </si>
  <si>
    <t>Vala -On net</t>
  </si>
  <si>
    <t xml:space="preserve"> Vala- off net </t>
  </si>
  <si>
    <t xml:space="preserve"> Vala- Fix</t>
  </si>
  <si>
    <t xml:space="preserve"> Vala- International</t>
  </si>
  <si>
    <t xml:space="preserve"> Vala - Mobile</t>
  </si>
  <si>
    <t xml:space="preserve"> Vala - Fix</t>
  </si>
  <si>
    <t>Ipko - Fix</t>
  </si>
  <si>
    <t>Ipko - International</t>
  </si>
  <si>
    <t xml:space="preserve"> Z Mobile </t>
  </si>
  <si>
    <t xml:space="preserve">mobil rrejti ame </t>
  </si>
  <si>
    <t xml:space="preserve">off net </t>
  </si>
  <si>
    <t xml:space="preserve">  Fix</t>
  </si>
  <si>
    <t xml:space="preserve">Vala to MVNO </t>
  </si>
  <si>
    <t xml:space="preserve">Ipko to MVNO </t>
  </si>
  <si>
    <t>Ipko-On net</t>
  </si>
  <si>
    <t>Ipko - Mobile</t>
  </si>
  <si>
    <t xml:space="preserve">Roamingu inbound  </t>
  </si>
  <si>
    <t xml:space="preserve">Ipko  </t>
  </si>
  <si>
    <t xml:space="preserve">Ndarja e tregut sipas te hyrave </t>
  </si>
  <si>
    <t xml:space="preserve">Koeficienti </t>
  </si>
  <si>
    <t xml:space="preserve">Te ardhurat janë   </t>
  </si>
  <si>
    <t xml:space="preserve">Te hyrat ne mil </t>
  </si>
  <si>
    <t xml:space="preserve">Pjesmarrja ne tregut </t>
  </si>
  <si>
    <t xml:space="preserve">Terminimi </t>
  </si>
  <si>
    <t xml:space="preserve">Te hyrat tjera /Vlera korrigjuese </t>
  </si>
  <si>
    <t>K1 2012</t>
  </si>
  <si>
    <t>K2 2012</t>
  </si>
  <si>
    <t>IPKO</t>
  </si>
  <si>
    <t>D3 Mobile</t>
  </si>
  <si>
    <t>K2-2012</t>
  </si>
  <si>
    <t>K3 2012</t>
  </si>
  <si>
    <t>K3-2012</t>
  </si>
  <si>
    <t>Nr.</t>
  </si>
  <si>
    <t>Përshkrimi</t>
  </si>
  <si>
    <t xml:space="preserve">                drejt rrjetit fiks </t>
  </si>
  <si>
    <t xml:space="preserve">                drejt rrjetit ndërkombëtar  </t>
  </si>
  <si>
    <t xml:space="preserve">                prej rrjetit ndërkombëtar  </t>
  </si>
  <si>
    <t xml:space="preserve">                prej  rrjetit fiks </t>
  </si>
  <si>
    <t>K4 2012</t>
  </si>
  <si>
    <t>K3-2013</t>
  </si>
  <si>
    <t>2013</t>
  </si>
  <si>
    <t>K1 2013</t>
  </si>
  <si>
    <t>MVNO</t>
  </si>
  <si>
    <t>K2 2013</t>
  </si>
  <si>
    <t>K2-2013</t>
  </si>
  <si>
    <t>379</t>
  </si>
  <si>
    <t>30212</t>
  </si>
  <si>
    <t>K3 2013</t>
  </si>
  <si>
    <t>K3</t>
  </si>
  <si>
    <t>K4 2013</t>
  </si>
  <si>
    <t>K4 2014</t>
  </si>
  <si>
    <t>K1</t>
  </si>
  <si>
    <t>K4</t>
  </si>
  <si>
    <t>K2</t>
  </si>
  <si>
    <t>K1 2014</t>
  </si>
  <si>
    <t>K2 2014</t>
  </si>
  <si>
    <t>K3 2014</t>
  </si>
  <si>
    <t>k4</t>
  </si>
  <si>
    <t>-</t>
  </si>
  <si>
    <t>data sim</t>
  </si>
  <si>
    <t>total incoming traffikc</t>
  </si>
  <si>
    <t xml:space="preserve">TM3 </t>
  </si>
  <si>
    <t>Ndryshimi 
TM3 2015 –TM2 2015
(%)</t>
  </si>
  <si>
    <t>Ndryshimi 
TM3 2015 –TM3 2014
(%)</t>
  </si>
  <si>
    <t>Total MNO Incomming traffic</t>
  </si>
  <si>
    <t>total</t>
  </si>
  <si>
    <t>3/4 G</t>
  </si>
  <si>
    <t>d3</t>
  </si>
  <si>
    <t>lte</t>
  </si>
  <si>
    <t>3g</t>
  </si>
  <si>
    <t>2g</t>
  </si>
  <si>
    <t xml:space="preserve">popullsia </t>
  </si>
  <si>
    <t xml:space="preserve">Fiks </t>
  </si>
  <si>
    <t xml:space="preserve"> Mobil </t>
  </si>
  <si>
    <t>Përdoruesit</t>
  </si>
  <si>
    <t>Mobil GPRS/EDGE</t>
  </si>
  <si>
    <t>Mobile 3G/4G</t>
  </si>
  <si>
    <t>Fixed</t>
  </si>
  <si>
    <t>TM 1</t>
  </si>
  <si>
    <t xml:space="preserve">data sim </t>
  </si>
  <si>
    <t>vala</t>
  </si>
  <si>
    <t>TM 2</t>
  </si>
  <si>
    <t>tm22016</t>
  </si>
  <si>
    <t>MTS DOO</t>
  </si>
  <si>
    <t xml:space="preserve">   - Mobile</t>
  </si>
  <si>
    <t>MTS Doo</t>
  </si>
  <si>
    <t>mts doo</t>
  </si>
  <si>
    <t>mts Doo</t>
  </si>
  <si>
    <t xml:space="preserve">Data Sim </t>
  </si>
  <si>
    <t xml:space="preserve">Z mobile </t>
  </si>
  <si>
    <t xml:space="preserve">D3 </t>
  </si>
  <si>
    <t>MTS</t>
  </si>
  <si>
    <t xml:space="preserve">Total </t>
  </si>
  <si>
    <t xml:space="preserve"> </t>
  </si>
  <si>
    <t>TM</t>
  </si>
  <si>
    <t>TM2-2019</t>
  </si>
  <si>
    <t>TM3-2019</t>
  </si>
  <si>
    <t>TM 3</t>
  </si>
  <si>
    <t>TM 4</t>
  </si>
  <si>
    <t>TM2 2015</t>
  </si>
  <si>
    <t>TM3 2014</t>
  </si>
  <si>
    <t>Totali i trafikut të origjinuar MNO dhe MVNO</t>
  </si>
  <si>
    <t>Trafiku i origjinuar nga MNO :</t>
  </si>
  <si>
    <t>1.1.1</t>
  </si>
  <si>
    <t xml:space="preserve">                brenda rrejtit </t>
  </si>
  <si>
    <t xml:space="preserve">                drejt rrjetit mobil  MVNO </t>
  </si>
  <si>
    <t>1.1.2</t>
  </si>
  <si>
    <r>
      <t xml:space="preserve">                drejt rrjetit tjetër mobil  (</t>
    </r>
    <r>
      <rPr>
        <i/>
        <sz val="12"/>
        <color indexed="8"/>
        <rFont val="Book Antiqua"/>
        <family val="1"/>
      </rPr>
      <t>mobil off-net</t>
    </r>
    <r>
      <rPr>
        <sz val="12"/>
        <color indexed="8"/>
        <rFont val="Book Antiqua"/>
        <family val="1"/>
      </rPr>
      <t>)</t>
    </r>
  </si>
  <si>
    <t>1.1.3</t>
  </si>
  <si>
    <t>1.1.4</t>
  </si>
  <si>
    <t>Trafiku i origjinuar MVNO :</t>
  </si>
  <si>
    <t>1.2.1</t>
  </si>
  <si>
    <t xml:space="preserve">                brenda rrejtit MVNO</t>
  </si>
  <si>
    <t>1.2.2</t>
  </si>
  <si>
    <t xml:space="preserve">                drejt rrjetit mobil MNO </t>
  </si>
  <si>
    <t>1.2.3</t>
  </si>
  <si>
    <t>1.2.4</t>
  </si>
  <si>
    <t>1.2.5</t>
  </si>
  <si>
    <t>Ndryshimi 
TM1 2015 –TM4 2014
(%)</t>
  </si>
  <si>
    <t>Ndryshimi 
TM1 2015 –TM1 2014
(%)</t>
  </si>
  <si>
    <t xml:space="preserve">Totali i trafikut të terminuar </t>
  </si>
  <si>
    <r>
      <t xml:space="preserve">                prej rrjetit tjetër mobil  (</t>
    </r>
    <r>
      <rPr>
        <i/>
        <sz val="12"/>
        <color indexed="8"/>
        <rFont val="Book Antiqua"/>
        <family val="1"/>
      </rPr>
      <t>mobil off-net</t>
    </r>
    <r>
      <rPr>
        <sz val="12"/>
        <color indexed="8"/>
        <rFont val="Book Antiqua"/>
        <family val="1"/>
      </rPr>
      <t>)</t>
    </r>
  </si>
  <si>
    <t>k1</t>
  </si>
  <si>
    <t>k3</t>
  </si>
  <si>
    <t>Ndryshimi 
TM4 2021 –TM3 2021
(%)</t>
  </si>
  <si>
    <t>Ndryshimi 
TM4 2021 –TM4 2020
(%)</t>
  </si>
  <si>
    <t>Ndryshimi 
TM1 2022 –TM4 2021
(%)</t>
  </si>
  <si>
    <t>Ndryshimi 
TM1 2022 –TM1 2021
(%)</t>
  </si>
  <si>
    <t>TM1-2022</t>
  </si>
  <si>
    <t>TM2 2022</t>
  </si>
  <si>
    <t>TM2- 2021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</si>
</sst>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0.0000%"/>
    <numFmt numFmtId="166" formatCode="0.0%"/>
    <numFmt numFmtId="167" formatCode="0.000%"/>
    <numFmt numFmtId="168" formatCode="_(* #,##0_);_(* \(#,##0\);_(* &quot;-&quot;??_);_(@_)"/>
    <numFmt numFmtId="169" formatCode="0.00000"/>
    <numFmt numFmtId="170" formatCode="#,##0.0"/>
    <numFmt numFmtId="171" formatCode="0.000"/>
    <numFmt numFmtId="172" formatCode="0.0"/>
    <numFmt numFmtId="173" formatCode="_-* #,##0.00_-;\-* #,##0.00_-;_-* &quot;-&quot;??_-;_-@_-"/>
    <numFmt numFmtId="174" formatCode="_(* #,##0.0_);_(* \(#,##0.0\);_(* &quot;-&quot;??_);_(@_)"/>
    <numFmt numFmtId="175" formatCode="_(* #,##0.000_);_(* \(#,##0.000\);_(* &quot;-&quot;??_);_(@_)"/>
    <numFmt numFmtId="176" formatCode="_-* #,##0.00\ _R_S_D_-;\-* #,##0.00\ _R_S_D_-;_-* &quot;-&quot;??\ _R_S_D_-;_-@_-"/>
  </numFmts>
  <fonts count="5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Book Antiqua"/>
      <family val="1"/>
    </font>
    <font>
      <b/>
      <sz val="10"/>
      <name val="Book Antiqua"/>
      <family val="1"/>
    </font>
    <font>
      <b/>
      <sz val="10"/>
      <color indexed="10"/>
      <name val="Book Antiqu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Book Antiqua"/>
      <family val="1"/>
    </font>
    <font>
      <sz val="12"/>
      <name val="Book Antiqua"/>
      <family val="1"/>
    </font>
    <font>
      <b/>
      <i/>
      <sz val="10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color indexed="8"/>
      <name val="Book Antiqua"/>
      <family val="1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0"/>
      <color theme="1"/>
      <name val="Arial"/>
      <family val="2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0"/>
      <color rgb="FFFF0000"/>
      <name val="Book Antiqua"/>
      <family val="1"/>
    </font>
    <font>
      <b/>
      <i/>
      <sz val="10"/>
      <color rgb="FFFF0000"/>
      <name val="Book Antiqua"/>
      <family val="1"/>
    </font>
    <font>
      <b/>
      <sz val="11"/>
      <color rgb="FF000000"/>
      <name val="Book Antiqua"/>
      <family val="1"/>
    </font>
    <font>
      <b/>
      <sz val="11"/>
      <color theme="1"/>
      <name val="Book Antiqua"/>
      <family val="1"/>
    </font>
    <font>
      <sz val="10"/>
      <color rgb="FFFF0000"/>
      <name val="Book Antiqua"/>
      <family val="1"/>
    </font>
    <font>
      <b/>
      <sz val="11"/>
      <color rgb="FFFF0000"/>
      <name val="Book Antiqua"/>
      <family val="1"/>
    </font>
    <font>
      <sz val="11"/>
      <color rgb="FFFF0000"/>
      <name val="Book Antiqua"/>
      <family val="1"/>
    </font>
    <font>
      <b/>
      <sz val="12"/>
      <color rgb="FF000000"/>
      <name val="Book Antiqua"/>
      <family val="1"/>
    </font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2"/>
      <color rgb="FF000000"/>
      <name val="Book Antiqua"/>
      <family val="1"/>
    </font>
    <font>
      <b/>
      <sz val="12"/>
      <color theme="1"/>
      <name val="Calibri"/>
      <family val="2"/>
      <scheme val="minor"/>
    </font>
    <font>
      <b/>
      <sz val="10.5"/>
      <color theme="1"/>
      <name val="Book Antiqua"/>
      <family val="1"/>
    </font>
    <font>
      <sz val="10.5"/>
      <color theme="1"/>
      <name val="Book Antiqua"/>
      <family val="1"/>
    </font>
    <font>
      <sz val="10"/>
      <color rgb="FFFF0000"/>
      <name val="Arial"/>
      <family val="2"/>
    </font>
    <font>
      <sz val="13"/>
      <color theme="1"/>
      <name val="Book Antiqua"/>
      <family val="1"/>
    </font>
    <font>
      <sz val="10.5"/>
      <color theme="1"/>
      <name val="Calibri"/>
      <family val="2"/>
      <scheme val="minor"/>
    </font>
    <font>
      <b/>
      <sz val="9"/>
      <color rgb="FF000000"/>
      <name val="Book Antiqua"/>
      <family val="1"/>
    </font>
    <font>
      <sz val="9"/>
      <color rgb="FF000000"/>
      <name val="Book Antiqu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entury Gothic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Franklin Gothic Book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i/>
      <sz val="12"/>
      <color indexed="8"/>
      <name val="Book Antiqua"/>
      <family val="1"/>
    </font>
    <font>
      <sz val="12"/>
      <color indexed="8"/>
      <name val="Book Antiqua"/>
      <family val="1"/>
    </font>
    <font>
      <sz val="9"/>
      <color rgb="FF000000"/>
      <name val="Franklin Gothic Book"/>
      <family val="2"/>
    </font>
    <font>
      <sz val="10"/>
      <color rgb="FF000000"/>
      <name val="Franklin Gothic Book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4CDCF"/>
        <bgColor indexed="64"/>
      </patternFill>
    </fill>
    <fill>
      <patternFill patternType="solid">
        <fgColor rgb="FFF5F5E5"/>
        <bgColor indexed="64"/>
      </patternFill>
    </fill>
    <fill>
      <patternFill patternType="solid">
        <fgColor rgb="FFFFEB9C"/>
      </patternFill>
    </fill>
    <fill>
      <patternFill patternType="solid">
        <fgColor rgb="FFF8BDA6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rgb="FF438086"/>
      </left>
      <right style="medium">
        <color rgb="FF999900"/>
      </right>
      <top style="medium">
        <color rgb="FF999900"/>
      </top>
      <bottom style="medium">
        <color rgb="FF999900"/>
      </bottom>
      <diagonal/>
    </border>
    <border>
      <left style="thin">
        <color indexed="64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 style="hair">
        <color indexed="64"/>
      </right>
      <top/>
      <bottom/>
      <diagonal/>
    </border>
    <border>
      <left style="thin">
        <color rgb="FF009DD9"/>
      </left>
      <right style="thin">
        <color rgb="FF009DD9"/>
      </right>
      <top style="medium">
        <color rgb="FF999900"/>
      </top>
      <bottom style="medium">
        <color rgb="FF999900"/>
      </bottom>
      <diagonal/>
    </border>
    <border>
      <left style="thin">
        <color rgb="FF009DD9"/>
      </left>
      <right style="medium">
        <color rgb="FF999900"/>
      </right>
      <top style="medium">
        <color rgb="FF999900"/>
      </top>
      <bottom style="medium">
        <color rgb="FF9999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4F81BD"/>
      </right>
      <top/>
      <bottom/>
      <diagonal/>
    </border>
  </borders>
  <cellStyleXfs count="34">
    <xf numFmtId="0" fontId="0" fillId="0" borderId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2" fontId="4" fillId="0" borderId="0"/>
    <xf numFmtId="176" fontId="49" fillId="0" borderId="0" applyFont="0" applyFill="0" applyBorder="0" applyAlignment="0" applyProtection="0"/>
    <xf numFmtId="176" fontId="49" fillId="0" borderId="0" applyFont="0" applyFill="0" applyBorder="0" applyAlignment="0" applyProtection="0"/>
    <xf numFmtId="176" fontId="49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47" fillId="16" borderId="0" applyNumberFormat="0" applyBorder="0" applyAlignment="0" applyProtection="0"/>
    <xf numFmtId="0" fontId="2" fillId="0" borderId="0"/>
    <xf numFmtId="0" fontId="2" fillId="0" borderId="0"/>
    <xf numFmtId="0" fontId="48" fillId="0" borderId="0"/>
    <xf numFmtId="0" fontId="17" fillId="0" borderId="0"/>
    <xf numFmtId="0" fontId="49" fillId="0" borderId="0"/>
    <xf numFmtId="9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</cellStyleXfs>
  <cellXfs count="751">
    <xf numFmtId="0" fontId="0" fillId="0" borderId="0" xfId="0"/>
    <xf numFmtId="0" fontId="18" fillId="0" borderId="0" xfId="0" applyFont="1"/>
    <xf numFmtId="0" fontId="18" fillId="0" borderId="0" xfId="0" applyFont="1" applyBorder="1"/>
    <xf numFmtId="49" fontId="6" fillId="2" borderId="0" xfId="7" applyNumberFormat="1" applyFont="1" applyFill="1" applyBorder="1" applyAlignment="1">
      <alignment horizontal="center" vertical="center"/>
    </xf>
    <xf numFmtId="0" fontId="18" fillId="0" borderId="0" xfId="0" applyFont="1" applyFill="1" applyBorder="1"/>
    <xf numFmtId="3" fontId="18" fillId="0" borderId="0" xfId="0" applyNumberFormat="1" applyFont="1" applyBorder="1"/>
    <xf numFmtId="10" fontId="18" fillId="0" borderId="0" xfId="0" applyNumberFormat="1" applyFont="1" applyBorder="1"/>
    <xf numFmtId="2" fontId="18" fillId="0" borderId="0" xfId="0" applyNumberFormat="1" applyFont="1" applyBorder="1"/>
    <xf numFmtId="49" fontId="3" fillId="3" borderId="0" xfId="7" applyNumberFormat="1" applyFont="1" applyFill="1" applyBorder="1" applyAlignment="1">
      <alignment horizontal="center" vertical="center"/>
    </xf>
    <xf numFmtId="0" fontId="19" fillId="0" borderId="0" xfId="0" applyFont="1"/>
    <xf numFmtId="4" fontId="19" fillId="0" borderId="0" xfId="0" applyNumberFormat="1" applyFont="1"/>
    <xf numFmtId="168" fontId="19" fillId="0" borderId="0" xfId="1" applyNumberFormat="1" applyFont="1"/>
    <xf numFmtId="0" fontId="19" fillId="3" borderId="0" xfId="0" applyFont="1" applyFill="1"/>
    <xf numFmtId="164" fontId="19" fillId="0" borderId="0" xfId="0" applyNumberFormat="1" applyFont="1"/>
    <xf numFmtId="10" fontId="19" fillId="0" borderId="0" xfId="11" applyNumberFormat="1" applyFont="1"/>
    <xf numFmtId="0" fontId="19" fillId="4" borderId="0" xfId="0" applyFont="1" applyFill="1"/>
    <xf numFmtId="3" fontId="2" fillId="4" borderId="0" xfId="5" applyNumberFormat="1" applyFont="1" applyFill="1"/>
    <xf numFmtId="0" fontId="5" fillId="0" borderId="0" xfId="5" applyFont="1" applyBorder="1" applyAlignment="1" applyProtection="1">
      <alignment horizontal="right" vertical="top" wrapText="1"/>
    </xf>
    <xf numFmtId="0" fontId="7" fillId="3" borderId="0" xfId="5" applyFont="1" applyFill="1"/>
    <xf numFmtId="0" fontId="20" fillId="3" borderId="0" xfId="0" applyFont="1" applyFill="1" applyBorder="1" applyAlignment="1">
      <alignment horizontal="center"/>
    </xf>
    <xf numFmtId="0" fontId="21" fillId="0" borderId="0" xfId="0" applyFont="1"/>
    <xf numFmtId="0" fontId="5" fillId="0" borderId="0" xfId="5" applyFont="1"/>
    <xf numFmtId="0" fontId="6" fillId="3" borderId="0" xfId="7" applyFont="1" applyFill="1" applyBorder="1"/>
    <xf numFmtId="49" fontId="6" fillId="3" borderId="0" xfId="7" applyNumberFormat="1" applyFont="1" applyFill="1" applyBorder="1" applyAlignment="1">
      <alignment horizontal="center" vertical="center"/>
    </xf>
    <xf numFmtId="3" fontId="5" fillId="0" borderId="0" xfId="5" applyNumberFormat="1" applyFont="1"/>
    <xf numFmtId="0" fontId="12" fillId="0" borderId="0" xfId="5" applyFont="1"/>
    <xf numFmtId="4" fontId="5" fillId="0" borderId="0" xfId="5" applyNumberFormat="1" applyFont="1"/>
    <xf numFmtId="4" fontId="21" fillId="0" borderId="0" xfId="0" applyNumberFormat="1" applyFont="1"/>
    <xf numFmtId="0" fontId="21" fillId="3" borderId="0" xfId="0" applyFont="1" applyFill="1"/>
    <xf numFmtId="0" fontId="22" fillId="3" borderId="0" xfId="5" applyFont="1" applyFill="1"/>
    <xf numFmtId="0" fontId="23" fillId="3" borderId="0" xfId="5" applyFont="1" applyFill="1"/>
    <xf numFmtId="164" fontId="21" fillId="0" borderId="0" xfId="0" applyNumberFormat="1" applyFont="1"/>
    <xf numFmtId="4" fontId="21" fillId="3" borderId="0" xfId="0" applyNumberFormat="1" applyFont="1" applyFill="1"/>
    <xf numFmtId="10" fontId="21" fillId="0" borderId="0" xfId="11" applyNumberFormat="1" applyFont="1"/>
    <xf numFmtId="166" fontId="21" fillId="0" borderId="0" xfId="11" applyNumberFormat="1" applyFont="1"/>
    <xf numFmtId="0" fontId="5" fillId="0" borderId="0" xfId="5" applyFont="1" applyFill="1"/>
    <xf numFmtId="9" fontId="21" fillId="0" borderId="0" xfId="11" applyFont="1"/>
    <xf numFmtId="0" fontId="21" fillId="4" borderId="0" xfId="0" applyFont="1" applyFill="1"/>
    <xf numFmtId="0" fontId="22" fillId="4" borderId="0" xfId="5" applyFont="1" applyFill="1"/>
    <xf numFmtId="3" fontId="21" fillId="0" borderId="0" xfId="0" applyNumberFormat="1" applyFont="1"/>
    <xf numFmtId="0" fontId="21" fillId="5" borderId="0" xfId="0" applyFont="1" applyFill="1"/>
    <xf numFmtId="0" fontId="21" fillId="0" borderId="0" xfId="0" applyFont="1" applyFill="1"/>
    <xf numFmtId="0" fontId="5" fillId="5" borderId="0" xfId="5" applyFont="1" applyFill="1" applyBorder="1" applyAlignment="1" applyProtection="1">
      <alignment horizontal="right" vertical="top" wrapText="1"/>
    </xf>
    <xf numFmtId="0" fontId="5" fillId="5" borderId="0" xfId="5" applyFont="1" applyFill="1"/>
    <xf numFmtId="4" fontId="5" fillId="5" borderId="0" xfId="5" applyNumberFormat="1" applyFont="1" applyFill="1"/>
    <xf numFmtId="3" fontId="5" fillId="6" borderId="0" xfId="7" applyNumberFormat="1" applyFont="1" applyFill="1" applyBorder="1" applyProtection="1">
      <protection locked="0"/>
    </xf>
    <xf numFmtId="3" fontId="5" fillId="0" borderId="0" xfId="7" applyNumberFormat="1" applyFont="1" applyFill="1" applyBorder="1" applyProtection="1">
      <protection locked="0"/>
    </xf>
    <xf numFmtId="0" fontId="18" fillId="0" borderId="0" xfId="0" applyFont="1" applyFill="1"/>
    <xf numFmtId="9" fontId="18" fillId="0" borderId="0" xfId="0" applyNumberFormat="1" applyFont="1" applyBorder="1"/>
    <xf numFmtId="1" fontId="18" fillId="0" borderId="0" xfId="0" applyNumberFormat="1" applyFont="1" applyBorder="1"/>
    <xf numFmtId="169" fontId="18" fillId="0" borderId="0" xfId="0" applyNumberFormat="1" applyFont="1" applyBorder="1"/>
    <xf numFmtId="0" fontId="6" fillId="0" borderId="0" xfId="7" applyFont="1" applyFill="1" applyBorder="1" applyAlignment="1">
      <alignment horizontal="left" vertical="center"/>
    </xf>
    <xf numFmtId="170" fontId="18" fillId="0" borderId="0" xfId="0" applyNumberFormat="1" applyFont="1" applyBorder="1"/>
    <xf numFmtId="4" fontId="18" fillId="0" borderId="0" xfId="0" applyNumberFormat="1" applyFont="1" applyFill="1" applyBorder="1"/>
    <xf numFmtId="3" fontId="13" fillId="0" borderId="0" xfId="10" applyNumberFormat="1" applyFont="1" applyFill="1" applyBorder="1" applyProtection="1">
      <protection locked="0"/>
    </xf>
    <xf numFmtId="164" fontId="13" fillId="0" borderId="0" xfId="10" applyNumberFormat="1" applyFont="1" applyFill="1" applyBorder="1" applyProtection="1">
      <protection locked="0"/>
    </xf>
    <xf numFmtId="3" fontId="24" fillId="0" borderId="0" xfId="0" applyNumberFormat="1" applyFont="1" applyBorder="1" applyAlignment="1">
      <alignment horizontal="right" vertical="top" wrapText="1"/>
    </xf>
    <xf numFmtId="0" fontId="24" fillId="0" borderId="0" xfId="0" applyFont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13" fillId="0" borderId="0" xfId="8" applyFont="1" applyFill="1" applyBorder="1"/>
    <xf numFmtId="2" fontId="18" fillId="5" borderId="0" xfId="0" applyNumberFormat="1" applyFont="1" applyFill="1" applyBorder="1"/>
    <xf numFmtId="2" fontId="13" fillId="5" borderId="0" xfId="10" applyNumberFormat="1" applyFont="1" applyFill="1" applyBorder="1"/>
    <xf numFmtId="2" fontId="10" fillId="5" borderId="0" xfId="8" applyNumberFormat="1" applyFont="1" applyFill="1" applyBorder="1" applyProtection="1">
      <protection locked="0"/>
    </xf>
    <xf numFmtId="0" fontId="13" fillId="0" borderId="0" xfId="8" applyFont="1" applyFill="1" applyBorder="1" applyAlignment="1">
      <alignment horizontal="center"/>
    </xf>
    <xf numFmtId="9" fontId="6" fillId="0" borderId="0" xfId="11" applyFont="1" applyFill="1" applyBorder="1"/>
    <xf numFmtId="10" fontId="6" fillId="0" borderId="0" xfId="11" applyNumberFormat="1" applyFont="1" applyFill="1" applyBorder="1" applyProtection="1">
      <protection locked="0"/>
    </xf>
    <xf numFmtId="168" fontId="21" fillId="0" borderId="1" xfId="1" applyNumberFormat="1" applyFont="1" applyFill="1" applyBorder="1"/>
    <xf numFmtId="0" fontId="21" fillId="0" borderId="1" xfId="0" applyFont="1" applyFill="1" applyBorder="1"/>
    <xf numFmtId="0" fontId="21" fillId="0" borderId="1" xfId="0" applyFont="1" applyBorder="1"/>
    <xf numFmtId="43" fontId="21" fillId="0" borderId="0" xfId="0" applyNumberFormat="1" applyFont="1"/>
    <xf numFmtId="10" fontId="10" fillId="5" borderId="0" xfId="11" applyNumberFormat="1" applyFont="1" applyFill="1" applyBorder="1" applyProtection="1">
      <protection locked="0"/>
    </xf>
    <xf numFmtId="1" fontId="21" fillId="0" borderId="0" xfId="0" applyNumberFormat="1" applyFont="1"/>
    <xf numFmtId="0" fontId="21" fillId="0" borderId="0" xfId="0" applyFont="1" applyFill="1" applyBorder="1"/>
    <xf numFmtId="168" fontId="21" fillId="0" borderId="1" xfId="0" applyNumberFormat="1" applyFont="1" applyBorder="1"/>
    <xf numFmtId="1" fontId="21" fillId="0" borderId="1" xfId="0" applyNumberFormat="1" applyFont="1" applyBorder="1"/>
    <xf numFmtId="43" fontId="18" fillId="5" borderId="0" xfId="1" applyFont="1" applyFill="1" applyBorder="1"/>
    <xf numFmtId="0" fontId="6" fillId="2" borderId="0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center"/>
    </xf>
    <xf numFmtId="0" fontId="6" fillId="3" borderId="0" xfId="7" applyFont="1" applyFill="1" applyBorder="1" applyAlignment="1">
      <alignment horizontal="center"/>
    </xf>
    <xf numFmtId="0" fontId="6" fillId="2" borderId="0" xfId="7" applyFont="1" applyFill="1" applyBorder="1"/>
    <xf numFmtId="0" fontId="18" fillId="0" borderId="0" xfId="0" applyFont="1" applyFill="1" applyBorder="1" applyAlignment="1">
      <alignment horizontal="center"/>
    </xf>
    <xf numFmtId="0" fontId="5" fillId="0" borderId="0" xfId="7" applyFont="1" applyFill="1" applyBorder="1"/>
    <xf numFmtId="3" fontId="5" fillId="0" borderId="0" xfId="7" applyNumberFormat="1" applyFont="1" applyFill="1" applyBorder="1"/>
    <xf numFmtId="3" fontId="5" fillId="0" borderId="0" xfId="7" applyNumberFormat="1" applyFont="1" applyFill="1" applyBorder="1" applyAlignment="1" applyProtection="1">
      <alignment horizontal="right"/>
      <protection locked="0"/>
    </xf>
    <xf numFmtId="0" fontId="5" fillId="4" borderId="0" xfId="7" applyFont="1" applyFill="1" applyBorder="1"/>
    <xf numFmtId="0" fontId="5" fillId="5" borderId="0" xfId="7" applyFont="1" applyFill="1" applyBorder="1"/>
    <xf numFmtId="3" fontId="5" fillId="5" borderId="0" xfId="7" applyNumberFormat="1" applyFont="1" applyFill="1" applyBorder="1"/>
    <xf numFmtId="3" fontId="5" fillId="5" borderId="0" xfId="7" applyNumberFormat="1" applyFont="1" applyFill="1" applyBorder="1" applyProtection="1">
      <protection locked="0"/>
    </xf>
    <xf numFmtId="3" fontId="5" fillId="5" borderId="0" xfId="7" applyNumberFormat="1" applyFont="1" applyFill="1" applyBorder="1" applyAlignment="1" applyProtection="1">
      <alignment horizontal="right"/>
      <protection locked="0"/>
    </xf>
    <xf numFmtId="0" fontId="5" fillId="0" borderId="0" xfId="7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3" fontId="5" fillId="0" borderId="0" xfId="7" applyNumberFormat="1" applyFont="1" applyFill="1" applyBorder="1" applyAlignment="1">
      <alignment horizontal="right"/>
    </xf>
    <xf numFmtId="3" fontId="5" fillId="4" borderId="0" xfId="7" applyNumberFormat="1" applyFont="1" applyFill="1" applyBorder="1"/>
    <xf numFmtId="0" fontId="6" fillId="0" borderId="0" xfId="7" applyFont="1" applyFill="1" applyBorder="1"/>
    <xf numFmtId="3" fontId="6" fillId="0" borderId="0" xfId="7" applyNumberFormat="1" applyFont="1" applyFill="1" applyBorder="1"/>
    <xf numFmtId="3" fontId="6" fillId="0" borderId="0" xfId="7" applyNumberFormat="1" applyFont="1" applyFill="1" applyBorder="1" applyProtection="1">
      <protection locked="0"/>
    </xf>
    <xf numFmtId="3" fontId="11" fillId="0" borderId="0" xfId="7" applyNumberFormat="1" applyFont="1" applyFill="1" applyBorder="1"/>
    <xf numFmtId="3" fontId="13" fillId="0" borderId="0" xfId="7" applyNumberFormat="1" applyFont="1" applyFill="1" applyBorder="1" applyProtection="1">
      <protection locked="0"/>
    </xf>
    <xf numFmtId="3" fontId="13" fillId="0" borderId="0" xfId="8" applyNumberFormat="1" applyFont="1" applyFill="1" applyBorder="1" applyProtection="1">
      <protection locked="0"/>
    </xf>
    <xf numFmtId="3" fontId="5" fillId="4" borderId="0" xfId="7" applyNumberFormat="1" applyFont="1" applyFill="1" applyBorder="1" applyProtection="1">
      <protection locked="0"/>
    </xf>
    <xf numFmtId="3" fontId="18" fillId="4" borderId="0" xfId="0" applyNumberFormat="1" applyFont="1" applyFill="1" applyBorder="1"/>
    <xf numFmtId="3" fontId="11" fillId="4" borderId="0" xfId="7" applyNumberFormat="1" applyFont="1" applyFill="1" applyBorder="1"/>
    <xf numFmtId="3" fontId="13" fillId="4" borderId="0" xfId="7" applyNumberFormat="1" applyFont="1" applyFill="1" applyBorder="1" applyProtection="1">
      <protection locked="0"/>
    </xf>
    <xf numFmtId="3" fontId="13" fillId="5" borderId="0" xfId="7" applyNumberFormat="1" applyFont="1" applyFill="1" applyBorder="1" applyProtection="1">
      <protection locked="0"/>
    </xf>
    <xf numFmtId="3" fontId="10" fillId="0" borderId="0" xfId="7" applyNumberFormat="1" applyFont="1" applyFill="1" applyBorder="1"/>
    <xf numFmtId="3" fontId="10" fillId="0" borderId="0" xfId="7" applyNumberFormat="1" applyFont="1" applyFill="1" applyBorder="1" applyProtection="1">
      <protection locked="0"/>
    </xf>
    <xf numFmtId="168" fontId="18" fillId="0" borderId="0" xfId="3" applyNumberFormat="1" applyFont="1" applyBorder="1"/>
    <xf numFmtId="0" fontId="18" fillId="0" borderId="0" xfId="0" applyNumberFormat="1" applyFont="1" applyBorder="1"/>
    <xf numFmtId="166" fontId="18" fillId="0" borderId="0" xfId="0" applyNumberFormat="1" applyFont="1" applyBorder="1"/>
    <xf numFmtId="0" fontId="18" fillId="0" borderId="0" xfId="0" applyNumberFormat="1" applyFont="1" applyBorder="1" applyAlignment="1"/>
    <xf numFmtId="0" fontId="25" fillId="0" borderId="0" xfId="0" applyFont="1" applyFill="1" applyBorder="1" applyAlignment="1">
      <alignment horizontal="center"/>
    </xf>
    <xf numFmtId="0" fontId="18" fillId="3" borderId="0" xfId="0" applyFont="1" applyFill="1" applyBorder="1"/>
    <xf numFmtId="0" fontId="5" fillId="0" borderId="0" xfId="7" applyFont="1" applyFill="1" applyBorder="1" applyAlignment="1">
      <alignment horizontal="left" vertical="center"/>
    </xf>
    <xf numFmtId="0" fontId="5" fillId="5" borderId="0" xfId="7" applyFont="1" applyFill="1" applyBorder="1" applyAlignment="1">
      <alignment horizontal="left" vertical="center"/>
    </xf>
    <xf numFmtId="4" fontId="18" fillId="0" borderId="0" xfId="0" applyNumberFormat="1" applyFont="1" applyBorder="1"/>
    <xf numFmtId="0" fontId="18" fillId="3" borderId="0" xfId="0" applyFont="1" applyFill="1" applyBorder="1" applyAlignment="1"/>
    <xf numFmtId="0" fontId="18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18" fillId="3" borderId="0" xfId="0" applyFont="1" applyFill="1" applyBorder="1" applyAlignment="1">
      <alignment horizontal="center"/>
    </xf>
    <xf numFmtId="0" fontId="27" fillId="3" borderId="0" xfId="8" applyFont="1" applyFill="1" applyBorder="1" applyAlignment="1">
      <alignment horizontal="left"/>
    </xf>
    <xf numFmtId="0" fontId="27" fillId="3" borderId="0" xfId="0" applyFont="1" applyFill="1" applyBorder="1" applyAlignment="1">
      <alignment horizontal="left"/>
    </xf>
    <xf numFmtId="0" fontId="27" fillId="3" borderId="0" xfId="0" applyFont="1" applyFill="1" applyBorder="1" applyAlignment="1"/>
    <xf numFmtId="0" fontId="10" fillId="7" borderId="0" xfId="7" applyFont="1" applyFill="1" applyBorder="1" applyAlignment="1">
      <alignment horizontal="center"/>
    </xf>
    <xf numFmtId="0" fontId="10" fillId="0" borderId="0" xfId="8" applyFont="1" applyFill="1" applyBorder="1" applyAlignment="1">
      <alignment vertical="center"/>
    </xf>
    <xf numFmtId="2" fontId="18" fillId="0" borderId="0" xfId="2" applyNumberFormat="1" applyFont="1" applyFill="1" applyBorder="1"/>
    <xf numFmtId="2" fontId="18" fillId="0" borderId="0" xfId="0" applyNumberFormat="1" applyFont="1" applyFill="1" applyBorder="1"/>
    <xf numFmtId="2" fontId="13" fillId="0" borderId="0" xfId="8" applyNumberFormat="1" applyFont="1" applyFill="1" applyBorder="1"/>
    <xf numFmtId="4" fontId="13" fillId="0" borderId="0" xfId="8" applyNumberFormat="1" applyFont="1" applyFill="1" applyBorder="1"/>
    <xf numFmtId="3" fontId="13" fillId="0" borderId="0" xfId="12" applyNumberFormat="1" applyFont="1" applyFill="1" applyBorder="1" applyAlignment="1" applyProtection="1">
      <protection locked="0"/>
    </xf>
    <xf numFmtId="4" fontId="13" fillId="0" borderId="0" xfId="12" applyNumberFormat="1" applyFont="1" applyFill="1" applyBorder="1" applyAlignment="1" applyProtection="1">
      <protection locked="0"/>
    </xf>
    <xf numFmtId="49" fontId="10" fillId="7" borderId="0" xfId="8" applyNumberFormat="1" applyFont="1" applyFill="1" applyBorder="1" applyAlignment="1">
      <alignment horizontal="center"/>
    </xf>
    <xf numFmtId="0" fontId="10" fillId="0" borderId="0" xfId="8" applyFont="1" applyFill="1" applyBorder="1" applyAlignment="1">
      <alignment horizontal="center" vertical="center"/>
    </xf>
    <xf numFmtId="4" fontId="18" fillId="0" borderId="0" xfId="0" applyNumberFormat="1" applyFont="1" applyBorder="1" applyAlignment="1">
      <alignment horizontal="center"/>
    </xf>
    <xf numFmtId="3" fontId="13" fillId="0" borderId="0" xfId="10" applyNumberFormat="1" applyFont="1" applyFill="1" applyBorder="1" applyAlignment="1" applyProtection="1">
      <alignment horizontal="center"/>
      <protection locked="0"/>
    </xf>
    <xf numFmtId="4" fontId="18" fillId="3" borderId="0" xfId="0" applyNumberFormat="1" applyFont="1" applyFill="1" applyBorder="1"/>
    <xf numFmtId="0" fontId="18" fillId="3" borderId="0" xfId="0" applyFont="1" applyFill="1" applyBorder="1" applyAlignment="1">
      <alignment horizontal="left"/>
    </xf>
    <xf numFmtId="0" fontId="27" fillId="3" borderId="0" xfId="0" applyFont="1" applyFill="1" applyBorder="1"/>
    <xf numFmtId="3" fontId="18" fillId="0" borderId="0" xfId="0" applyNumberFormat="1" applyFont="1" applyBorder="1" applyAlignment="1">
      <alignment wrapText="1"/>
    </xf>
    <xf numFmtId="1" fontId="21" fillId="0" borderId="0" xfId="0" applyNumberFormat="1" applyFont="1" applyBorder="1"/>
    <xf numFmtId="0" fontId="18" fillId="0" borderId="0" xfId="11" applyNumberFormat="1" applyFont="1" applyBorder="1"/>
    <xf numFmtId="10" fontId="6" fillId="0" borderId="0" xfId="11" applyNumberFormat="1" applyFont="1" applyFill="1" applyBorder="1"/>
    <xf numFmtId="0" fontId="5" fillId="5" borderId="0" xfId="7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5" fillId="0" borderId="0" xfId="7" applyFont="1" applyFill="1" applyBorder="1" applyAlignment="1">
      <alignment horizontal="center" vertical="center"/>
    </xf>
    <xf numFmtId="3" fontId="18" fillId="0" borderId="0" xfId="0" applyNumberFormat="1" applyFont="1" applyFill="1" applyBorder="1"/>
    <xf numFmtId="0" fontId="18" fillId="0" borderId="0" xfId="0" applyNumberFormat="1" applyFont="1" applyFill="1" applyBorder="1" applyAlignment="1"/>
    <xf numFmtId="10" fontId="18" fillId="0" borderId="0" xfId="0" applyNumberFormat="1" applyFont="1" applyFill="1" applyBorder="1"/>
    <xf numFmtId="0" fontId="10" fillId="7" borderId="0" xfId="7" applyFont="1" applyFill="1" applyBorder="1" applyAlignment="1">
      <alignment horizontal="center"/>
    </xf>
    <xf numFmtId="3" fontId="5" fillId="5" borderId="0" xfId="5" applyNumberFormat="1" applyFont="1" applyFill="1"/>
    <xf numFmtId="3" fontId="5" fillId="4" borderId="0" xfId="5" applyNumberFormat="1" applyFont="1" applyFill="1"/>
    <xf numFmtId="168" fontId="21" fillId="0" borderId="0" xfId="1" applyNumberFormat="1" applyFont="1"/>
    <xf numFmtId="166" fontId="21" fillId="0" borderId="0" xfId="0" applyNumberFormat="1" applyFont="1"/>
    <xf numFmtId="166" fontId="21" fillId="3" borderId="0" xfId="0" applyNumberFormat="1" applyFont="1" applyFill="1"/>
    <xf numFmtId="0" fontId="21" fillId="8" borderId="0" xfId="0" applyFont="1" applyFill="1"/>
    <xf numFmtId="0" fontId="5" fillId="8" borderId="0" xfId="5" applyFont="1" applyFill="1"/>
    <xf numFmtId="3" fontId="21" fillId="8" borderId="0" xfId="0" applyNumberFormat="1" applyFont="1" applyFill="1"/>
    <xf numFmtId="0" fontId="7" fillId="8" borderId="0" xfId="5" applyFont="1" applyFill="1"/>
    <xf numFmtId="2" fontId="21" fillId="8" borderId="0" xfId="0" applyNumberFormat="1" applyFont="1" applyFill="1"/>
    <xf numFmtId="0" fontId="12" fillId="8" borderId="0" xfId="5" applyFont="1" applyFill="1"/>
    <xf numFmtId="4" fontId="21" fillId="8" borderId="0" xfId="0" applyNumberFormat="1" applyFont="1" applyFill="1"/>
    <xf numFmtId="0" fontId="22" fillId="8" borderId="0" xfId="0" applyFont="1" applyFill="1"/>
    <xf numFmtId="4" fontId="19" fillId="8" borderId="0" xfId="0" applyNumberFormat="1" applyFont="1" applyFill="1"/>
    <xf numFmtId="0" fontId="19" fillId="8" borderId="0" xfId="0" applyFont="1" applyFill="1"/>
    <xf numFmtId="3" fontId="2" fillId="8" borderId="0" xfId="5" applyNumberFormat="1" applyFont="1" applyFill="1"/>
    <xf numFmtId="0" fontId="26" fillId="8" borderId="0" xfId="0" applyFont="1" applyFill="1"/>
    <xf numFmtId="10" fontId="21" fillId="8" borderId="0" xfId="11" applyNumberFormat="1" applyFont="1" applyFill="1"/>
    <xf numFmtId="0" fontId="18" fillId="3" borderId="0" xfId="0" applyFont="1" applyFill="1" applyBorder="1" applyAlignment="1">
      <alignment horizontal="center"/>
    </xf>
    <xf numFmtId="0" fontId="10" fillId="7" borderId="0" xfId="7" applyFont="1" applyFill="1" applyBorder="1" applyAlignment="1">
      <alignment horizontal="center"/>
    </xf>
    <xf numFmtId="4" fontId="26" fillId="0" borderId="0" xfId="0" applyNumberFormat="1" applyFont="1"/>
    <xf numFmtId="4" fontId="26" fillId="8" borderId="0" xfId="0" applyNumberFormat="1" applyFont="1" applyFill="1"/>
    <xf numFmtId="4" fontId="26" fillId="5" borderId="0" xfId="5" applyNumberFormat="1" applyFont="1" applyFill="1"/>
    <xf numFmtId="0" fontId="26" fillId="0" borderId="0" xfId="5" applyFont="1"/>
    <xf numFmtId="0" fontId="10" fillId="7" borderId="0" xfId="7" applyFont="1" applyFill="1" applyBorder="1" applyAlignment="1">
      <alignment horizontal="center"/>
    </xf>
    <xf numFmtId="168" fontId="18" fillId="0" borderId="0" xfId="1" applyNumberFormat="1" applyFont="1"/>
    <xf numFmtId="168" fontId="18" fillId="0" borderId="0" xfId="1" applyNumberFormat="1" applyFont="1" applyBorder="1"/>
    <xf numFmtId="168" fontId="21" fillId="0" borderId="0" xfId="1" applyNumberFormat="1" applyFont="1" applyBorder="1"/>
    <xf numFmtId="4" fontId="13" fillId="0" borderId="0" xfId="10" applyNumberFormat="1" applyFont="1" applyFill="1" applyBorder="1" applyProtection="1">
      <protection locked="0"/>
    </xf>
    <xf numFmtId="0" fontId="6" fillId="2" borderId="0" xfId="7" applyNumberFormat="1" applyFont="1" applyFill="1" applyBorder="1" applyAlignment="1">
      <alignment horizontal="center" vertical="center"/>
    </xf>
    <xf numFmtId="168" fontId="6" fillId="0" borderId="0" xfId="1" applyNumberFormat="1" applyFont="1" applyFill="1" applyBorder="1" applyAlignment="1">
      <alignment horizontal="right"/>
    </xf>
    <xf numFmtId="168" fontId="5" fillId="5" borderId="0" xfId="1" applyNumberFormat="1" applyFont="1" applyFill="1" applyBorder="1" applyAlignment="1">
      <alignment horizontal="center" vertical="center"/>
    </xf>
    <xf numFmtId="172" fontId="21" fillId="8" borderId="0" xfId="0" applyNumberFormat="1" applyFont="1" applyFill="1"/>
    <xf numFmtId="172" fontId="5" fillId="8" borderId="0" xfId="5" applyNumberFormat="1" applyFont="1" applyFill="1"/>
    <xf numFmtId="166" fontId="21" fillId="8" borderId="0" xfId="11" applyNumberFormat="1" applyFont="1" applyFill="1"/>
    <xf numFmtId="1" fontId="21" fillId="8" borderId="0" xfId="0" applyNumberFormat="1" applyFont="1" applyFill="1"/>
    <xf numFmtId="3" fontId="5" fillId="3" borderId="0" xfId="5" applyNumberFormat="1" applyFont="1" applyFill="1"/>
    <xf numFmtId="1" fontId="21" fillId="8" borderId="0" xfId="1" applyNumberFormat="1" applyFont="1" applyFill="1"/>
    <xf numFmtId="168" fontId="19" fillId="0" borderId="0" xfId="0" applyNumberFormat="1" applyFont="1"/>
    <xf numFmtId="0" fontId="19" fillId="0" borderId="0" xfId="0" applyNumberFormat="1" applyFont="1"/>
    <xf numFmtId="168" fontId="21" fillId="0" borderId="0" xfId="0" applyNumberFormat="1" applyFont="1"/>
    <xf numFmtId="0" fontId="18" fillId="0" borderId="0" xfId="0" applyFont="1" applyBorder="1"/>
    <xf numFmtId="0" fontId="10" fillId="7" borderId="0" xfId="7" applyFont="1" applyFill="1" applyBorder="1" applyAlignment="1">
      <alignment horizontal="center"/>
    </xf>
    <xf numFmtId="4" fontId="18" fillId="0" borderId="0" xfId="0" applyNumberFormat="1" applyFont="1" applyFill="1"/>
    <xf numFmtId="10" fontId="18" fillId="0" borderId="0" xfId="11" applyNumberFormat="1" applyFont="1" applyFill="1"/>
    <xf numFmtId="168" fontId="18" fillId="0" borderId="0" xfId="1" applyNumberFormat="1" applyFont="1" applyBorder="1" applyAlignment="1">
      <alignment horizontal="left"/>
    </xf>
    <xf numFmtId="1" fontId="10" fillId="5" borderId="0" xfId="8" applyNumberFormat="1" applyFont="1" applyFill="1" applyBorder="1" applyProtection="1">
      <protection locked="0"/>
    </xf>
    <xf numFmtId="1" fontId="10" fillId="5" borderId="0" xfId="1" applyNumberFormat="1" applyFont="1" applyFill="1" applyBorder="1" applyProtection="1">
      <protection locked="0"/>
    </xf>
    <xf numFmtId="0" fontId="18" fillId="0" borderId="0" xfId="0" applyFont="1" applyBorder="1"/>
    <xf numFmtId="0" fontId="10" fillId="7" borderId="0" xfId="7" applyFont="1" applyFill="1" applyBorder="1" applyAlignment="1">
      <alignment horizontal="center"/>
    </xf>
    <xf numFmtId="3" fontId="2" fillId="3" borderId="0" xfId="5" applyNumberFormat="1" applyFont="1" applyFill="1"/>
    <xf numFmtId="0" fontId="18" fillId="3" borderId="0" xfId="0" applyFont="1" applyFill="1"/>
    <xf numFmtId="0" fontId="18" fillId="5" borderId="0" xfId="0" applyFont="1" applyFill="1"/>
    <xf numFmtId="10" fontId="21" fillId="0" borderId="0" xfId="0" applyNumberFormat="1" applyFont="1"/>
    <xf numFmtId="164" fontId="21" fillId="3" borderId="0" xfId="0" applyNumberFormat="1" applyFont="1" applyFill="1"/>
    <xf numFmtId="3" fontId="26" fillId="3" borderId="0" xfId="5" applyNumberFormat="1" applyFont="1" applyFill="1"/>
    <xf numFmtId="4" fontId="19" fillId="3" borderId="0" xfId="0" applyNumberFormat="1" applyFont="1" applyFill="1"/>
    <xf numFmtId="164" fontId="19" fillId="3" borderId="0" xfId="0" applyNumberFormat="1" applyFont="1" applyFill="1"/>
    <xf numFmtId="3" fontId="21" fillId="9" borderId="0" xfId="0" applyNumberFormat="1" applyFont="1" applyFill="1"/>
    <xf numFmtId="1" fontId="21" fillId="9" borderId="0" xfId="0" applyNumberFormat="1" applyFont="1" applyFill="1"/>
    <xf numFmtId="4" fontId="21" fillId="9" borderId="0" xfId="0" applyNumberFormat="1" applyFont="1" applyFill="1"/>
    <xf numFmtId="4" fontId="21" fillId="10" borderId="0" xfId="0" applyNumberFormat="1" applyFont="1" applyFill="1"/>
    <xf numFmtId="4" fontId="19" fillId="10" borderId="0" xfId="0" applyNumberFormat="1" applyFont="1" applyFill="1"/>
    <xf numFmtId="0" fontId="18" fillId="2" borderId="0" xfId="0" applyNumberFormat="1" applyFont="1" applyFill="1" applyBorder="1"/>
    <xf numFmtId="0" fontId="25" fillId="2" borderId="0" xfId="0" applyNumberFormat="1" applyFont="1" applyFill="1" applyBorder="1"/>
    <xf numFmtId="3" fontId="18" fillId="2" borderId="0" xfId="0" applyNumberFormat="1" applyFont="1" applyFill="1" applyBorder="1"/>
    <xf numFmtId="0" fontId="18" fillId="2" borderId="0" xfId="0" applyNumberFormat="1" applyFont="1" applyFill="1" applyBorder="1" applyAlignment="1"/>
    <xf numFmtId="9" fontId="18" fillId="11" borderId="0" xfId="11" applyFont="1" applyFill="1" applyBorder="1"/>
    <xf numFmtId="3" fontId="5" fillId="5" borderId="0" xfId="7" applyNumberFormat="1" applyFont="1" applyFill="1" applyBorder="1" applyAlignment="1">
      <alignment horizontal="center" vertical="center"/>
    </xf>
    <xf numFmtId="3" fontId="18" fillId="2" borderId="0" xfId="0" applyNumberFormat="1" applyFont="1" applyFill="1" applyBorder="1" applyAlignment="1"/>
    <xf numFmtId="0" fontId="18" fillId="2" borderId="0" xfId="0" applyFont="1" applyFill="1"/>
    <xf numFmtId="0" fontId="25" fillId="2" borderId="0" xfId="0" applyFont="1" applyFill="1"/>
    <xf numFmtId="0" fontId="18" fillId="12" borderId="0" xfId="0" applyFont="1" applyFill="1"/>
    <xf numFmtId="3" fontId="18" fillId="2" borderId="0" xfId="0" applyNumberFormat="1" applyFont="1" applyFill="1"/>
    <xf numFmtId="10" fontId="18" fillId="12" borderId="0" xfId="0" applyNumberFormat="1" applyFont="1" applyFill="1" applyBorder="1"/>
    <xf numFmtId="0" fontId="21" fillId="6" borderId="0" xfId="0" applyFont="1" applyFill="1"/>
    <xf numFmtId="4" fontId="26" fillId="6" borderId="0" xfId="0" applyNumberFormat="1" applyFont="1" applyFill="1"/>
    <xf numFmtId="0" fontId="19" fillId="6" borderId="0" xfId="0" applyFont="1" applyFill="1"/>
    <xf numFmtId="0" fontId="10" fillId="7" borderId="0" xfId="7" applyFont="1" applyFill="1" applyBorder="1" applyAlignment="1">
      <alignment horizontal="center"/>
    </xf>
    <xf numFmtId="10" fontId="18" fillId="2" borderId="0" xfId="11" applyNumberFormat="1" applyFont="1" applyFill="1" applyBorder="1"/>
    <xf numFmtId="168" fontId="10" fillId="2" borderId="0" xfId="1" applyNumberFormat="1" applyFont="1" applyFill="1" applyBorder="1" applyProtection="1">
      <protection locked="0"/>
    </xf>
    <xf numFmtId="168" fontId="10" fillId="5" borderId="0" xfId="1" applyNumberFormat="1" applyFont="1" applyFill="1" applyBorder="1" applyProtection="1">
      <protection locked="0"/>
    </xf>
    <xf numFmtId="0" fontId="25" fillId="2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8" fillId="2" borderId="0" xfId="0" applyFont="1" applyFill="1"/>
    <xf numFmtId="0" fontId="18" fillId="2" borderId="0" xfId="0" applyFont="1" applyFill="1" applyBorder="1"/>
    <xf numFmtId="10" fontId="18" fillId="2" borderId="0" xfId="0" applyNumberFormat="1" applyFont="1" applyFill="1" applyBorder="1"/>
    <xf numFmtId="2" fontId="18" fillId="0" borderId="0" xfId="0" applyNumberFormat="1" applyFont="1" applyBorder="1" applyAlignment="1">
      <alignment horizontal="right"/>
    </xf>
    <xf numFmtId="0" fontId="18" fillId="7" borderId="0" xfId="0" applyFont="1" applyFill="1"/>
    <xf numFmtId="0" fontId="25" fillId="7" borderId="0" xfId="0" applyFont="1" applyFill="1"/>
    <xf numFmtId="10" fontId="21" fillId="10" borderId="0" xfId="11" applyNumberFormat="1" applyFont="1" applyFill="1"/>
    <xf numFmtId="0" fontId="29" fillId="9" borderId="16" xfId="0" applyFont="1" applyFill="1" applyBorder="1" applyAlignment="1">
      <alignment horizontal="center" vertical="center" wrapText="1"/>
    </xf>
    <xf numFmtId="0" fontId="30" fillId="0" borderId="0" xfId="0" applyFont="1"/>
    <xf numFmtId="43" fontId="30" fillId="0" borderId="0" xfId="1" applyFont="1"/>
    <xf numFmtId="43" fontId="30" fillId="0" borderId="0" xfId="0" applyNumberFormat="1" applyFont="1"/>
    <xf numFmtId="43" fontId="34" fillId="0" borderId="0" xfId="0" applyNumberFormat="1" applyFont="1"/>
    <xf numFmtId="1" fontId="21" fillId="6" borderId="0" xfId="0" applyNumberFormat="1" applyFont="1" applyFill="1"/>
    <xf numFmtId="43" fontId="18" fillId="0" borderId="0" xfId="1" applyFont="1" applyBorder="1" applyAlignment="1">
      <alignment horizontal="right"/>
    </xf>
    <xf numFmtId="168" fontId="5" fillId="5" borderId="0" xfId="1" applyNumberFormat="1" applyFont="1" applyFill="1" applyBorder="1" applyProtection="1">
      <protection locked="0"/>
    </xf>
    <xf numFmtId="168" fontId="18" fillId="0" borderId="0" xfId="1" applyNumberFormat="1" applyFont="1" applyBorder="1" applyAlignment="1">
      <alignment horizontal="right"/>
    </xf>
    <xf numFmtId="168" fontId="18" fillId="8" borderId="0" xfId="1" applyNumberFormat="1" applyFont="1" applyFill="1"/>
    <xf numFmtId="168" fontId="18" fillId="3" borderId="0" xfId="1" applyNumberFormat="1" applyFont="1" applyFill="1" applyBorder="1"/>
    <xf numFmtId="168" fontId="21" fillId="6" borderId="0" xfId="0" applyNumberFormat="1" applyFont="1" applyFill="1"/>
    <xf numFmtId="3" fontId="2" fillId="6" borderId="0" xfId="5" applyNumberFormat="1" applyFont="1" applyFill="1"/>
    <xf numFmtId="4" fontId="19" fillId="6" borderId="0" xfId="0" applyNumberFormat="1" applyFont="1" applyFill="1"/>
    <xf numFmtId="3" fontId="21" fillId="6" borderId="0" xfId="0" applyNumberFormat="1" applyFont="1" applyFill="1"/>
    <xf numFmtId="4" fontId="21" fillId="6" borderId="0" xfId="0" applyNumberFormat="1" applyFont="1" applyFill="1"/>
    <xf numFmtId="10" fontId="19" fillId="6" borderId="0" xfId="11" applyNumberFormat="1" applyFont="1" applyFill="1"/>
    <xf numFmtId="2" fontId="21" fillId="6" borderId="0" xfId="0" applyNumberFormat="1" applyFont="1" applyFill="1"/>
    <xf numFmtId="10" fontId="21" fillId="6" borderId="0" xfId="11" applyNumberFormat="1" applyFont="1" applyFill="1"/>
    <xf numFmtId="43" fontId="21" fillId="6" borderId="0" xfId="1" applyFont="1" applyFill="1"/>
    <xf numFmtId="168" fontId="21" fillId="6" borderId="0" xfId="1" applyNumberFormat="1" applyFont="1" applyFill="1"/>
    <xf numFmtId="168" fontId="5" fillId="6" borderId="0" xfId="1" applyNumberFormat="1" applyFont="1" applyFill="1"/>
    <xf numFmtId="168" fontId="2" fillId="6" borderId="0" xfId="1" applyNumberFormat="1" applyFont="1" applyFill="1"/>
    <xf numFmtId="168" fontId="19" fillId="6" borderId="0" xfId="1" applyNumberFormat="1" applyFont="1" applyFill="1"/>
    <xf numFmtId="168" fontId="18" fillId="2" borderId="0" xfId="1" applyNumberFormat="1" applyFont="1" applyFill="1" applyBorder="1"/>
    <xf numFmtId="3" fontId="18" fillId="6" borderId="0" xfId="0" applyNumberFormat="1" applyFont="1" applyFill="1" applyBorder="1"/>
    <xf numFmtId="10" fontId="18" fillId="11" borderId="0" xfId="11" applyNumberFormat="1" applyFont="1" applyFill="1" applyBorder="1"/>
    <xf numFmtId="168" fontId="28" fillId="8" borderId="0" xfId="1" applyNumberFormat="1" applyFont="1" applyFill="1"/>
    <xf numFmtId="43" fontId="18" fillId="0" borderId="0" xfId="1" applyFont="1"/>
    <xf numFmtId="2" fontId="21" fillId="0" borderId="0" xfId="0" applyNumberFormat="1" applyFont="1"/>
    <xf numFmtId="2" fontId="21" fillId="6" borderId="0" xfId="1" applyNumberFormat="1" applyFont="1" applyFill="1"/>
    <xf numFmtId="43" fontId="21" fillId="0" borderId="0" xfId="1" applyFont="1"/>
    <xf numFmtId="2" fontId="21" fillId="3" borderId="0" xfId="0" applyNumberFormat="1" applyFont="1" applyFill="1"/>
    <xf numFmtId="2" fontId="26" fillId="3" borderId="0" xfId="1" applyNumberFormat="1" applyFont="1" applyFill="1"/>
    <xf numFmtId="2" fontId="26" fillId="3" borderId="0" xfId="0" applyNumberFormat="1" applyFont="1" applyFill="1"/>
    <xf numFmtId="43" fontId="26" fillId="3" borderId="0" xfId="1" applyFont="1" applyFill="1"/>
    <xf numFmtId="2" fontId="5" fillId="3" borderId="0" xfId="1" applyNumberFormat="1" applyFont="1" applyFill="1"/>
    <xf numFmtId="43" fontId="21" fillId="5" borderId="0" xfId="0" applyNumberFormat="1" applyFont="1" applyFill="1"/>
    <xf numFmtId="175" fontId="21" fillId="3" borderId="0" xfId="0" applyNumberFormat="1" applyFont="1" applyFill="1"/>
    <xf numFmtId="43" fontId="21" fillId="3" borderId="0" xfId="0" applyNumberFormat="1" applyFont="1" applyFill="1"/>
    <xf numFmtId="168" fontId="19" fillId="3" borderId="0" xfId="1" applyNumberFormat="1" applyFont="1" applyFill="1"/>
    <xf numFmtId="168" fontId="21" fillId="3" borderId="0" xfId="1" applyNumberFormat="1" applyFont="1" applyFill="1"/>
    <xf numFmtId="168" fontId="2" fillId="3" borderId="0" xfId="1" applyNumberFormat="1" applyFont="1" applyFill="1"/>
    <xf numFmtId="168" fontId="19" fillId="10" borderId="0" xfId="1" applyNumberFormat="1" applyFont="1" applyFill="1"/>
    <xf numFmtId="168" fontId="21" fillId="10" borderId="0" xfId="1" applyNumberFormat="1" applyFont="1" applyFill="1"/>
    <xf numFmtId="1" fontId="25" fillId="2" borderId="0" xfId="0" applyNumberFormat="1" applyFont="1" applyFill="1"/>
    <xf numFmtId="2" fontId="18" fillId="0" borderId="0" xfId="0" applyNumberFormat="1" applyFont="1"/>
    <xf numFmtId="168" fontId="21" fillId="5" borderId="0" xfId="1" applyNumberFormat="1" applyFont="1" applyFill="1"/>
    <xf numFmtId="2" fontId="18" fillId="0" borderId="0" xfId="0" applyNumberFormat="1" applyFont="1" applyFill="1"/>
    <xf numFmtId="1" fontId="18" fillId="0" borderId="0" xfId="0" applyNumberFormat="1" applyFont="1"/>
    <xf numFmtId="2" fontId="18" fillId="3" borderId="0" xfId="0" applyNumberFormat="1" applyFont="1" applyFill="1"/>
    <xf numFmtId="1" fontId="18" fillId="0" borderId="0" xfId="11" applyNumberFormat="1" applyFont="1"/>
    <xf numFmtId="0" fontId="18" fillId="0" borderId="0" xfId="0" applyFont="1" applyBorder="1"/>
    <xf numFmtId="172" fontId="18" fillId="0" borderId="0" xfId="0" applyNumberFormat="1" applyFont="1"/>
    <xf numFmtId="168" fontId="18" fillId="0" borderId="0" xfId="0" applyNumberFormat="1" applyFont="1"/>
    <xf numFmtId="168" fontId="18" fillId="0" borderId="0" xfId="0" applyNumberFormat="1" applyFont="1" applyBorder="1"/>
    <xf numFmtId="10" fontId="0" fillId="0" borderId="0" xfId="0" applyNumberFormat="1"/>
    <xf numFmtId="0" fontId="2" fillId="6" borderId="0" xfId="1" applyNumberFormat="1" applyFont="1" applyFill="1"/>
    <xf numFmtId="1" fontId="0" fillId="0" borderId="0" xfId="0" applyNumberFormat="1"/>
    <xf numFmtId="10" fontId="18" fillId="2" borderId="0" xfId="0" applyNumberFormat="1" applyFont="1" applyFill="1" applyBorder="1" applyAlignment="1">
      <alignment horizontal="center"/>
    </xf>
    <xf numFmtId="2" fontId="25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/>
    </xf>
    <xf numFmtId="0" fontId="0" fillId="0" borderId="0" xfId="0" applyFont="1"/>
    <xf numFmtId="3" fontId="19" fillId="6" borderId="0" xfId="0" applyNumberFormat="1" applyFont="1" applyFill="1"/>
    <xf numFmtId="10" fontId="31" fillId="13" borderId="15" xfId="11" applyNumberFormat="1" applyFont="1" applyFill="1" applyBorder="1" applyAlignment="1">
      <alignment horizontal="right" wrapText="1"/>
    </xf>
    <xf numFmtId="1" fontId="18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171" fontId="18" fillId="0" borderId="0" xfId="0" applyNumberFormat="1" applyFont="1"/>
    <xf numFmtId="166" fontId="18" fillId="0" borderId="0" xfId="11" applyNumberFormat="1" applyFont="1"/>
    <xf numFmtId="3" fontId="21" fillId="0" borderId="0" xfId="0" applyNumberFormat="1" applyFont="1" applyFill="1" applyBorder="1"/>
    <xf numFmtId="168" fontId="19" fillId="0" borderId="0" xfId="1" applyNumberFormat="1" applyFont="1" applyFill="1" applyBorder="1"/>
    <xf numFmtId="10" fontId="19" fillId="0" borderId="0" xfId="11" applyNumberFormat="1" applyFont="1" applyFill="1" applyBorder="1"/>
    <xf numFmtId="2" fontId="21" fillId="0" borderId="0" xfId="0" applyNumberFormat="1" applyFont="1" applyFill="1" applyBorder="1"/>
    <xf numFmtId="43" fontId="26" fillId="0" borderId="0" xfId="1" applyFont="1" applyFill="1" applyBorder="1"/>
    <xf numFmtId="43" fontId="21" fillId="0" borderId="0" xfId="1" applyFont="1" applyFill="1" applyBorder="1"/>
    <xf numFmtId="10" fontId="21" fillId="0" borderId="0" xfId="11" applyNumberFormat="1" applyFont="1" applyFill="1" applyBorder="1"/>
    <xf numFmtId="175" fontId="18" fillId="3" borderId="0" xfId="1" applyNumberFormat="1" applyFont="1" applyFill="1" applyBorder="1"/>
    <xf numFmtId="4" fontId="16" fillId="0" borderId="3" xfId="0" applyNumberFormat="1" applyFont="1" applyFill="1" applyBorder="1" applyAlignment="1" applyProtection="1">
      <alignment vertical="center"/>
      <protection locked="0"/>
    </xf>
    <xf numFmtId="43" fontId="16" fillId="0" borderId="4" xfId="1" applyFont="1" applyFill="1" applyBorder="1" applyAlignment="1" applyProtection="1">
      <alignment vertical="center"/>
      <protection locked="0"/>
    </xf>
    <xf numFmtId="43" fontId="18" fillId="0" borderId="0" xfId="1" applyFont="1" applyFill="1"/>
    <xf numFmtId="0" fontId="18" fillId="0" borderId="0" xfId="0" applyFont="1" applyBorder="1"/>
    <xf numFmtId="0" fontId="35" fillId="0" borderId="5" xfId="0" applyFont="1" applyBorder="1" applyAlignment="1" applyProtection="1">
      <alignment wrapText="1"/>
      <protection locked="0"/>
    </xf>
    <xf numFmtId="0" fontId="35" fillId="0" borderId="6" xfId="0" applyFont="1" applyBorder="1" applyAlignment="1" applyProtection="1">
      <alignment wrapText="1"/>
      <protection locked="0"/>
    </xf>
    <xf numFmtId="168" fontId="36" fillId="0" borderId="5" xfId="1" applyNumberFormat="1" applyFont="1" applyBorder="1" applyAlignment="1" applyProtection="1">
      <alignment wrapText="1"/>
      <protection locked="0"/>
    </xf>
    <xf numFmtId="168" fontId="36" fillId="0" borderId="4" xfId="1" applyNumberFormat="1" applyFont="1" applyFill="1" applyBorder="1" applyAlignment="1" applyProtection="1">
      <alignment wrapText="1"/>
      <protection locked="0"/>
    </xf>
    <xf numFmtId="0" fontId="18" fillId="0" borderId="0" xfId="11" applyNumberFormat="1" applyFont="1"/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172" fontId="36" fillId="0" borderId="0" xfId="0" applyNumberFormat="1" applyFont="1" applyFill="1" applyBorder="1" applyAlignment="1" applyProtection="1">
      <alignment wrapText="1"/>
      <protection locked="0"/>
    </xf>
    <xf numFmtId="0" fontId="35" fillId="0" borderId="0" xfId="0" applyFont="1" applyFill="1" applyBorder="1" applyAlignment="1" applyProtection="1">
      <alignment wrapText="1"/>
      <protection locked="0"/>
    </xf>
    <xf numFmtId="167" fontId="18" fillId="0" borderId="0" xfId="0" applyNumberFormat="1" applyFont="1" applyBorder="1"/>
    <xf numFmtId="172" fontId="21" fillId="0" borderId="0" xfId="0" applyNumberFormat="1" applyFont="1"/>
    <xf numFmtId="168" fontId="35" fillId="0" borderId="5" xfId="1" applyNumberFormat="1" applyFont="1" applyBorder="1" applyAlignment="1" applyProtection="1">
      <alignment wrapText="1"/>
      <protection locked="0"/>
    </xf>
    <xf numFmtId="0" fontId="5" fillId="0" borderId="0" xfId="5" applyFont="1" applyAlignment="1">
      <alignment horizontal="right"/>
    </xf>
    <xf numFmtId="0" fontId="12" fillId="0" borderId="0" xfId="5" applyFont="1" applyAlignment="1">
      <alignment horizontal="right"/>
    </xf>
    <xf numFmtId="168" fontId="21" fillId="0" borderId="0" xfId="0" applyNumberFormat="1" applyFont="1" applyFill="1" applyBorder="1"/>
    <xf numFmtId="1" fontId="2" fillId="6" borderId="0" xfId="1" applyNumberFormat="1" applyFont="1" applyFill="1"/>
    <xf numFmtId="0" fontId="18" fillId="0" borderId="0" xfId="0" applyFont="1" applyBorder="1"/>
    <xf numFmtId="168" fontId="37" fillId="6" borderId="0" xfId="1" applyNumberFormat="1" applyFont="1" applyFill="1"/>
    <xf numFmtId="168" fontId="26" fillId="6" borderId="0" xfId="1" applyNumberFormat="1" applyFont="1" applyFill="1"/>
    <xf numFmtId="3" fontId="21" fillId="3" borderId="0" xfId="0" applyNumberFormat="1" applyFont="1" applyFill="1"/>
    <xf numFmtId="168" fontId="35" fillId="0" borderId="7" xfId="1" applyNumberFormat="1" applyFont="1" applyBorder="1" applyAlignment="1" applyProtection="1">
      <alignment wrapText="1"/>
      <protection locked="0"/>
    </xf>
    <xf numFmtId="0" fontId="35" fillId="0" borderId="7" xfId="0" applyFont="1" applyBorder="1" applyAlignment="1" applyProtection="1">
      <alignment wrapText="1"/>
      <protection locked="0"/>
    </xf>
    <xf numFmtId="2" fontId="21" fillId="2" borderId="0" xfId="0" applyNumberFormat="1" applyFont="1" applyFill="1"/>
    <xf numFmtId="43" fontId="18" fillId="3" borderId="0" xfId="1" applyFont="1" applyFill="1" applyBorder="1"/>
    <xf numFmtId="168" fontId="35" fillId="0" borderId="0" xfId="1" applyNumberFormat="1" applyFont="1" applyBorder="1" applyAlignment="1" applyProtection="1">
      <alignment wrapText="1"/>
      <protection locked="0"/>
    </xf>
    <xf numFmtId="1" fontId="2" fillId="2" borderId="0" xfId="1" applyNumberFormat="1" applyFont="1" applyFill="1"/>
    <xf numFmtId="0" fontId="2" fillId="2" borderId="0" xfId="1" applyNumberFormat="1" applyFont="1" applyFill="1"/>
    <xf numFmtId="168" fontId="19" fillId="2" borderId="0" xfId="1" applyNumberFormat="1" applyFont="1" applyFill="1"/>
    <xf numFmtId="170" fontId="21" fillId="2" borderId="0" xfId="0" applyNumberFormat="1" applyFont="1" applyFill="1"/>
    <xf numFmtId="168" fontId="21" fillId="2" borderId="0" xfId="1" applyNumberFormat="1" applyFont="1" applyFill="1"/>
    <xf numFmtId="4" fontId="21" fillId="2" borderId="0" xfId="0" applyNumberFormat="1" applyFont="1" applyFill="1"/>
    <xf numFmtId="3" fontId="21" fillId="2" borderId="0" xfId="0" applyNumberFormat="1" applyFont="1" applyFill="1"/>
    <xf numFmtId="168" fontId="26" fillId="2" borderId="0" xfId="1" applyNumberFormat="1" applyFont="1" applyFill="1"/>
    <xf numFmtId="0" fontId="0" fillId="0" borderId="0" xfId="0" applyFont="1" applyFill="1" applyBorder="1" applyAlignment="1">
      <alignment vertical="center"/>
    </xf>
    <xf numFmtId="0" fontId="18" fillId="0" borderId="0" xfId="0" applyFont="1" applyBorder="1"/>
    <xf numFmtId="43" fontId="36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wrapText="1"/>
    </xf>
    <xf numFmtId="0" fontId="36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 applyProtection="1">
      <alignment vertical="center" wrapText="1"/>
      <protection locked="0"/>
    </xf>
    <xf numFmtId="0" fontId="18" fillId="0" borderId="0" xfId="0" applyFont="1" applyFill="1" applyBorder="1" applyAlignment="1" applyProtection="1">
      <alignment vertical="center" wrapText="1"/>
      <protection locked="0"/>
    </xf>
    <xf numFmtId="0" fontId="36" fillId="0" borderId="0" xfId="0" applyFont="1" applyFill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 applyProtection="1">
      <alignment wrapText="1"/>
      <protection locked="0"/>
    </xf>
    <xf numFmtId="9" fontId="36" fillId="0" borderId="0" xfId="11" applyFont="1" applyFill="1" applyBorder="1" applyAlignment="1">
      <alignment vertical="center" wrapText="1"/>
    </xf>
    <xf numFmtId="168" fontId="36" fillId="0" borderId="0" xfId="1" applyNumberFormat="1" applyFont="1" applyBorder="1" applyAlignment="1" applyProtection="1">
      <alignment wrapText="1"/>
      <protection locked="0"/>
    </xf>
    <xf numFmtId="168" fontId="5" fillId="5" borderId="0" xfId="1" applyNumberFormat="1" applyFont="1" applyFill="1" applyBorder="1" applyAlignment="1" applyProtection="1">
      <alignment horizontal="right"/>
      <protection locked="0"/>
    </xf>
    <xf numFmtId="174" fontId="18" fillId="0" borderId="0" xfId="1" applyNumberFormat="1" applyFont="1"/>
    <xf numFmtId="0" fontId="18" fillId="0" borderId="0" xfId="0" applyFont="1" applyBorder="1"/>
    <xf numFmtId="0" fontId="18" fillId="0" borderId="0" xfId="0" applyFont="1" applyBorder="1"/>
    <xf numFmtId="0" fontId="10" fillId="7" borderId="0" xfId="7" applyFont="1" applyFill="1" applyBorder="1" applyAlignment="1">
      <alignment horizontal="center"/>
    </xf>
    <xf numFmtId="10" fontId="18" fillId="0" borderId="0" xfId="0" applyNumberFormat="1" applyFont="1"/>
    <xf numFmtId="10" fontId="17" fillId="0" borderId="0" xfId="11" applyNumberFormat="1" applyFont="1"/>
    <xf numFmtId="3" fontId="40" fillId="0" borderId="14" xfId="0" applyNumberFormat="1" applyFont="1" applyFill="1" applyBorder="1" applyAlignment="1">
      <alignment horizontal="right" wrapText="1"/>
    </xf>
    <xf numFmtId="3" fontId="41" fillId="0" borderId="14" xfId="0" applyNumberFormat="1" applyFont="1" applyFill="1" applyBorder="1" applyAlignment="1">
      <alignment horizontal="right" wrapText="1"/>
    </xf>
    <xf numFmtId="3" fontId="40" fillId="0" borderId="18" xfId="0" applyNumberFormat="1" applyFont="1" applyFill="1" applyBorder="1" applyAlignment="1">
      <alignment horizontal="right" wrapText="1"/>
    </xf>
    <xf numFmtId="4" fontId="40" fillId="0" borderId="14" xfId="0" applyNumberFormat="1" applyFont="1" applyFill="1" applyBorder="1" applyAlignment="1">
      <alignment horizontal="right" wrapText="1"/>
    </xf>
    <xf numFmtId="0" fontId="41" fillId="0" borderId="14" xfId="0" applyFont="1" applyFill="1" applyBorder="1" applyAlignment="1">
      <alignment horizontal="right" wrapText="1"/>
    </xf>
    <xf numFmtId="0" fontId="18" fillId="0" borderId="0" xfId="0" applyFont="1" applyBorder="1"/>
    <xf numFmtId="167" fontId="18" fillId="11" borderId="0" xfId="11" applyNumberFormat="1" applyFont="1" applyFill="1" applyBorder="1"/>
    <xf numFmtId="165" fontId="18" fillId="11" borderId="0" xfId="11" applyNumberFormat="1" applyFont="1" applyFill="1" applyBorder="1"/>
    <xf numFmtId="43" fontId="28" fillId="0" borderId="0" xfId="1" applyFont="1"/>
    <xf numFmtId="43" fontId="18" fillId="0" borderId="0" xfId="0" applyNumberFormat="1" applyFont="1"/>
    <xf numFmtId="171" fontId="18" fillId="0" borderId="0" xfId="0" applyNumberFormat="1" applyFont="1" applyAlignment="1">
      <alignment horizontal="right" indent="2"/>
    </xf>
    <xf numFmtId="4" fontId="18" fillId="0" borderId="0" xfId="0" applyNumberFormat="1" applyFont="1"/>
    <xf numFmtId="43" fontId="37" fillId="6" borderId="0" xfId="1" applyNumberFormat="1" applyFont="1" applyFill="1"/>
    <xf numFmtId="0" fontId="23" fillId="3" borderId="0" xfId="5" applyFont="1" applyFill="1" applyAlignment="1">
      <alignment horizontal="right"/>
    </xf>
    <xf numFmtId="0" fontId="6" fillId="0" borderId="0" xfId="11" applyNumberFormat="1" applyFont="1" applyFill="1" applyBorder="1" applyProtection="1">
      <protection locked="0"/>
    </xf>
    <xf numFmtId="0" fontId="18" fillId="0" borderId="0" xfId="0" applyNumberFormat="1" applyFont="1" applyFill="1" applyBorder="1"/>
    <xf numFmtId="10" fontId="31" fillId="13" borderId="0" xfId="11" applyNumberFormat="1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wrapText="1"/>
    </xf>
    <xf numFmtId="168" fontId="32" fillId="0" borderId="0" xfId="1" applyNumberFormat="1" applyFont="1" applyFill="1" applyBorder="1" applyAlignment="1">
      <alignment horizontal="left" wrapText="1"/>
    </xf>
    <xf numFmtId="2" fontId="32" fillId="0" borderId="0" xfId="0" applyNumberFormat="1" applyFont="1" applyFill="1" applyBorder="1" applyAlignment="1">
      <alignment horizontal="right" wrapText="1"/>
    </xf>
    <xf numFmtId="1" fontId="32" fillId="0" borderId="0" xfId="0" applyNumberFormat="1" applyFont="1" applyFill="1" applyBorder="1" applyAlignment="1">
      <alignment horizontal="right" wrapText="1"/>
    </xf>
    <xf numFmtId="43" fontId="17" fillId="0" borderId="0" xfId="1" applyFont="1"/>
    <xf numFmtId="0" fontId="0" fillId="5" borderId="0" xfId="0" applyFill="1"/>
    <xf numFmtId="3" fontId="0" fillId="0" borderId="0" xfId="0" applyNumberFormat="1"/>
    <xf numFmtId="166" fontId="17" fillId="0" borderId="0" xfId="11" applyNumberFormat="1" applyFont="1"/>
    <xf numFmtId="168" fontId="0" fillId="0" borderId="0" xfId="0" applyNumberFormat="1"/>
    <xf numFmtId="0" fontId="0" fillId="0" borderId="0" xfId="0" applyFill="1" applyBorder="1"/>
    <xf numFmtId="168" fontId="17" fillId="0" borderId="0" xfId="1" applyNumberFormat="1" applyFont="1"/>
    <xf numFmtId="168" fontId="42" fillId="0" borderId="0" xfId="1" applyNumberFormat="1" applyFont="1"/>
    <xf numFmtId="0" fontId="0" fillId="0" borderId="1" xfId="0" applyBorder="1" applyAlignment="1">
      <alignment horizontal="center" vertical="center"/>
    </xf>
    <xf numFmtId="168" fontId="35" fillId="0" borderId="6" xfId="1" applyNumberFormat="1" applyFont="1" applyBorder="1" applyAlignment="1" applyProtection="1">
      <alignment wrapText="1"/>
      <protection locked="0"/>
    </xf>
    <xf numFmtId="43" fontId="36" fillId="0" borderId="0" xfId="0" applyNumberFormat="1" applyFont="1" applyFill="1" applyBorder="1" applyAlignment="1">
      <alignment vertical="center" wrapText="1"/>
    </xf>
    <xf numFmtId="3" fontId="35" fillId="0" borderId="0" xfId="1" applyNumberFormat="1" applyFont="1" applyBorder="1" applyAlignment="1" applyProtection="1">
      <alignment wrapText="1"/>
      <protection locked="0"/>
    </xf>
    <xf numFmtId="3" fontId="17" fillId="0" borderId="0" xfId="11" applyNumberFormat="1" applyFont="1"/>
    <xf numFmtId="0" fontId="0" fillId="0" borderId="1" xfId="0" applyFill="1" applyBorder="1" applyAlignment="1">
      <alignment horizontal="center" vertical="center"/>
    </xf>
    <xf numFmtId="0" fontId="42" fillId="0" borderId="0" xfId="0" applyFont="1"/>
    <xf numFmtId="43" fontId="18" fillId="0" borderId="0" xfId="1" applyNumberFormat="1" applyFont="1" applyBorder="1"/>
    <xf numFmtId="43" fontId="0" fillId="0" borderId="0" xfId="1" applyFont="1"/>
    <xf numFmtId="9" fontId="0" fillId="0" borderId="0" xfId="11" applyNumberFormat="1" applyFont="1"/>
    <xf numFmtId="1" fontId="43" fillId="2" borderId="0" xfId="0" applyNumberFormat="1" applyFont="1" applyFill="1"/>
    <xf numFmtId="43" fontId="43" fillId="2" borderId="0" xfId="1" applyFont="1" applyFill="1"/>
    <xf numFmtId="0" fontId="35" fillId="0" borderId="0" xfId="1" applyNumberFormat="1" applyFont="1" applyBorder="1" applyAlignment="1" applyProtection="1">
      <alignment wrapText="1"/>
      <protection locked="0"/>
    </xf>
    <xf numFmtId="0" fontId="18" fillId="0" borderId="0" xfId="0" applyFont="1" applyAlignment="1">
      <alignment horizontal="right"/>
    </xf>
    <xf numFmtId="0" fontId="28" fillId="3" borderId="0" xfId="0" applyFont="1" applyFill="1"/>
    <xf numFmtId="175" fontId="43" fillId="2" borderId="0" xfId="1" applyNumberFormat="1" applyFont="1" applyFill="1"/>
    <xf numFmtId="175" fontId="18" fillId="0" borderId="0" xfId="1" applyNumberFormat="1" applyFont="1" applyBorder="1"/>
    <xf numFmtId="1" fontId="18" fillId="0" borderId="0" xfId="11" applyNumberFormat="1" applyFont="1" applyBorder="1"/>
    <xf numFmtId="0" fontId="38" fillId="2" borderId="0" xfId="0" applyFont="1" applyFill="1" applyBorder="1" applyAlignment="1">
      <alignment vertical="center" wrapText="1"/>
    </xf>
    <xf numFmtId="168" fontId="36" fillId="0" borderId="0" xfId="1" applyNumberFormat="1" applyFont="1" applyFill="1" applyBorder="1" applyAlignment="1">
      <alignment vertical="center" wrapText="1"/>
    </xf>
    <xf numFmtId="168" fontId="0" fillId="0" borderId="0" xfId="1" applyNumberFormat="1" applyFont="1" applyFill="1" applyBorder="1" applyAlignment="1">
      <alignment vertical="center"/>
    </xf>
    <xf numFmtId="175" fontId="36" fillId="0" borderId="0" xfId="0" applyNumberFormat="1" applyFont="1" applyFill="1" applyBorder="1" applyAlignment="1">
      <alignment horizontal="center"/>
    </xf>
    <xf numFmtId="43" fontId="26" fillId="6" borderId="0" xfId="1" applyFont="1" applyFill="1"/>
    <xf numFmtId="0" fontId="10" fillId="7" borderId="0" xfId="7" applyFont="1" applyFill="1" applyBorder="1" applyAlignment="1">
      <alignment horizontal="center"/>
    </xf>
    <xf numFmtId="3" fontId="36" fillId="0" borderId="0" xfId="0" applyNumberFormat="1" applyFont="1" applyFill="1" applyBorder="1" applyAlignment="1">
      <alignment vertical="center" wrapText="1"/>
    </xf>
    <xf numFmtId="3" fontId="40" fillId="0" borderId="19" xfId="0" applyNumberFormat="1" applyFont="1" applyFill="1" applyBorder="1" applyAlignment="1">
      <alignment horizontal="right" wrapText="1"/>
    </xf>
    <xf numFmtId="3" fontId="40" fillId="0" borderId="20" xfId="0" applyNumberFormat="1" applyFont="1" applyFill="1" applyBorder="1" applyAlignment="1">
      <alignment horizontal="right" wrapText="1"/>
    </xf>
    <xf numFmtId="3" fontId="40" fillId="0" borderId="21" xfId="0" applyNumberFormat="1" applyFont="1" applyFill="1" applyBorder="1" applyAlignment="1">
      <alignment horizontal="right" wrapText="1"/>
    </xf>
    <xf numFmtId="3" fontId="41" fillId="0" borderId="21" xfId="0" applyNumberFormat="1" applyFont="1" applyFill="1" applyBorder="1" applyAlignment="1">
      <alignment horizontal="right" wrapText="1"/>
    </xf>
    <xf numFmtId="3" fontId="41" fillId="0" borderId="22" xfId="0" applyNumberFormat="1" applyFont="1" applyFill="1" applyBorder="1" applyAlignment="1">
      <alignment horizontal="right" wrapText="1"/>
    </xf>
    <xf numFmtId="168" fontId="21" fillId="0" borderId="1" xfId="1" applyNumberFormat="1" applyFont="1" applyBorder="1"/>
    <xf numFmtId="3" fontId="21" fillId="0" borderId="1" xfId="0" applyNumberFormat="1" applyFont="1" applyBorder="1"/>
    <xf numFmtId="2" fontId="21" fillId="0" borderId="1" xfId="0" applyNumberFormat="1" applyFont="1" applyBorder="1"/>
    <xf numFmtId="0" fontId="21" fillId="3" borderId="1" xfId="0" applyFont="1" applyFill="1" applyBorder="1"/>
    <xf numFmtId="0" fontId="21" fillId="4" borderId="1" xfId="0" applyFont="1" applyFill="1" applyBorder="1"/>
    <xf numFmtId="43" fontId="26" fillId="3" borderId="1" xfId="1" applyFont="1" applyFill="1" applyBorder="1"/>
    <xf numFmtId="43" fontId="21" fillId="0" borderId="1" xfId="1" applyFont="1" applyBorder="1"/>
    <xf numFmtId="43" fontId="21" fillId="6" borderId="1" xfId="1" applyFont="1" applyFill="1" applyBorder="1"/>
    <xf numFmtId="0" fontId="21" fillId="6" borderId="1" xfId="0" applyFont="1" applyFill="1" applyBorder="1"/>
    <xf numFmtId="3" fontId="40" fillId="0" borderId="1" xfId="0" applyNumberFormat="1" applyFont="1" applyFill="1" applyBorder="1" applyAlignment="1">
      <alignment horizontal="right" wrapText="1"/>
    </xf>
    <xf numFmtId="3" fontId="41" fillId="0" borderId="1" xfId="0" applyNumberFormat="1" applyFont="1" applyFill="1" applyBorder="1" applyAlignment="1">
      <alignment horizontal="right" wrapText="1"/>
    </xf>
    <xf numFmtId="168" fontId="2" fillId="2" borderId="0" xfId="1" applyNumberFormat="1" applyFont="1" applyFill="1"/>
    <xf numFmtId="43" fontId="25" fillId="2" borderId="0" xfId="1" applyFont="1" applyFill="1"/>
    <xf numFmtId="0" fontId="29" fillId="9" borderId="23" xfId="0" applyFont="1" applyFill="1" applyBorder="1" applyAlignment="1">
      <alignment horizontal="center" vertical="center" wrapText="1"/>
    </xf>
    <xf numFmtId="43" fontId="26" fillId="6" borderId="1" xfId="1" applyNumberFormat="1" applyFont="1" applyFill="1" applyBorder="1"/>
    <xf numFmtId="168" fontId="26" fillId="6" borderId="1" xfId="1" applyNumberFormat="1" applyFont="1" applyFill="1" applyBorder="1"/>
    <xf numFmtId="10" fontId="32" fillId="6" borderId="17" xfId="11" applyNumberFormat="1" applyFont="1" applyFill="1" applyBorder="1" applyAlignment="1">
      <alignment horizontal="right" wrapText="1"/>
    </xf>
    <xf numFmtId="10" fontId="31" fillId="13" borderId="16" xfId="11" applyNumberFormat="1" applyFont="1" applyFill="1" applyBorder="1" applyAlignment="1">
      <alignment horizontal="right" wrapText="1"/>
    </xf>
    <xf numFmtId="10" fontId="29" fillId="6" borderId="1" xfId="11" applyNumberFormat="1" applyFont="1" applyFill="1" applyBorder="1" applyAlignment="1">
      <alignment horizontal="right" wrapText="1"/>
    </xf>
    <xf numFmtId="2" fontId="18" fillId="2" borderId="0" xfId="0" applyNumberFormat="1" applyFont="1" applyFill="1" applyBorder="1"/>
    <xf numFmtId="174" fontId="18" fillId="0" borderId="0" xfId="1" applyNumberFormat="1" applyFont="1" applyBorder="1"/>
    <xf numFmtId="0" fontId="21" fillId="3" borderId="0" xfId="0" applyFont="1" applyFill="1" applyBorder="1"/>
    <xf numFmtId="3" fontId="21" fillId="0" borderId="1" xfId="0" applyNumberFormat="1" applyFont="1" applyFill="1" applyBorder="1"/>
    <xf numFmtId="168" fontId="21" fillId="0" borderId="8" xfId="1" applyNumberFormat="1" applyFont="1" applyBorder="1"/>
    <xf numFmtId="168" fontId="21" fillId="3" borderId="8" xfId="1" applyNumberFormat="1" applyFont="1" applyFill="1" applyBorder="1"/>
    <xf numFmtId="0" fontId="21" fillId="0" borderId="8" xfId="0" applyFont="1" applyBorder="1"/>
    <xf numFmtId="3" fontId="21" fillId="0" borderId="8" xfId="0" applyNumberFormat="1" applyFont="1" applyBorder="1"/>
    <xf numFmtId="3" fontId="21" fillId="6" borderId="1" xfId="0" applyNumberFormat="1" applyFont="1" applyFill="1" applyBorder="1"/>
    <xf numFmtId="168" fontId="5" fillId="6" borderId="1" xfId="1" applyNumberFormat="1" applyFont="1" applyFill="1" applyBorder="1"/>
    <xf numFmtId="43" fontId="18" fillId="2" borderId="0" xfId="1" applyFont="1" applyFill="1"/>
    <xf numFmtId="0" fontId="5" fillId="0" borderId="0" xfId="7" applyFont="1" applyFill="1" applyBorder="1" applyAlignment="1"/>
    <xf numFmtId="0" fontId="18" fillId="0" borderId="0" xfId="0" applyFont="1" applyBorder="1"/>
    <xf numFmtId="0" fontId="18" fillId="4" borderId="0" xfId="0" applyFont="1" applyFill="1" applyBorder="1"/>
    <xf numFmtId="3" fontId="5" fillId="5" borderId="0" xfId="7" applyNumberFormat="1" applyFont="1" applyFill="1" applyBorder="1" applyAlignment="1">
      <alignment horizontal="right" vertical="center"/>
    </xf>
    <xf numFmtId="10" fontId="18" fillId="0" borderId="0" xfId="11" applyNumberFormat="1" applyFont="1" applyBorder="1"/>
    <xf numFmtId="3" fontId="21" fillId="0" borderId="8" xfId="0" applyNumberFormat="1" applyFont="1" applyFill="1" applyBorder="1"/>
    <xf numFmtId="0" fontId="21" fillId="0" borderId="8" xfId="0" applyFont="1" applyFill="1" applyBorder="1"/>
    <xf numFmtId="168" fontId="35" fillId="0" borderId="8" xfId="1" applyNumberFormat="1" applyFont="1" applyBorder="1" applyAlignment="1" applyProtection="1">
      <alignment wrapText="1"/>
      <protection locked="0"/>
    </xf>
    <xf numFmtId="168" fontId="19" fillId="0" borderId="1" xfId="1" applyNumberFormat="1" applyFont="1" applyFill="1" applyBorder="1"/>
    <xf numFmtId="4" fontId="5" fillId="8" borderId="0" xfId="5" applyNumberFormat="1" applyFont="1" applyFill="1"/>
    <xf numFmtId="4" fontId="26" fillId="8" borderId="0" xfId="5" applyNumberFormat="1" applyFont="1" applyFill="1"/>
    <xf numFmtId="3" fontId="26" fillId="8" borderId="0" xfId="5" applyNumberFormat="1" applyFont="1" applyFill="1"/>
    <xf numFmtId="168" fontId="2" fillId="8" borderId="0" xfId="1" applyNumberFormat="1" applyFont="1" applyFill="1"/>
    <xf numFmtId="0" fontId="2" fillId="8" borderId="0" xfId="1" applyNumberFormat="1" applyFont="1" applyFill="1"/>
    <xf numFmtId="1" fontId="2" fillId="8" borderId="0" xfId="1" applyNumberFormat="1" applyFont="1" applyFill="1"/>
    <xf numFmtId="0" fontId="5" fillId="8" borderId="0" xfId="5" applyFont="1" applyFill="1" applyBorder="1" applyAlignment="1" applyProtection="1">
      <alignment horizontal="right" vertical="top" wrapText="1"/>
    </xf>
    <xf numFmtId="0" fontId="20" fillId="6" borderId="0" xfId="0" applyFont="1" applyFill="1" applyBorder="1" applyAlignment="1"/>
    <xf numFmtId="0" fontId="10" fillId="7" borderId="0" xfId="7" applyFont="1" applyFill="1" applyBorder="1" applyAlignment="1">
      <alignment horizontal="center"/>
    </xf>
    <xf numFmtId="0" fontId="18" fillId="0" borderId="0" xfId="0" applyFont="1" applyBorder="1"/>
    <xf numFmtId="0" fontId="5" fillId="3" borderId="0" xfId="5" applyFont="1" applyFill="1"/>
    <xf numFmtId="0" fontId="5" fillId="4" borderId="0" xfId="5" applyFont="1" applyFill="1"/>
    <xf numFmtId="168" fontId="21" fillId="4" borderId="1" xfId="1" applyNumberFormat="1" applyFont="1" applyFill="1" applyBorder="1"/>
    <xf numFmtId="3" fontId="21" fillId="4" borderId="1" xfId="0" applyNumberFormat="1" applyFont="1" applyFill="1" applyBorder="1"/>
    <xf numFmtId="168" fontId="21" fillId="5" borderId="1" xfId="1" applyNumberFormat="1" applyFont="1" applyFill="1" applyBorder="1"/>
    <xf numFmtId="2" fontId="21" fillId="0" borderId="1" xfId="0" applyNumberFormat="1" applyFont="1" applyFill="1" applyBorder="1"/>
    <xf numFmtId="2" fontId="26" fillId="0" borderId="1" xfId="0" applyNumberFormat="1" applyFont="1" applyFill="1" applyBorder="1"/>
    <xf numFmtId="10" fontId="19" fillId="0" borderId="1" xfId="11" applyNumberFormat="1" applyFont="1" applyFill="1" applyBorder="1"/>
    <xf numFmtId="10" fontId="18" fillId="3" borderId="0" xfId="0" applyNumberFormat="1" applyFont="1" applyFill="1" applyBorder="1"/>
    <xf numFmtId="9" fontId="18" fillId="0" borderId="0" xfId="11" applyFont="1" applyBorder="1"/>
    <xf numFmtId="10" fontId="18" fillId="7" borderId="0" xfId="11" applyNumberFormat="1" applyFont="1" applyFill="1" applyBorder="1"/>
    <xf numFmtId="3" fontId="44" fillId="14" borderId="14" xfId="0" applyNumberFormat="1" applyFont="1" applyFill="1" applyBorder="1" applyAlignment="1">
      <alignment horizontal="right" wrapText="1"/>
    </xf>
    <xf numFmtId="0" fontId="18" fillId="0" borderId="0" xfId="0" applyFont="1" applyBorder="1"/>
    <xf numFmtId="0" fontId="18" fillId="0" borderId="0" xfId="0" applyFont="1" applyBorder="1" applyAlignment="1"/>
    <xf numFmtId="168" fontId="21" fillId="5" borderId="8" xfId="1" applyNumberFormat="1" applyFont="1" applyFill="1" applyBorder="1"/>
    <xf numFmtId="168" fontId="19" fillId="0" borderId="8" xfId="1" applyNumberFormat="1" applyFont="1" applyFill="1" applyBorder="1"/>
    <xf numFmtId="168" fontId="36" fillId="6" borderId="0" xfId="0" applyNumberFormat="1" applyFont="1" applyFill="1" applyBorder="1" applyAlignment="1" applyProtection="1">
      <alignment wrapText="1"/>
      <protection locked="0"/>
    </xf>
    <xf numFmtId="0" fontId="18" fillId="7" borderId="0" xfId="0" applyFont="1" applyFill="1" applyBorder="1"/>
    <xf numFmtId="43" fontId="18" fillId="2" borderId="0" xfId="0" applyNumberFormat="1" applyFont="1" applyFill="1"/>
    <xf numFmtId="168" fontId="18" fillId="4" borderId="0" xfId="1" applyNumberFormat="1" applyFont="1" applyFill="1" applyBorder="1"/>
    <xf numFmtId="2" fontId="36" fillId="0" borderId="0" xfId="0" applyNumberFormat="1" applyFont="1" applyFill="1" applyBorder="1" applyAlignment="1" applyProtection="1">
      <alignment wrapText="1"/>
      <protection locked="0"/>
    </xf>
    <xf numFmtId="0" fontId="38" fillId="2" borderId="0" xfId="0" applyFont="1" applyFill="1" applyBorder="1" applyAlignment="1">
      <alignment wrapText="1"/>
    </xf>
    <xf numFmtId="168" fontId="32" fillId="6" borderId="8" xfId="1" applyNumberFormat="1" applyFont="1" applyFill="1" applyBorder="1" applyAlignment="1">
      <alignment horizontal="right" wrapText="1"/>
    </xf>
    <xf numFmtId="168" fontId="21" fillId="0" borderId="1" xfId="0" applyNumberFormat="1" applyFont="1" applyFill="1" applyBorder="1"/>
    <xf numFmtId="0" fontId="21" fillId="0" borderId="24" xfId="0" applyFont="1" applyBorder="1"/>
    <xf numFmtId="0" fontId="21" fillId="0" borderId="2" xfId="0" applyFont="1" applyBorder="1"/>
    <xf numFmtId="168" fontId="21" fillId="3" borderId="1" xfId="1" applyNumberFormat="1" applyFont="1" applyFill="1" applyBorder="1"/>
    <xf numFmtId="3" fontId="21" fillId="3" borderId="1" xfId="0" applyNumberFormat="1" applyFont="1" applyFill="1" applyBorder="1"/>
    <xf numFmtId="3" fontId="21" fillId="4" borderId="0" xfId="0" applyNumberFormat="1" applyFont="1" applyFill="1" applyBorder="1"/>
    <xf numFmtId="1" fontId="21" fillId="0" borderId="1" xfId="0" applyNumberFormat="1" applyFont="1" applyFill="1" applyBorder="1"/>
    <xf numFmtId="1" fontId="26" fillId="0" borderId="1" xfId="0" applyNumberFormat="1" applyFont="1" applyFill="1" applyBorder="1"/>
    <xf numFmtId="43" fontId="35" fillId="0" borderId="6" xfId="1" applyFont="1" applyBorder="1" applyAlignment="1" applyProtection="1">
      <alignment wrapText="1"/>
      <protection locked="0"/>
    </xf>
    <xf numFmtId="43" fontId="35" fillId="0" borderId="5" xfId="1" applyFont="1" applyBorder="1" applyAlignment="1" applyProtection="1">
      <alignment wrapText="1"/>
      <protection locked="0"/>
    </xf>
    <xf numFmtId="43" fontId="35" fillId="5" borderId="5" xfId="1" applyFont="1" applyFill="1" applyBorder="1" applyAlignment="1" applyProtection="1">
      <alignment wrapText="1"/>
      <protection locked="0"/>
    </xf>
    <xf numFmtId="43" fontId="35" fillId="5" borderId="6" xfId="1" applyFont="1" applyFill="1" applyBorder="1" applyAlignment="1" applyProtection="1">
      <alignment wrapText="1"/>
      <protection locked="0"/>
    </xf>
    <xf numFmtId="43" fontId="35" fillId="0" borderId="25" xfId="1" applyFont="1" applyBorder="1" applyAlignment="1" applyProtection="1">
      <alignment wrapText="1"/>
      <protection locked="0"/>
    </xf>
    <xf numFmtId="43" fontId="35" fillId="0" borderId="1" xfId="1" applyFont="1" applyBorder="1" applyAlignment="1" applyProtection="1">
      <alignment wrapText="1"/>
      <protection locked="0"/>
    </xf>
    <xf numFmtId="0" fontId="0" fillId="0" borderId="1" xfId="0" applyBorder="1" applyAlignment="1">
      <alignment horizontal="center"/>
    </xf>
    <xf numFmtId="0" fontId="0" fillId="3" borderId="0" xfId="0" applyFill="1"/>
    <xf numFmtId="168" fontId="0" fillId="0" borderId="0" xfId="1" applyNumberFormat="1" applyFont="1"/>
    <xf numFmtId="0" fontId="0" fillId="4" borderId="0" xfId="0" applyFill="1"/>
    <xf numFmtId="168" fontId="0" fillId="4" borderId="0" xfId="0" applyNumberFormat="1" applyFill="1"/>
    <xf numFmtId="0" fontId="45" fillId="0" borderId="0" xfId="0" applyFont="1"/>
    <xf numFmtId="168" fontId="45" fillId="0" borderId="0" xfId="0" applyNumberFormat="1" applyFont="1"/>
    <xf numFmtId="0" fontId="45" fillId="4" borderId="0" xfId="0" applyFont="1" applyFill="1"/>
    <xf numFmtId="168" fontId="45" fillId="4" borderId="0" xfId="0" applyNumberFormat="1" applyFont="1" applyFill="1"/>
    <xf numFmtId="10" fontId="0" fillId="0" borderId="0" xfId="11" applyNumberFormat="1" applyFont="1"/>
    <xf numFmtId="10" fontId="45" fillId="0" borderId="0" xfId="11" applyNumberFormat="1" applyFont="1"/>
    <xf numFmtId="168" fontId="0" fillId="4" borderId="0" xfId="1" applyNumberFormat="1" applyFont="1" applyFill="1"/>
    <xf numFmtId="0" fontId="0" fillId="0" borderId="0" xfId="0" applyAlignment="1"/>
    <xf numFmtId="168" fontId="26" fillId="0" borderId="1" xfId="1" applyNumberFormat="1" applyFont="1" applyFill="1" applyBorder="1"/>
    <xf numFmtId="167" fontId="6" fillId="0" borderId="0" xfId="11" applyNumberFormat="1" applyFont="1" applyFill="1" applyBorder="1" applyProtection="1">
      <protection locked="0"/>
    </xf>
    <xf numFmtId="0" fontId="38" fillId="7" borderId="0" xfId="0" applyFont="1" applyFill="1" applyBorder="1" applyAlignment="1">
      <alignment wrapText="1"/>
    </xf>
    <xf numFmtId="43" fontId="21" fillId="3" borderId="1" xfId="0" applyNumberFormat="1" applyFont="1" applyFill="1" applyBorder="1"/>
    <xf numFmtId="0" fontId="26" fillId="0" borderId="8" xfId="0" applyFont="1" applyFill="1" applyBorder="1"/>
    <xf numFmtId="43" fontId="21" fillId="0" borderId="1" xfId="0" applyNumberFormat="1" applyFont="1" applyBorder="1"/>
    <xf numFmtId="168" fontId="35" fillId="0" borderId="1" xfId="1" applyNumberFormat="1" applyFont="1" applyFill="1" applyBorder="1" applyAlignment="1" applyProtection="1">
      <alignment wrapText="1"/>
      <protection locked="0"/>
    </xf>
    <xf numFmtId="168" fontId="35" fillId="0" borderId="1" xfId="1" applyNumberFormat="1" applyFont="1" applyBorder="1" applyAlignment="1" applyProtection="1">
      <alignment wrapText="1"/>
      <protection locked="0"/>
    </xf>
    <xf numFmtId="0" fontId="18" fillId="0" borderId="0" xfId="0" applyFont="1" applyBorder="1"/>
    <xf numFmtId="168" fontId="21" fillId="3" borderId="0" xfId="0" applyNumberFormat="1" applyFont="1" applyFill="1"/>
    <xf numFmtId="167" fontId="18" fillId="0" borderId="0" xfId="11" applyNumberFormat="1" applyFont="1" applyBorder="1"/>
    <xf numFmtId="0" fontId="18" fillId="0" borderId="0" xfId="0" applyFont="1" applyBorder="1"/>
    <xf numFmtId="43" fontId="21" fillId="0" borderId="0" xfId="0" applyNumberFormat="1" applyFont="1" applyBorder="1"/>
    <xf numFmtId="43" fontId="35" fillId="0" borderId="0" xfId="1" applyFont="1" applyBorder="1" applyAlignment="1" applyProtection="1">
      <alignment wrapText="1"/>
      <protection locked="0"/>
    </xf>
    <xf numFmtId="43" fontId="35" fillId="5" borderId="0" xfId="1" applyFont="1" applyFill="1" applyBorder="1" applyAlignment="1" applyProtection="1">
      <alignment wrapText="1"/>
      <protection locked="0"/>
    </xf>
    <xf numFmtId="43" fontId="35" fillId="5" borderId="0" xfId="1" applyFont="1" applyFill="1" applyBorder="1" applyAlignment="1" applyProtection="1">
      <alignment horizontal="center" vertical="center" wrapText="1"/>
      <protection locked="0"/>
    </xf>
    <xf numFmtId="43" fontId="18" fillId="0" borderId="0" xfId="1" applyNumberFormat="1" applyFont="1"/>
    <xf numFmtId="168" fontId="19" fillId="2" borderId="1" xfId="1" applyNumberFormat="1" applyFont="1" applyFill="1" applyBorder="1"/>
    <xf numFmtId="168" fontId="2" fillId="2" borderId="1" xfId="1" applyNumberFormat="1" applyFont="1" applyFill="1" applyBorder="1"/>
    <xf numFmtId="43" fontId="35" fillId="0" borderId="27" xfId="1" applyFont="1" applyBorder="1" applyAlignment="1" applyProtection="1">
      <alignment wrapText="1"/>
      <protection locked="0"/>
    </xf>
    <xf numFmtId="43" fontId="35" fillId="0" borderId="1" xfId="1" applyFont="1" applyFill="1" applyBorder="1" applyAlignment="1" applyProtection="1">
      <alignment wrapText="1"/>
      <protection locked="0"/>
    </xf>
    <xf numFmtId="168" fontId="21" fillId="0" borderId="8" xfId="0" applyNumberFormat="1" applyFont="1" applyBorder="1"/>
    <xf numFmtId="1" fontId="21" fillId="0" borderId="8" xfId="11" applyNumberFormat="1" applyFont="1" applyBorder="1"/>
    <xf numFmtId="168" fontId="5" fillId="6" borderId="8" xfId="1" applyNumberFormat="1" applyFont="1" applyFill="1" applyBorder="1"/>
    <xf numFmtId="168" fontId="21" fillId="3" borderId="1" xfId="0" applyNumberFormat="1" applyFont="1" applyFill="1" applyBorder="1"/>
    <xf numFmtId="168" fontId="0" fillId="3" borderId="0" xfId="1" applyNumberFormat="1" applyFont="1" applyFill="1"/>
    <xf numFmtId="0" fontId="0" fillId="3" borderId="1" xfId="0" applyFill="1" applyBorder="1" applyAlignment="1">
      <alignment horizontal="center" vertical="center"/>
    </xf>
    <xf numFmtId="0" fontId="42" fillId="3" borderId="0" xfId="0" applyFont="1" applyFill="1"/>
    <xf numFmtId="9" fontId="0" fillId="0" borderId="0" xfId="11" applyFont="1"/>
    <xf numFmtId="0" fontId="18" fillId="0" borderId="0" xfId="0" applyFont="1" applyBorder="1"/>
    <xf numFmtId="43" fontId="21" fillId="3" borderId="8" xfId="0" applyNumberFormat="1" applyFont="1" applyFill="1" applyBorder="1"/>
    <xf numFmtId="3" fontId="46" fillId="15" borderId="28" xfId="0" applyNumberFormat="1" applyFont="1" applyFill="1" applyBorder="1" applyAlignment="1">
      <alignment horizontal="right" vertical="center" wrapText="1"/>
    </xf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21" fillId="0" borderId="0" xfId="0" applyFont="1" applyAlignment="1">
      <alignment horizontal="center"/>
    </xf>
    <xf numFmtId="0" fontId="0" fillId="3" borderId="1" xfId="0" applyFill="1" applyBorder="1"/>
    <xf numFmtId="0" fontId="21" fillId="3" borderId="8" xfId="0" applyFont="1" applyFill="1" applyBorder="1"/>
    <xf numFmtId="43" fontId="21" fillId="0" borderId="8" xfId="0" applyNumberFormat="1" applyFont="1" applyBorder="1"/>
    <xf numFmtId="168" fontId="0" fillId="0" borderId="0" xfId="1" applyNumberFormat="1" applyFont="1" applyFill="1" applyBorder="1"/>
    <xf numFmtId="0" fontId="18" fillId="6" borderId="0" xfId="0" applyFont="1" applyFill="1" applyBorder="1"/>
    <xf numFmtId="0" fontId="18" fillId="6" borderId="0" xfId="0" applyFont="1" applyFill="1" applyBorder="1" applyAlignment="1">
      <alignment horizontal="center"/>
    </xf>
    <xf numFmtId="168" fontId="18" fillId="6" borderId="0" xfId="1" applyNumberFormat="1" applyFont="1" applyFill="1" applyBorder="1"/>
    <xf numFmtId="10" fontId="18" fillId="6" borderId="0" xfId="11" applyNumberFormat="1" applyFont="1" applyFill="1" applyBorder="1"/>
    <xf numFmtId="0" fontId="18" fillId="6" borderId="0" xfId="0" applyFont="1" applyFill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21" fillId="0" borderId="0" xfId="0" applyFont="1" applyAlignment="1">
      <alignment horizontal="center"/>
    </xf>
    <xf numFmtId="0" fontId="0" fillId="0" borderId="1" xfId="0" applyBorder="1"/>
    <xf numFmtId="168" fontId="0" fillId="5" borderId="0" xfId="1" applyNumberFormat="1" applyFont="1" applyFill="1"/>
    <xf numFmtId="0" fontId="21" fillId="0" borderId="1" xfId="11" applyNumberFormat="1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1" fillId="0" borderId="8" xfId="11" applyNumberFormat="1" applyFont="1" applyBorder="1"/>
    <xf numFmtId="0" fontId="0" fillId="0" borderId="24" xfId="0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0" xfId="0" applyFont="1" applyAlignment="1">
      <alignment horizontal="center"/>
    </xf>
    <xf numFmtId="0" fontId="0" fillId="2" borderId="1" xfId="0" applyFill="1" applyBorder="1"/>
    <xf numFmtId="168" fontId="0" fillId="2" borderId="0" xfId="1" applyNumberFormat="1" applyFont="1" applyFill="1"/>
    <xf numFmtId="0" fontId="0" fillId="2" borderId="0" xfId="0" applyFill="1"/>
    <xf numFmtId="0" fontId="0" fillId="2" borderId="0" xfId="0" applyFill="1" applyBorder="1"/>
    <xf numFmtId="3" fontId="5" fillId="2" borderId="0" xfId="7" applyNumberFormat="1" applyFont="1" applyFill="1" applyBorder="1" applyProtection="1">
      <protection locked="0"/>
    </xf>
    <xf numFmtId="0" fontId="18" fillId="2" borderId="0" xfId="0" applyFont="1" applyFill="1" applyBorder="1" applyAlignment="1" applyProtection="1">
      <alignment vertical="center" wrapText="1"/>
      <protection locked="0"/>
    </xf>
    <xf numFmtId="0" fontId="36" fillId="2" borderId="0" xfId="0" applyFont="1" applyFill="1" applyBorder="1" applyAlignment="1" applyProtection="1">
      <alignment wrapText="1"/>
      <protection locked="0"/>
    </xf>
    <xf numFmtId="0" fontId="39" fillId="2" borderId="0" xfId="0" applyFont="1" applyFill="1" applyBorder="1" applyAlignment="1" applyProtection="1">
      <alignment wrapText="1"/>
      <protection locked="0"/>
    </xf>
    <xf numFmtId="0" fontId="0" fillId="0" borderId="0" xfId="0" applyBorder="1" applyAlignment="1">
      <alignment horizontal="center"/>
    </xf>
    <xf numFmtId="0" fontId="18" fillId="0" borderId="0" xfId="0" applyFont="1" applyBorder="1"/>
    <xf numFmtId="0" fontId="18" fillId="7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8" fillId="7" borderId="0" xfId="0" applyFont="1" applyFill="1" applyAlignment="1">
      <alignment horizontal="center"/>
    </xf>
    <xf numFmtId="3" fontId="18" fillId="0" borderId="0" xfId="0" applyNumberFormat="1" applyFont="1"/>
    <xf numFmtId="0" fontId="21" fillId="3" borderId="1" xfId="0" applyFont="1" applyFill="1" applyBorder="1" applyAlignment="1">
      <alignment horizontal="center"/>
    </xf>
    <xf numFmtId="1" fontId="26" fillId="0" borderId="8" xfId="11" applyNumberFormat="1" applyFont="1" applyBorder="1"/>
    <xf numFmtId="168" fontId="26" fillId="0" borderId="8" xfId="1" applyNumberFormat="1" applyFont="1" applyBorder="1"/>
    <xf numFmtId="168" fontId="26" fillId="0" borderId="1" xfId="1" applyNumberFormat="1" applyFont="1" applyBorder="1"/>
    <xf numFmtId="0" fontId="26" fillId="0" borderId="1" xfId="0" applyFont="1" applyFill="1" applyBorder="1"/>
    <xf numFmtId="0" fontId="0" fillId="0" borderId="0" xfId="0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0" borderId="0" xfId="0" applyFont="1" applyBorder="1"/>
    <xf numFmtId="0" fontId="18" fillId="0" borderId="0" xfId="0" applyFont="1" applyBorder="1"/>
    <xf numFmtId="43" fontId="21" fillId="5" borderId="1" xfId="1" applyFont="1" applyFill="1" applyBorder="1"/>
    <xf numFmtId="0" fontId="18" fillId="7" borderId="0" xfId="0" applyFont="1" applyFill="1" applyBorder="1" applyAlignment="1">
      <alignment horizontal="center"/>
    </xf>
    <xf numFmtId="0" fontId="0" fillId="3" borderId="0" xfId="0" applyFill="1" applyBorder="1"/>
    <xf numFmtId="174" fontId="18" fillId="0" borderId="0" xfId="0" applyNumberFormat="1" applyFont="1"/>
    <xf numFmtId="0" fontId="18" fillId="7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168" fontId="35" fillId="17" borderId="5" xfId="0" applyNumberFormat="1" applyFont="1" applyFill="1" applyBorder="1" applyAlignment="1" applyProtection="1">
      <alignment vertical="center" wrapText="1"/>
    </xf>
    <xf numFmtId="168" fontId="35" fillId="17" borderId="6" xfId="0" applyNumberFormat="1" applyFont="1" applyFill="1" applyBorder="1" applyAlignment="1" applyProtection="1">
      <alignment vertical="center" wrapText="1"/>
    </xf>
    <xf numFmtId="0" fontId="21" fillId="0" borderId="0" xfId="11" applyNumberFormat="1" applyFont="1"/>
    <xf numFmtId="168" fontId="35" fillId="17" borderId="7" xfId="0" applyNumberFormat="1" applyFont="1" applyFill="1" applyBorder="1" applyAlignment="1" applyProtection="1">
      <alignment vertical="center" wrapText="1"/>
    </xf>
    <xf numFmtId="0" fontId="0" fillId="3" borderId="1" xfId="0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168" fontId="6" fillId="0" borderId="0" xfId="1" applyNumberFormat="1" applyFont="1" applyFill="1" applyBorder="1" applyProtection="1">
      <protection locked="0"/>
    </xf>
    <xf numFmtId="0" fontId="21" fillId="3" borderId="8" xfId="0" applyFont="1" applyFill="1" applyBorder="1" applyAlignment="1">
      <alignment horizontal="center"/>
    </xf>
    <xf numFmtId="168" fontId="5" fillId="0" borderId="1" xfId="1" applyNumberFormat="1" applyFont="1" applyBorder="1"/>
    <xf numFmtId="43" fontId="21" fillId="5" borderId="8" xfId="1" applyFont="1" applyFill="1" applyBorder="1"/>
    <xf numFmtId="168" fontId="19" fillId="2" borderId="8" xfId="1" applyNumberFormat="1" applyFont="1" applyFill="1" applyBorder="1"/>
    <xf numFmtId="168" fontId="2" fillId="2" borderId="8" xfId="1" applyNumberFormat="1" applyFont="1" applyFill="1" applyBorder="1"/>
    <xf numFmtId="0" fontId="21" fillId="5" borderId="1" xfId="0" applyFont="1" applyFill="1" applyBorder="1"/>
    <xf numFmtId="168" fontId="37" fillId="6" borderId="1" xfId="1" applyNumberFormat="1" applyFont="1" applyFill="1" applyBorder="1"/>
    <xf numFmtId="168" fontId="26" fillId="2" borderId="1" xfId="1" applyNumberFormat="1" applyFont="1" applyFill="1" applyBorder="1"/>
    <xf numFmtId="0" fontId="29" fillId="9" borderId="15" xfId="0" applyFont="1" applyFill="1" applyBorder="1" applyAlignment="1">
      <alignment horizontal="center" vertical="center" wrapText="1"/>
    </xf>
    <xf numFmtId="0" fontId="31" fillId="13" borderId="30" xfId="0" applyFont="1" applyFill="1" applyBorder="1" applyAlignment="1">
      <alignment horizontal="left" vertical="center" wrapText="1"/>
    </xf>
    <xf numFmtId="0" fontId="31" fillId="13" borderId="31" xfId="0" applyFont="1" applyFill="1" applyBorder="1" applyAlignment="1">
      <alignment horizontal="left" wrapText="1"/>
    </xf>
    <xf numFmtId="168" fontId="31" fillId="6" borderId="1" xfId="1" applyNumberFormat="1" applyFont="1" applyFill="1" applyBorder="1" applyAlignment="1">
      <alignment horizontal="left" wrapText="1"/>
    </xf>
    <xf numFmtId="3" fontId="43" fillId="0" borderId="1" xfId="0" applyNumberFormat="1" applyFont="1" applyBorder="1"/>
    <xf numFmtId="3" fontId="29" fillId="5" borderId="21" xfId="0" applyNumberFormat="1" applyFont="1" applyFill="1" applyBorder="1" applyAlignment="1">
      <alignment horizontal="right" wrapText="1"/>
    </xf>
    <xf numFmtId="3" fontId="29" fillId="5" borderId="19" xfId="0" applyNumberFormat="1" applyFont="1" applyFill="1" applyBorder="1" applyAlignment="1">
      <alignment horizontal="right" wrapText="1"/>
    </xf>
    <xf numFmtId="0" fontId="31" fillId="13" borderId="31" xfId="0" applyFont="1" applyFill="1" applyBorder="1" applyAlignment="1">
      <alignment horizontal="left" wrapText="1" indent="1"/>
    </xf>
    <xf numFmtId="3" fontId="29" fillId="6" borderId="1" xfId="0" applyNumberFormat="1" applyFont="1" applyFill="1" applyBorder="1" applyAlignment="1">
      <alignment horizontal="right" wrapText="1"/>
    </xf>
    <xf numFmtId="3" fontId="0" fillId="0" borderId="1" xfId="0" applyNumberFormat="1" applyBorder="1"/>
    <xf numFmtId="0" fontId="32" fillId="13" borderId="30" xfId="0" applyFont="1" applyFill="1" applyBorder="1" applyAlignment="1">
      <alignment horizontal="left" vertical="center" wrapText="1"/>
    </xf>
    <xf numFmtId="0" fontId="32" fillId="13" borderId="31" xfId="0" applyFont="1" applyFill="1" applyBorder="1" applyAlignment="1">
      <alignment horizontal="left" wrapText="1"/>
    </xf>
    <xf numFmtId="168" fontId="32" fillId="6" borderId="1" xfId="1" applyNumberFormat="1" applyFont="1" applyFill="1" applyBorder="1" applyAlignment="1">
      <alignment horizontal="right" wrapText="1" indent="1"/>
    </xf>
    <xf numFmtId="3" fontId="33" fillId="5" borderId="21" xfId="0" applyNumberFormat="1" applyFont="1" applyFill="1" applyBorder="1" applyAlignment="1">
      <alignment horizontal="right" wrapText="1"/>
    </xf>
    <xf numFmtId="3" fontId="33" fillId="5" borderId="19" xfId="0" applyNumberFormat="1" applyFont="1" applyFill="1" applyBorder="1" applyAlignment="1">
      <alignment horizontal="right" wrapText="1"/>
    </xf>
    <xf numFmtId="0" fontId="33" fillId="13" borderId="30" xfId="0" applyFont="1" applyFill="1" applyBorder="1" applyAlignment="1">
      <alignment horizontal="left" vertical="center" wrapText="1"/>
    </xf>
    <xf numFmtId="168" fontId="32" fillId="6" borderId="1" xfId="1" applyNumberFormat="1" applyFont="1" applyFill="1" applyBorder="1" applyAlignment="1">
      <alignment horizontal="right" wrapText="1"/>
    </xf>
    <xf numFmtId="4" fontId="0" fillId="0" borderId="1" xfId="0" applyNumberFormat="1" applyBorder="1"/>
    <xf numFmtId="0" fontId="32" fillId="13" borderId="31" xfId="0" applyFont="1" applyFill="1" applyBorder="1" applyAlignment="1">
      <alignment horizontal="center" wrapText="1"/>
    </xf>
    <xf numFmtId="3" fontId="31" fillId="0" borderId="1" xfId="0" applyNumberFormat="1" applyFont="1" applyBorder="1"/>
    <xf numFmtId="4" fontId="33" fillId="5" borderId="21" xfId="0" applyNumberFormat="1" applyFont="1" applyFill="1" applyBorder="1" applyAlignment="1">
      <alignment horizontal="right" wrapText="1"/>
    </xf>
    <xf numFmtId="3" fontId="30" fillId="0" borderId="0" xfId="0" applyNumberFormat="1" applyFont="1"/>
    <xf numFmtId="0" fontId="33" fillId="5" borderId="19" xfId="0" applyFont="1" applyFill="1" applyBorder="1" applyAlignment="1">
      <alignment horizontal="right" wrapText="1"/>
    </xf>
    <xf numFmtId="168" fontId="31" fillId="13" borderId="17" xfId="1" applyNumberFormat="1" applyFont="1" applyFill="1" applyBorder="1" applyAlignment="1">
      <alignment horizontal="right" wrapText="1"/>
    </xf>
    <xf numFmtId="2" fontId="32" fillId="13" borderId="17" xfId="0" applyNumberFormat="1" applyFont="1" applyFill="1" applyBorder="1" applyAlignment="1">
      <alignment horizontal="right" wrapText="1"/>
    </xf>
    <xf numFmtId="1" fontId="32" fillId="13" borderId="17" xfId="0" applyNumberFormat="1" applyFont="1" applyFill="1" applyBorder="1" applyAlignment="1">
      <alignment horizontal="right" wrapText="1"/>
    </xf>
    <xf numFmtId="168" fontId="32" fillId="0" borderId="0" xfId="1" applyNumberFormat="1" applyFont="1" applyFill="1" applyBorder="1" applyAlignment="1">
      <alignment horizontal="right" wrapText="1"/>
    </xf>
    <xf numFmtId="9" fontId="32" fillId="0" borderId="0" xfId="11" applyFont="1" applyFill="1" applyBorder="1" applyAlignment="1">
      <alignment horizontal="right" wrapText="1"/>
    </xf>
    <xf numFmtId="0" fontId="29" fillId="9" borderId="32" xfId="0" applyFont="1" applyFill="1" applyBorder="1" applyAlignment="1">
      <alignment horizontal="center" vertical="center" wrapText="1"/>
    </xf>
    <xf numFmtId="3" fontId="31" fillId="0" borderId="8" xfId="0" applyNumberFormat="1" applyFont="1" applyBorder="1"/>
    <xf numFmtId="168" fontId="32" fillId="6" borderId="8" xfId="1" applyNumberFormat="1" applyFont="1" applyFill="1" applyBorder="1" applyAlignment="1">
      <alignment horizontal="left" wrapText="1"/>
    </xf>
    <xf numFmtId="168" fontId="32" fillId="6" borderId="24" xfId="1" applyNumberFormat="1" applyFont="1" applyFill="1" applyBorder="1" applyAlignment="1">
      <alignment horizontal="right" wrapText="1"/>
    </xf>
    <xf numFmtId="0" fontId="29" fillId="9" borderId="1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8" fillId="0" borderId="0" xfId="0" applyFont="1" applyBorder="1"/>
    <xf numFmtId="0" fontId="18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8" fontId="21" fillId="4" borderId="10" xfId="1" applyNumberFormat="1" applyFont="1" applyFill="1" applyBorder="1"/>
    <xf numFmtId="0" fontId="0" fillId="3" borderId="1" xfId="0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6" borderId="0" xfId="0" applyFont="1" applyFill="1" applyBorder="1"/>
    <xf numFmtId="168" fontId="13" fillId="6" borderId="0" xfId="1" applyNumberFormat="1" applyFont="1" applyFill="1" applyBorder="1"/>
    <xf numFmtId="0" fontId="18" fillId="7" borderId="0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8" fontId="35" fillId="0" borderId="33" xfId="1" applyNumberFormat="1" applyFont="1" applyFill="1" applyBorder="1" applyAlignment="1" applyProtection="1">
      <alignment wrapText="1"/>
      <protection locked="0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3" fontId="52" fillId="18" borderId="34" xfId="0" applyNumberFormat="1" applyFont="1" applyFill="1" applyBorder="1" applyAlignment="1">
      <alignment horizontal="right" vertical="center" wrapText="1"/>
    </xf>
    <xf numFmtId="3" fontId="53" fillId="18" borderId="35" xfId="0" applyNumberFormat="1" applyFont="1" applyFill="1" applyBorder="1" applyAlignment="1">
      <alignment horizontal="right" vertical="center" wrapText="1"/>
    </xf>
    <xf numFmtId="168" fontId="32" fillId="6" borderId="36" xfId="1" applyNumberFormat="1" applyFont="1" applyFill="1" applyBorder="1" applyAlignment="1">
      <alignment horizontal="left" wrapText="1"/>
    </xf>
    <xf numFmtId="3" fontId="0" fillId="0" borderId="24" xfId="0" applyNumberFormat="1" applyBorder="1"/>
    <xf numFmtId="2" fontId="32" fillId="13" borderId="37" xfId="0" applyNumberFormat="1" applyFont="1" applyFill="1" applyBorder="1" applyAlignment="1">
      <alignment horizontal="right" wrapText="1"/>
    </xf>
    <xf numFmtId="1" fontId="32" fillId="13" borderId="37" xfId="0" applyNumberFormat="1" applyFont="1" applyFill="1" applyBorder="1" applyAlignment="1">
      <alignment horizontal="right" wrapText="1"/>
    </xf>
    <xf numFmtId="10" fontId="32" fillId="6" borderId="37" xfId="11" applyNumberFormat="1" applyFont="1" applyFill="1" applyBorder="1" applyAlignment="1">
      <alignment horizontal="right" wrapText="1"/>
    </xf>
    <xf numFmtId="168" fontId="32" fillId="6" borderId="1" xfId="1" applyNumberFormat="1" applyFont="1" applyFill="1" applyBorder="1" applyAlignment="1">
      <alignment horizontal="left" wrapText="1"/>
    </xf>
    <xf numFmtId="2" fontId="32" fillId="13" borderId="1" xfId="0" applyNumberFormat="1" applyFont="1" applyFill="1" applyBorder="1" applyAlignment="1">
      <alignment horizontal="right" wrapText="1"/>
    </xf>
    <xf numFmtId="1" fontId="32" fillId="13" borderId="1" xfId="0" applyNumberFormat="1" applyFont="1" applyFill="1" applyBorder="1" applyAlignment="1">
      <alignment horizontal="right" wrapText="1"/>
    </xf>
    <xf numFmtId="10" fontId="32" fillId="6" borderId="1" xfId="11" applyNumberFormat="1" applyFont="1" applyFill="1" applyBorder="1" applyAlignment="1">
      <alignment horizontal="right" wrapText="1"/>
    </xf>
    <xf numFmtId="168" fontId="37" fillId="6" borderId="10" xfId="1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0" fillId="7" borderId="0" xfId="7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5" fillId="0" borderId="0" xfId="7" applyFont="1" applyFill="1" applyBorder="1" applyAlignment="1"/>
    <xf numFmtId="0" fontId="18" fillId="0" borderId="0" xfId="0" applyFont="1" applyBorder="1"/>
    <xf numFmtId="0" fontId="5" fillId="0" borderId="0" xfId="7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7" borderId="0" xfId="0" applyFont="1" applyFill="1" applyBorder="1" applyAlignment="1">
      <alignment horizontal="center"/>
    </xf>
    <xf numFmtId="0" fontId="18" fillId="0" borderId="0" xfId="0" applyFont="1" applyBorder="1" applyAlignment="1"/>
    <xf numFmtId="0" fontId="25" fillId="0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left" wrapText="1"/>
    </xf>
    <xf numFmtId="0" fontId="18" fillId="0" borderId="0" xfId="0" applyNumberFormat="1" applyFont="1" applyBorder="1" applyAlignment="1">
      <alignment horizontal="center"/>
    </xf>
    <xf numFmtId="49" fontId="6" fillId="0" borderId="0" xfId="7" applyNumberFormat="1" applyFont="1" applyFill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/>
    </xf>
    <xf numFmtId="0" fontId="18" fillId="0" borderId="0" xfId="4" applyNumberFormat="1" applyFont="1" applyBorder="1" applyAlignment="1">
      <alignment horizontal="center"/>
    </xf>
    <xf numFmtId="0" fontId="39" fillId="0" borderId="0" xfId="0" applyFont="1" applyFill="1" applyBorder="1" applyAlignment="1" applyProtection="1">
      <alignment horizontal="center" wrapText="1"/>
      <protection locked="0"/>
    </xf>
    <xf numFmtId="0" fontId="18" fillId="0" borderId="0" xfId="0" applyFont="1" applyAlignment="1">
      <alignment horizontal="center"/>
    </xf>
    <xf numFmtId="1" fontId="18" fillId="0" borderId="0" xfId="0" applyNumberFormat="1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1" fontId="18" fillId="2" borderId="0" xfId="0" applyNumberFormat="1" applyFont="1" applyFill="1" applyAlignment="1">
      <alignment horizontal="center"/>
    </xf>
    <xf numFmtId="43" fontId="35" fillId="5" borderId="5" xfId="1" applyFont="1" applyFill="1" applyBorder="1" applyAlignment="1" applyProtection="1">
      <alignment horizontal="center" vertical="center" wrapText="1"/>
      <protection locked="0"/>
    </xf>
    <xf numFmtId="43" fontId="35" fillId="5" borderId="6" xfId="1" applyFont="1" applyFill="1" applyBorder="1" applyAlignment="1" applyProtection="1">
      <alignment horizontal="center" vertical="center" wrapText="1"/>
      <protection locked="0"/>
    </xf>
    <xf numFmtId="0" fontId="20" fillId="6" borderId="0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20" fillId="3" borderId="12" xfId="0" applyFont="1" applyFill="1" applyBorder="1" applyAlignment="1">
      <alignment horizontal="center"/>
    </xf>
    <xf numFmtId="49" fontId="6" fillId="3" borderId="0" xfId="7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0" fillId="3" borderId="0" xfId="0" applyFont="1" applyFill="1" applyBorder="1" applyAlignment="1">
      <alignment horizontal="center"/>
    </xf>
  </cellXfs>
  <cellStyles count="34">
    <cellStyle name="Comma" xfId="1" builtinId="3"/>
    <cellStyle name="Comma 2" xfId="2"/>
    <cellStyle name="Comma 2 2" xfId="14"/>
    <cellStyle name="Comma 2 3" xfId="15"/>
    <cellStyle name="Comma 2 4" xfId="13"/>
    <cellStyle name="Comma 3" xfId="3"/>
    <cellStyle name="Comma 3 2" xfId="17"/>
    <cellStyle name="Comma 3 3" xfId="18"/>
    <cellStyle name="Comma 3 4" xfId="16"/>
    <cellStyle name="Comma 4" xfId="19"/>
    <cellStyle name="Comma 4 2" xfId="20"/>
    <cellStyle name="Comma 4 2 2" xfId="28"/>
    <cellStyle name="Comma 4 2 2 2" xfId="30"/>
    <cellStyle name="Comma 4 2 3" xfId="31"/>
    <cellStyle name="Comma 4 3" xfId="29"/>
    <cellStyle name="Comma 4 3 2" xfId="32"/>
    <cellStyle name="Comma 4 4" xfId="33"/>
    <cellStyle name="Currency" xfId="4" builtinId="4"/>
    <cellStyle name="Neutral 2" xfId="21"/>
    <cellStyle name="Normal" xfId="0" builtinId="0"/>
    <cellStyle name="Normal 10" xfId="5"/>
    <cellStyle name="Normal 13" xfId="6"/>
    <cellStyle name="Normal 2" xfId="22"/>
    <cellStyle name="Normal 2 2" xfId="23"/>
    <cellStyle name="Normal 2 3" xfId="24"/>
    <cellStyle name="Normal 3 2" xfId="25"/>
    <cellStyle name="Normal 4" xfId="26"/>
    <cellStyle name="Normal 5" xfId="7"/>
    <cellStyle name="Normal 7" xfId="8"/>
    <cellStyle name="Normal 8" xfId="9"/>
    <cellStyle name="Normal 9" xfId="10"/>
    <cellStyle name="Percent" xfId="11" builtinId="5"/>
    <cellStyle name="Percent 2" xfId="27"/>
    <cellStyle name="Standard_Kap 5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64793867709012E-2"/>
          <c:y val="6.2500229589104728E-2"/>
          <c:w val="0.82780159858229463"/>
          <c:h val="0.68750252548015156"/>
        </c:manualLayout>
      </c:layout>
      <c:lineChart>
        <c:grouping val="standard"/>
        <c:varyColors val="0"/>
        <c:ser>
          <c:idx val="1"/>
          <c:order val="0"/>
          <c:tx>
            <c:strRef>
              <c:f>'Sheet1 (2)'!$A$3</c:f>
              <c:strCache>
                <c:ptCount val="1"/>
                <c:pt idx="0">
                  <c:v>Vala </c:v>
                </c:pt>
              </c:strCache>
            </c:strRef>
          </c:tx>
          <c:spPr>
            <a:ln w="15875"/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(2)'!$G$1:$U$2</c:f>
              <c:multiLvlStrCache>
                <c:ptCount val="15"/>
                <c:lvl>
                  <c:pt idx="0">
                    <c:v>TM1 </c:v>
                  </c:pt>
                  <c:pt idx="1">
                    <c:v>TM2 </c:v>
                  </c:pt>
                  <c:pt idx="2">
                    <c:v>TM3</c:v>
                  </c:pt>
                  <c:pt idx="3">
                    <c:v>TM4 </c:v>
                  </c:pt>
                  <c:pt idx="4">
                    <c:v>TM1 </c:v>
                  </c:pt>
                  <c:pt idx="5">
                    <c:v>TM2 </c:v>
                  </c:pt>
                  <c:pt idx="6">
                    <c:v>TM3</c:v>
                  </c:pt>
                  <c:pt idx="7">
                    <c:v>TM4 </c:v>
                  </c:pt>
                  <c:pt idx="8">
                    <c:v>TM1</c:v>
                  </c:pt>
                  <c:pt idx="9">
                    <c:v>TM2</c:v>
                  </c:pt>
                  <c:pt idx="10">
                    <c:v>TM3</c:v>
                  </c:pt>
                  <c:pt idx="11">
                    <c:v>TM4</c:v>
                  </c:pt>
                  <c:pt idx="12">
                    <c:v>TM1</c:v>
                  </c:pt>
                  <c:pt idx="13">
                    <c:v>TM2</c:v>
                  </c:pt>
                  <c:pt idx="14">
                    <c:v>TM3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'Sheet1 (2)'!$G$3:$U$3</c:f>
              <c:numCache>
                <c:formatCode>0.00%</c:formatCode>
                <c:ptCount val="15"/>
                <c:pt idx="0">
                  <c:v>0.72961960264824588</c:v>
                </c:pt>
                <c:pt idx="1">
                  <c:v>0.73696266154694412</c:v>
                </c:pt>
                <c:pt idx="2">
                  <c:v>0.71321743941315108</c:v>
                </c:pt>
                <c:pt idx="3">
                  <c:v>0.65112484881685351</c:v>
                </c:pt>
                <c:pt idx="4">
                  <c:v>0.67956465480293626</c:v>
                </c:pt>
                <c:pt idx="5">
                  <c:v>0.72607798783513666</c:v>
                </c:pt>
                <c:pt idx="6">
                  <c:v>0.69496842012694804</c:v>
                </c:pt>
                <c:pt idx="7">
                  <c:v>0.69244728773858166</c:v>
                </c:pt>
                <c:pt idx="8">
                  <c:v>0.69874809672812277</c:v>
                </c:pt>
                <c:pt idx="9">
                  <c:v>0.70279841001885701</c:v>
                </c:pt>
                <c:pt idx="10">
                  <c:v>0.6902828737485065</c:v>
                </c:pt>
                <c:pt idx="11">
                  <c:v>0.70415535748464153</c:v>
                </c:pt>
                <c:pt idx="12">
                  <c:v>0.67782690876603402</c:v>
                </c:pt>
                <c:pt idx="13">
                  <c:v>0.67242506831731297</c:v>
                </c:pt>
                <c:pt idx="14">
                  <c:v>0.66950505696408802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1-42E0-B7E9-E4BB0A6AC2A6}"/>
            </c:ext>
          </c:extLst>
        </c:ser>
        <c:ser>
          <c:idx val="2"/>
          <c:order val="1"/>
          <c:tx>
            <c:strRef>
              <c:f>'Sheet1 (2)'!$A$4</c:f>
              <c:strCache>
                <c:ptCount val="1"/>
                <c:pt idx="0">
                  <c:v>Ipko </c:v>
                </c:pt>
              </c:strCache>
            </c:strRef>
          </c:tx>
          <c:spPr>
            <a:ln w="15875"/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(2)'!$G$1:$U$2</c:f>
              <c:multiLvlStrCache>
                <c:ptCount val="15"/>
                <c:lvl>
                  <c:pt idx="0">
                    <c:v>TM1 </c:v>
                  </c:pt>
                  <c:pt idx="1">
                    <c:v>TM2 </c:v>
                  </c:pt>
                  <c:pt idx="2">
                    <c:v>TM3</c:v>
                  </c:pt>
                  <c:pt idx="3">
                    <c:v>TM4 </c:v>
                  </c:pt>
                  <c:pt idx="4">
                    <c:v>TM1 </c:v>
                  </c:pt>
                  <c:pt idx="5">
                    <c:v>TM2 </c:v>
                  </c:pt>
                  <c:pt idx="6">
                    <c:v>TM3</c:v>
                  </c:pt>
                  <c:pt idx="7">
                    <c:v>TM4 </c:v>
                  </c:pt>
                  <c:pt idx="8">
                    <c:v>TM1</c:v>
                  </c:pt>
                  <c:pt idx="9">
                    <c:v>TM2</c:v>
                  </c:pt>
                  <c:pt idx="10">
                    <c:v>TM3</c:v>
                  </c:pt>
                  <c:pt idx="11">
                    <c:v>TM4</c:v>
                  </c:pt>
                  <c:pt idx="12">
                    <c:v>TM1</c:v>
                  </c:pt>
                  <c:pt idx="13">
                    <c:v>TM2</c:v>
                  </c:pt>
                  <c:pt idx="14">
                    <c:v>TM3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'Sheet1 (2)'!$G$4:$U$4</c:f>
              <c:numCache>
                <c:formatCode>0.00%</c:formatCode>
                <c:ptCount val="15"/>
                <c:pt idx="0">
                  <c:v>0.26833306324172201</c:v>
                </c:pt>
                <c:pt idx="1">
                  <c:v>0.25937430353855917</c:v>
                </c:pt>
                <c:pt idx="2">
                  <c:v>0.28560337746777764</c:v>
                </c:pt>
                <c:pt idx="3">
                  <c:v>0.34746660870269308</c:v>
                </c:pt>
                <c:pt idx="4">
                  <c:v>0.31462716185587802</c:v>
                </c:pt>
                <c:pt idx="5">
                  <c:v>0.26128212835279546</c:v>
                </c:pt>
                <c:pt idx="6">
                  <c:v>0.29052558688582114</c:v>
                </c:pt>
                <c:pt idx="7">
                  <c:v>0.28459905591260998</c:v>
                </c:pt>
                <c:pt idx="8">
                  <c:v>0.28367478362567011</c:v>
                </c:pt>
                <c:pt idx="9">
                  <c:v>0.27729805880239811</c:v>
                </c:pt>
                <c:pt idx="10">
                  <c:v>0.27253144838372745</c:v>
                </c:pt>
                <c:pt idx="11">
                  <c:v>0.26737949475751954</c:v>
                </c:pt>
                <c:pt idx="12">
                  <c:v>0.27266637546447936</c:v>
                </c:pt>
                <c:pt idx="13">
                  <c:v>0.27508496644618113</c:v>
                </c:pt>
                <c:pt idx="14">
                  <c:v>0.28199252032832389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1-42E0-B7E9-E4BB0A6AC2A6}"/>
            </c:ext>
          </c:extLst>
        </c:ser>
        <c:ser>
          <c:idx val="3"/>
          <c:order val="2"/>
          <c:tx>
            <c:strRef>
              <c:f>'Sheet1 (2)'!$A$5</c:f>
              <c:strCache>
                <c:ptCount val="1"/>
                <c:pt idx="0">
                  <c:v>D3 Mobile </c:v>
                </c:pt>
              </c:strCache>
            </c:strRef>
          </c:tx>
          <c:spPr>
            <a:ln w="15875"/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(2)'!$G$1:$U$2</c:f>
              <c:multiLvlStrCache>
                <c:ptCount val="15"/>
                <c:lvl>
                  <c:pt idx="0">
                    <c:v>TM1 </c:v>
                  </c:pt>
                  <c:pt idx="1">
                    <c:v>TM2 </c:v>
                  </c:pt>
                  <c:pt idx="2">
                    <c:v>TM3</c:v>
                  </c:pt>
                  <c:pt idx="3">
                    <c:v>TM4 </c:v>
                  </c:pt>
                  <c:pt idx="4">
                    <c:v>TM1 </c:v>
                  </c:pt>
                  <c:pt idx="5">
                    <c:v>TM2 </c:v>
                  </c:pt>
                  <c:pt idx="6">
                    <c:v>TM3</c:v>
                  </c:pt>
                  <c:pt idx="7">
                    <c:v>TM4 </c:v>
                  </c:pt>
                  <c:pt idx="8">
                    <c:v>TM1</c:v>
                  </c:pt>
                  <c:pt idx="9">
                    <c:v>TM2</c:v>
                  </c:pt>
                  <c:pt idx="10">
                    <c:v>TM3</c:v>
                  </c:pt>
                  <c:pt idx="11">
                    <c:v>TM4</c:v>
                  </c:pt>
                  <c:pt idx="12">
                    <c:v>TM1</c:v>
                  </c:pt>
                  <c:pt idx="13">
                    <c:v>TM2</c:v>
                  </c:pt>
                  <c:pt idx="14">
                    <c:v>TM3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'Sheet1 (2)'!$G$5:$U$5</c:f>
              <c:numCache>
                <c:formatCode>0.00%</c:formatCode>
                <c:ptCount val="15"/>
                <c:pt idx="2">
                  <c:v>1.1791831190712491E-3</c:v>
                </c:pt>
                <c:pt idx="3">
                  <c:v>1.4085424804533907E-3</c:v>
                </c:pt>
                <c:pt idx="4">
                  <c:v>8.0123568697381244E-4</c:v>
                </c:pt>
                <c:pt idx="5">
                  <c:v>1.1183586369592751E-3</c:v>
                </c:pt>
                <c:pt idx="6">
                  <c:v>1.5138183723780788E-3</c:v>
                </c:pt>
                <c:pt idx="7">
                  <c:v>1.8397968829197506E-3</c:v>
                </c:pt>
                <c:pt idx="8">
                  <c:v>1.0132778407839428E-3</c:v>
                </c:pt>
                <c:pt idx="9">
                  <c:v>8.7709312090403268E-4</c:v>
                </c:pt>
                <c:pt idx="10">
                  <c:v>7.0307466344734647E-4</c:v>
                </c:pt>
                <c:pt idx="11">
                  <c:v>4.2421945622139745E-4</c:v>
                </c:pt>
                <c:pt idx="12">
                  <c:v>6.8881407030247494E-4</c:v>
                </c:pt>
                <c:pt idx="13">
                  <c:v>4.0831731235287978E-4</c:v>
                </c:pt>
                <c:pt idx="14">
                  <c:v>2.8806273828331616E-4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1-42E0-B7E9-E4BB0A6AC2A6}"/>
            </c:ext>
          </c:extLst>
        </c:ser>
        <c:ser>
          <c:idx val="4"/>
          <c:order val="3"/>
          <c:tx>
            <c:strRef>
              <c:f>'Sheet1 (2)'!$A$6</c:f>
              <c:strCache>
                <c:ptCount val="1"/>
                <c:pt idx="0">
                  <c:v>Z Mobile</c:v>
                </c:pt>
              </c:strCache>
            </c:strRef>
          </c:tx>
          <c:spPr>
            <a:ln w="15875"/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(2)'!$G$1:$U$2</c:f>
              <c:multiLvlStrCache>
                <c:ptCount val="15"/>
                <c:lvl>
                  <c:pt idx="0">
                    <c:v>TM1 </c:v>
                  </c:pt>
                  <c:pt idx="1">
                    <c:v>TM2 </c:v>
                  </c:pt>
                  <c:pt idx="2">
                    <c:v>TM3</c:v>
                  </c:pt>
                  <c:pt idx="3">
                    <c:v>TM4 </c:v>
                  </c:pt>
                  <c:pt idx="4">
                    <c:v>TM1 </c:v>
                  </c:pt>
                  <c:pt idx="5">
                    <c:v>TM2 </c:v>
                  </c:pt>
                  <c:pt idx="6">
                    <c:v>TM3</c:v>
                  </c:pt>
                  <c:pt idx="7">
                    <c:v>TM4 </c:v>
                  </c:pt>
                  <c:pt idx="8">
                    <c:v>TM1</c:v>
                  </c:pt>
                  <c:pt idx="9">
                    <c:v>TM2</c:v>
                  </c:pt>
                  <c:pt idx="10">
                    <c:v>TM3</c:v>
                  </c:pt>
                  <c:pt idx="11">
                    <c:v>TM4</c:v>
                  </c:pt>
                  <c:pt idx="12">
                    <c:v>TM1</c:v>
                  </c:pt>
                  <c:pt idx="13">
                    <c:v>TM2</c:v>
                  </c:pt>
                  <c:pt idx="14">
                    <c:v>TM3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'Sheet1 (2)'!$G$6:$U$6</c:f>
              <c:numCache>
                <c:formatCode>0.00%</c:formatCode>
                <c:ptCount val="15"/>
                <c:pt idx="4">
                  <c:v>5.0069476542118369E-3</c:v>
                </c:pt>
                <c:pt idx="5">
                  <c:v>1.1521525175108707E-2</c:v>
                </c:pt>
                <c:pt idx="6">
                  <c:v>1.2992174614852661E-2</c:v>
                </c:pt>
                <c:pt idx="7">
                  <c:v>2.1113859465888566E-2</c:v>
                </c:pt>
                <c:pt idx="8">
                  <c:v>1.6563841805423044E-2</c:v>
                </c:pt>
                <c:pt idx="9">
                  <c:v>1.9026438057840857E-2</c:v>
                </c:pt>
                <c:pt idx="10">
                  <c:v>3.6482603204318613E-2</c:v>
                </c:pt>
                <c:pt idx="11">
                  <c:v>2.8040928301617498E-2</c:v>
                </c:pt>
                <c:pt idx="12">
                  <c:v>4.8817901699184194E-2</c:v>
                </c:pt>
                <c:pt idx="13">
                  <c:v>5.2081647924152749E-2</c:v>
                </c:pt>
                <c:pt idx="14">
                  <c:v>4.8214359969304323E-2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1-42E0-B7E9-E4BB0A6A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9856"/>
        <c:axId val="55531392"/>
      </c:lineChart>
      <c:catAx>
        <c:axId val="555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31392"/>
        <c:crosses val="autoZero"/>
        <c:auto val="1"/>
        <c:lblAlgn val="ctr"/>
        <c:lblOffset val="100"/>
        <c:noMultiLvlLbl val="0"/>
      </c:catAx>
      <c:valAx>
        <c:axId val="55531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2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33888761830083"/>
          <c:y val="0.33720071449402772"/>
          <c:w val="9.6493068034545493E-2"/>
          <c:h val="0.31907188684748944"/>
        </c:manualLayout>
      </c:layout>
      <c:overlay val="0"/>
      <c:txPr>
        <a:bodyPr/>
        <a:lstStyle/>
        <a:p>
          <a:pPr>
            <a:defRPr lang="sq-AL"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MVNO- MNO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22658553222966E-2"/>
          <c:y val="0.19354838709677927"/>
          <c:w val="0.82723158343440684"/>
          <c:h val="0.60080645161290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'!$B$116</c:f>
              <c:strCache>
                <c:ptCount val="1"/>
                <c:pt idx="0">
                  <c:v>D3 Mobile </c:v>
                </c:pt>
              </c:strCache>
            </c:strRef>
          </c:tx>
          <c:invertIfNegative val="0"/>
          <c:cat>
            <c:multiLvlStrRef>
              <c:f>'Trafiku Min&amp;Grafet '!$L$1:$Y$2</c:f>
              <c:multiLvlStrCache>
                <c:ptCount val="6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'!$L$118:$Y$118</c:f>
              <c:numCache>
                <c:formatCode>0.00%</c:formatCode>
                <c:ptCount val="6"/>
                <c:pt idx="0">
                  <c:v>4.9231989580675707E-3</c:v>
                </c:pt>
                <c:pt idx="1">
                  <c:v>2.7237951212169677E-3</c:v>
                </c:pt>
                <c:pt idx="2">
                  <c:v>1.8820641551951169E-3</c:v>
                </c:pt>
                <c:pt idx="3">
                  <c:v>2.0897499970943412E-3</c:v>
                </c:pt>
                <c:pt idx="4">
                  <c:v>2.2901070657448189E-3</c:v>
                </c:pt>
                <c:pt idx="5">
                  <c:v>2.1301049739532903E-3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F-4D66-A527-1F66C461D39D}"/>
            </c:ext>
          </c:extLst>
        </c:ser>
        <c:ser>
          <c:idx val="1"/>
          <c:order val="1"/>
          <c:tx>
            <c:strRef>
              <c:f>'Trafiku Min&amp;Grafet '!$B$125</c:f>
              <c:strCache>
                <c:ptCount val="1"/>
                <c:pt idx="0">
                  <c:v> Z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'!$L$1:$Y$2</c:f>
              <c:multiLvlStrCache>
                <c:ptCount val="6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'!$L$128:$Y$128</c:f>
              <c:numCache>
                <c:formatCode>0.00%</c:formatCode>
                <c:ptCount val="6"/>
                <c:pt idx="0">
                  <c:v>0.99507680104193241</c:v>
                </c:pt>
                <c:pt idx="1">
                  <c:v>0.9972762048787831</c:v>
                </c:pt>
                <c:pt idx="2">
                  <c:v>0.9981179358448049</c:v>
                </c:pt>
                <c:pt idx="3">
                  <c:v>0.99791025000290567</c:v>
                </c:pt>
                <c:pt idx="4">
                  <c:v>0.99770989293425516</c:v>
                </c:pt>
                <c:pt idx="5">
                  <c:v>0.99786989502604662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F-4D66-A527-1F66C461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562304"/>
        <c:axId val="68580480"/>
      </c:barChart>
      <c:catAx>
        <c:axId val="685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80480"/>
        <c:crosses val="autoZero"/>
        <c:auto val="1"/>
        <c:lblAlgn val="ctr"/>
        <c:lblOffset val="100"/>
        <c:noMultiLvlLbl val="0"/>
      </c:catAx>
      <c:valAx>
        <c:axId val="6858048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6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87647825486347"/>
          <c:y val="0.5"/>
          <c:w val="7.4370709382151082E-2"/>
          <c:h val="0.16532258064516125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MVNO- off net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22658553222966E-2"/>
          <c:y val="0.19354838709677927"/>
          <c:w val="0.82723158343440684"/>
          <c:h val="0.60080645161290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'!$B$116</c:f>
              <c:strCache>
                <c:ptCount val="1"/>
                <c:pt idx="0">
                  <c:v>D3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'!$L$1:$Y$2</c:f>
              <c:multiLvlStrCache>
                <c:ptCount val="6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'!$L$119:$Y$119</c:f>
              <c:numCache>
                <c:formatCode>0.00%</c:formatCode>
                <c:ptCount val="6"/>
                <c:pt idx="0">
                  <c:v>6.9642872746655482E-2</c:v>
                </c:pt>
                <c:pt idx="1">
                  <c:v>5.8788441675940974E-2</c:v>
                </c:pt>
                <c:pt idx="2">
                  <c:v>4.1412011500405736E-2</c:v>
                </c:pt>
                <c:pt idx="3">
                  <c:v>4.8702068240604295E-2</c:v>
                </c:pt>
                <c:pt idx="4">
                  <c:v>5.0021271048045116E-2</c:v>
                </c:pt>
                <c:pt idx="5">
                  <c:v>3.9954006645096712E-2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8-41AD-BAFC-F270EF9F264B}"/>
            </c:ext>
          </c:extLst>
        </c:ser>
        <c:ser>
          <c:idx val="1"/>
          <c:order val="1"/>
          <c:tx>
            <c:strRef>
              <c:f>'Trafiku Min&amp;Grafet '!$B$125</c:f>
              <c:strCache>
                <c:ptCount val="1"/>
                <c:pt idx="0">
                  <c:v> Z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'!$L$1:$Y$2</c:f>
              <c:multiLvlStrCache>
                <c:ptCount val="6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'!$L$129:$Y$129</c:f>
              <c:numCache>
                <c:formatCode>0.00%</c:formatCode>
                <c:ptCount val="6"/>
                <c:pt idx="0">
                  <c:v>0.93035712725334452</c:v>
                </c:pt>
                <c:pt idx="1">
                  <c:v>0.94121155832405901</c:v>
                </c:pt>
                <c:pt idx="2">
                  <c:v>0.95858798849959415</c:v>
                </c:pt>
                <c:pt idx="3">
                  <c:v>0.9512979317593957</c:v>
                </c:pt>
                <c:pt idx="4">
                  <c:v>0.9499787289519549</c:v>
                </c:pt>
                <c:pt idx="5">
                  <c:v>0.96004599335490337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8-41AD-BAFC-F270EF9F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623360"/>
        <c:axId val="68629248"/>
      </c:barChart>
      <c:catAx>
        <c:axId val="686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29248"/>
        <c:crosses val="autoZero"/>
        <c:auto val="1"/>
        <c:lblAlgn val="ctr"/>
        <c:lblOffset val="100"/>
        <c:noMultiLvlLbl val="0"/>
      </c:catAx>
      <c:valAx>
        <c:axId val="6862924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2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87647825486347"/>
          <c:y val="0.5"/>
          <c:w val="7.4370709382151082E-2"/>
          <c:h val="0.16532258064516125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MVNO- to Fix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22658553222966E-2"/>
          <c:y val="0.19354838709677927"/>
          <c:w val="0.82723158343440684"/>
          <c:h val="0.60080645161290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'!$B$116</c:f>
              <c:strCache>
                <c:ptCount val="1"/>
                <c:pt idx="0">
                  <c:v>D3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'!$L$1:$X$2</c:f>
              <c:multiLvlStrCache>
                <c:ptCount val="5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'!$L$120:$X$120</c:f>
              <c:numCache>
                <c:formatCode>0.00%</c:formatCode>
                <c:ptCount val="5"/>
                <c:pt idx="0">
                  <c:v>5.7983247841049287E-2</c:v>
                </c:pt>
                <c:pt idx="1">
                  <c:v>4.9610974055900467E-2</c:v>
                </c:pt>
                <c:pt idx="2">
                  <c:v>1.8868782395198694E-2</c:v>
                </c:pt>
                <c:pt idx="3">
                  <c:v>2.1554353572735774E-2</c:v>
                </c:pt>
                <c:pt idx="4">
                  <c:v>2.0803695715356493E-2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0-4814-A7D1-139A6F3CC1E0}"/>
            </c:ext>
          </c:extLst>
        </c:ser>
        <c:ser>
          <c:idx val="1"/>
          <c:order val="1"/>
          <c:tx>
            <c:strRef>
              <c:f>'Trafiku Min&amp;Grafet '!$B$125</c:f>
              <c:strCache>
                <c:ptCount val="1"/>
                <c:pt idx="0">
                  <c:v> Z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'!$L$1:$X$2</c:f>
              <c:multiLvlStrCache>
                <c:ptCount val="5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'!$L$130:$X$130</c:f>
              <c:numCache>
                <c:formatCode>0.00%</c:formatCode>
                <c:ptCount val="5"/>
                <c:pt idx="0">
                  <c:v>0.94201675215895064</c:v>
                </c:pt>
                <c:pt idx="1">
                  <c:v>0.95038902594409957</c:v>
                </c:pt>
                <c:pt idx="2">
                  <c:v>0.98113121760480138</c:v>
                </c:pt>
                <c:pt idx="3">
                  <c:v>0.97844564642726417</c:v>
                </c:pt>
                <c:pt idx="4">
                  <c:v>0.97919630428464355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0-4814-A7D1-139A6F3C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663936"/>
        <c:axId val="68678016"/>
      </c:barChart>
      <c:catAx>
        <c:axId val="686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78016"/>
        <c:crosses val="autoZero"/>
        <c:auto val="1"/>
        <c:lblAlgn val="ctr"/>
        <c:lblOffset val="100"/>
        <c:noMultiLvlLbl val="0"/>
      </c:catAx>
      <c:valAx>
        <c:axId val="6867801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6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87647825486347"/>
          <c:y val="0.5"/>
          <c:w val="7.4370709382151082E-2"/>
          <c:h val="0.16532258064516125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MVNO- to International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22658553222966E-2"/>
          <c:y val="0.19354838709677927"/>
          <c:w val="0.82723158343440684"/>
          <c:h val="0.60080645161290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'!$B$116</c:f>
              <c:strCache>
                <c:ptCount val="1"/>
                <c:pt idx="0">
                  <c:v>D3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'!$L$1:$W$2</c:f>
              <c:multiLvlStrCache>
                <c:ptCount val="4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'Trafiku Min&amp;Grafet '!$L$121:$W$121</c:f>
              <c:numCache>
                <c:formatCode>0.00%</c:formatCode>
                <c:ptCount val="4"/>
                <c:pt idx="0">
                  <c:v>2.234214517286159E-2</c:v>
                </c:pt>
                <c:pt idx="1">
                  <c:v>2.1031818203015338E-2</c:v>
                </c:pt>
                <c:pt idx="2">
                  <c:v>2.8828888193334762E-2</c:v>
                </c:pt>
                <c:pt idx="3">
                  <c:v>4.3089367311513201E-2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D-4FFD-8DE9-BACB1ADFC108}"/>
            </c:ext>
          </c:extLst>
        </c:ser>
        <c:ser>
          <c:idx val="1"/>
          <c:order val="1"/>
          <c:tx>
            <c:strRef>
              <c:f>'Trafiku Min&amp;Grafet '!$B$125</c:f>
              <c:strCache>
                <c:ptCount val="1"/>
                <c:pt idx="0">
                  <c:v> Z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'!$L$1:$W$2</c:f>
              <c:multiLvlStrCache>
                <c:ptCount val="4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'Trafiku Min&amp;Grafet '!$L$131:$W$131</c:f>
              <c:numCache>
                <c:formatCode>0.00%</c:formatCode>
                <c:ptCount val="4"/>
                <c:pt idx="0">
                  <c:v>0.97765785482713841</c:v>
                </c:pt>
                <c:pt idx="1">
                  <c:v>0.97896818179698475</c:v>
                </c:pt>
                <c:pt idx="2">
                  <c:v>0.97117111180666527</c:v>
                </c:pt>
                <c:pt idx="3">
                  <c:v>0.95691063268848675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D-4FFD-8DE9-BACB1ADF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962560"/>
        <c:axId val="68976640"/>
      </c:barChart>
      <c:catAx>
        <c:axId val="689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976640"/>
        <c:crosses val="autoZero"/>
        <c:auto val="1"/>
        <c:lblAlgn val="ctr"/>
        <c:lblOffset val="100"/>
        <c:noMultiLvlLbl val="0"/>
      </c:catAx>
      <c:valAx>
        <c:axId val="6897664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96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87647825486347"/>
          <c:y val="0.5"/>
          <c:w val="7.4370709382151082E-2"/>
          <c:h val="0.16532258064516125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sq-AL"/>
              <a:t>On net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868539914037948E-2"/>
          <c:y val="0.16842162973420277"/>
          <c:w val="0.8695656676486031"/>
          <c:h val="0.652633815220051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'Trafiku Min&amp;Grafet '!$B$74</c:f>
              <c:strCache>
                <c:ptCount val="1"/>
                <c:pt idx="0">
                  <c:v>Ipko</c:v>
                </c:pt>
              </c:strCache>
            </c:strRef>
          </c:tx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'!$C$1:$AA$2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'!$C$74:$AA$74</c:f>
              <c:numCache>
                <c:formatCode>0.0%</c:formatCode>
                <c:ptCount val="8"/>
                <c:pt idx="0">
                  <c:v>0.37522670770461947</c:v>
                </c:pt>
                <c:pt idx="1">
                  <c:v>0.35067558727869613</c:v>
                </c:pt>
                <c:pt idx="2" formatCode="0.00%">
                  <c:v>0.34482260525631564</c:v>
                </c:pt>
                <c:pt idx="3" formatCode="0.00%">
                  <c:v>0.40705440855788533</c:v>
                </c:pt>
                <c:pt idx="4" formatCode="0.00%">
                  <c:v>0.44552131494270664</c:v>
                </c:pt>
                <c:pt idx="5" formatCode="0.00%">
                  <c:v>0.45575052032398006</c:v>
                </c:pt>
                <c:pt idx="6" formatCode="0.00%">
                  <c:v>0.43800537818596508</c:v>
                </c:pt>
                <c:pt idx="7" formatCode="0.00%">
                  <c:v>0.38168896989463924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F-4AD5-B785-D00ACE0906DB}"/>
            </c:ext>
          </c:extLst>
        </c:ser>
        <c:ser>
          <c:idx val="0"/>
          <c:order val="1"/>
          <c:tx>
            <c:strRef>
              <c:f>'Trafiku Min&amp;Grafet '!$B$62</c:f>
              <c:strCache>
                <c:ptCount val="1"/>
                <c:pt idx="0">
                  <c:v>Vala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'!$C$1:$AA$2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'!$C$62:$AA$62</c:f>
              <c:numCache>
                <c:formatCode>0.00%</c:formatCode>
                <c:ptCount val="8"/>
                <c:pt idx="0">
                  <c:v>0.62477329229538048</c:v>
                </c:pt>
                <c:pt idx="1">
                  <c:v>0.64932441272130392</c:v>
                </c:pt>
                <c:pt idx="2">
                  <c:v>0.6551773947436843</c:v>
                </c:pt>
                <c:pt idx="3">
                  <c:v>0.59294559144211467</c:v>
                </c:pt>
                <c:pt idx="4">
                  <c:v>0.55447868505729336</c:v>
                </c:pt>
                <c:pt idx="5">
                  <c:v>0.54424947967602</c:v>
                </c:pt>
                <c:pt idx="6">
                  <c:v>0.56199462181403492</c:v>
                </c:pt>
                <c:pt idx="7">
                  <c:v>0.61831103010536081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F-4AD5-B785-D00ACE09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500864"/>
        <c:axId val="66506752"/>
      </c:barChart>
      <c:catAx>
        <c:axId val="665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506752"/>
        <c:crosses val="autoZero"/>
        <c:auto val="1"/>
        <c:lblAlgn val="ctr"/>
        <c:lblOffset val="100"/>
        <c:noMultiLvlLbl val="0"/>
      </c:catAx>
      <c:valAx>
        <c:axId val="6650675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50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97820719103165"/>
          <c:y val="0.49473868398030008"/>
          <c:w val="4.2417807349599032E-2"/>
          <c:h val="0.15438633328729601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sq-AL"/>
              <a:t>Mobile to Fix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595998915627523E-2"/>
          <c:y val="0.19200037500073242"/>
          <c:w val="0.86816811127590698"/>
          <c:h val="0.60400117968981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'!$B$65</c:f>
              <c:strCache>
                <c:ptCount val="1"/>
                <c:pt idx="0">
                  <c:v>Vala</c:v>
                </c:pt>
              </c:strCache>
            </c:strRef>
          </c:tx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'!$C$1:$AA$2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'!$C$65:$AA$65</c:f>
              <c:numCache>
                <c:formatCode>0.0%</c:formatCode>
                <c:ptCount val="8"/>
                <c:pt idx="0">
                  <c:v>0.7350227580268176</c:v>
                </c:pt>
                <c:pt idx="1">
                  <c:v>0.78010471204188481</c:v>
                </c:pt>
                <c:pt idx="2" formatCode="0.00%">
                  <c:v>0.71727019498607247</c:v>
                </c:pt>
                <c:pt idx="3" formatCode="0.00%">
                  <c:v>0.7321981424148607</c:v>
                </c:pt>
                <c:pt idx="4" formatCode="0.00%">
                  <c:v>0.70084745762711864</c:v>
                </c:pt>
                <c:pt idx="5" formatCode="0.00%">
                  <c:v>0.72362685265911075</c:v>
                </c:pt>
                <c:pt idx="6" formatCode="0.00%">
                  <c:v>0.69395562356541696</c:v>
                </c:pt>
                <c:pt idx="7" formatCode="0.00%">
                  <c:v>0.70418848167539272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E-4665-BCF0-3EB42E5E5B21}"/>
            </c:ext>
          </c:extLst>
        </c:ser>
        <c:ser>
          <c:idx val="1"/>
          <c:order val="1"/>
          <c:tx>
            <c:strRef>
              <c:f>'Trafiku Min&amp;Grafet '!$B$77</c:f>
              <c:strCache>
                <c:ptCount val="1"/>
                <c:pt idx="0">
                  <c:v>Ipko</c:v>
                </c:pt>
              </c:strCache>
            </c:strRef>
          </c:tx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'!$C$1:$AA$2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'!$C$77:$AA$77</c:f>
              <c:numCache>
                <c:formatCode>0.0%</c:formatCode>
                <c:ptCount val="8"/>
                <c:pt idx="0">
                  <c:v>0.26497724197318245</c:v>
                </c:pt>
                <c:pt idx="1">
                  <c:v>0.21989528795811519</c:v>
                </c:pt>
                <c:pt idx="2" formatCode="0.00%">
                  <c:v>0.28272980501392758</c:v>
                </c:pt>
                <c:pt idx="3" formatCode="0.00%">
                  <c:v>0.2678018575851393</c:v>
                </c:pt>
                <c:pt idx="4" formatCode="0.00%">
                  <c:v>0.29915254237288136</c:v>
                </c:pt>
                <c:pt idx="5" formatCode="0.00%">
                  <c:v>0.2763731473408893</c:v>
                </c:pt>
                <c:pt idx="6" formatCode="0.00%">
                  <c:v>0.30604437643458299</c:v>
                </c:pt>
                <c:pt idx="7" formatCode="0.00%">
                  <c:v>0.29581151832460734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E-4665-BCF0-3EB42E5E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565440"/>
        <c:axId val="67566976"/>
      </c:barChart>
      <c:catAx>
        <c:axId val="675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66976"/>
        <c:crosses val="autoZero"/>
        <c:auto val="1"/>
        <c:lblAlgn val="ctr"/>
        <c:lblOffset val="100"/>
        <c:noMultiLvlLbl val="0"/>
      </c:catAx>
      <c:valAx>
        <c:axId val="675669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6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55406151154187"/>
          <c:y val="0.50800089260099035"/>
          <c:w val="4.2872440944882524E-2"/>
          <c:h val="0.17600051005770134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sq-AL"/>
              <a:t>International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595998915627523E-2"/>
          <c:y val="0.19200037500073242"/>
          <c:w val="0.86816811127590698"/>
          <c:h val="0.60400117968981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'!$B$66</c:f>
              <c:strCache>
                <c:ptCount val="1"/>
                <c:pt idx="0">
                  <c:v>Vala</c:v>
                </c:pt>
              </c:strCache>
            </c:strRef>
          </c:tx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'!$C$1:$AA$2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'!$C$66:$AA$66</c:f>
              <c:numCache>
                <c:formatCode>0.0%</c:formatCode>
                <c:ptCount val="8"/>
                <c:pt idx="0">
                  <c:v>0.66278563813223956</c:v>
                </c:pt>
                <c:pt idx="1">
                  <c:v>0.67872159049862013</c:v>
                </c:pt>
                <c:pt idx="2" formatCode="0.00%">
                  <c:v>0.68715995647442873</c:v>
                </c:pt>
                <c:pt idx="3" formatCode="0.00%">
                  <c:v>0.69068602039053051</c:v>
                </c:pt>
                <c:pt idx="4" formatCode="0.00%">
                  <c:v>0.59565831274267556</c:v>
                </c:pt>
                <c:pt idx="5" formatCode="0.00%">
                  <c:v>0.66646390916463905</c:v>
                </c:pt>
                <c:pt idx="6" formatCode="0.00%">
                  <c:v>0.64894991922455569</c:v>
                </c:pt>
                <c:pt idx="7" formatCode="0.00%">
                  <c:v>0.64961694456962593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9-47CB-BB6A-B2D24C3F72FE}"/>
            </c:ext>
          </c:extLst>
        </c:ser>
        <c:ser>
          <c:idx val="1"/>
          <c:order val="1"/>
          <c:tx>
            <c:strRef>
              <c:f>'Trafiku Min&amp;Grafet '!$B$78</c:f>
              <c:strCache>
                <c:ptCount val="1"/>
                <c:pt idx="0">
                  <c:v>Ipko</c:v>
                </c:pt>
              </c:strCache>
            </c:strRef>
          </c:tx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'!$C$1:$AA$2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'!$C$78:$AA$78</c:f>
              <c:numCache>
                <c:formatCode>0.0%</c:formatCode>
                <c:ptCount val="8"/>
                <c:pt idx="0">
                  <c:v>0.33721436186776049</c:v>
                </c:pt>
                <c:pt idx="1">
                  <c:v>0.32127840950137987</c:v>
                </c:pt>
                <c:pt idx="2" formatCode="0.00%">
                  <c:v>0.31284004352557127</c:v>
                </c:pt>
                <c:pt idx="3" formatCode="0.00%">
                  <c:v>0.30931397960946949</c:v>
                </c:pt>
                <c:pt idx="4" formatCode="0.00%">
                  <c:v>0.40434168725732439</c:v>
                </c:pt>
                <c:pt idx="5" formatCode="0.00%">
                  <c:v>0.3335360908353609</c:v>
                </c:pt>
                <c:pt idx="6" formatCode="0.00%">
                  <c:v>0.35105008077544425</c:v>
                </c:pt>
                <c:pt idx="7" formatCode="0.00%">
                  <c:v>0.35038305543037407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9-47CB-BB6A-B2D24C3F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597824"/>
        <c:axId val="67599360"/>
      </c:barChart>
      <c:catAx>
        <c:axId val="675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99360"/>
        <c:crosses val="autoZero"/>
        <c:auto val="1"/>
        <c:lblAlgn val="ctr"/>
        <c:lblOffset val="100"/>
        <c:noMultiLvlLbl val="0"/>
      </c:catAx>
      <c:valAx>
        <c:axId val="6759936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9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55406151154187"/>
          <c:y val="0.50800102928310464"/>
          <c:w val="4.2872440944882524E-2"/>
          <c:h val="0.17600041171324143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sq-AL"/>
              <a:t>Off net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175513739885009E-2"/>
          <c:y val="0.19047692862153018"/>
          <c:w val="0.86513250532452002"/>
          <c:h val="0.607145209981127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'!$B$64</c:f>
              <c:strCache>
                <c:ptCount val="1"/>
                <c:pt idx="0">
                  <c:v>Vala</c:v>
                </c:pt>
              </c:strCache>
            </c:strRef>
          </c:tx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'!$C$1:$AA$2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'!$C$64:$AA$64</c:f>
              <c:numCache>
                <c:formatCode>0.0%</c:formatCode>
                <c:ptCount val="8"/>
                <c:pt idx="0">
                  <c:v>0.32157680452957393</c:v>
                </c:pt>
                <c:pt idx="1">
                  <c:v>0.32888391319324839</c:v>
                </c:pt>
                <c:pt idx="2" formatCode="0.00%">
                  <c:v>0.34285332977445615</c:v>
                </c:pt>
                <c:pt idx="3" formatCode="0.00%">
                  <c:v>0.3170399386868773</c:v>
                </c:pt>
                <c:pt idx="4" formatCode="0.00%">
                  <c:v>0.31499755740107477</c:v>
                </c:pt>
                <c:pt idx="5" formatCode="0.00%">
                  <c:v>0.31204394523243423</c:v>
                </c:pt>
                <c:pt idx="6" formatCode="0.00%">
                  <c:v>0.35337650323774283</c:v>
                </c:pt>
                <c:pt idx="7" formatCode="0.00%">
                  <c:v>0.33997291052505774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7-42DC-A566-A50CCEBCF477}"/>
            </c:ext>
          </c:extLst>
        </c:ser>
        <c:ser>
          <c:idx val="1"/>
          <c:order val="1"/>
          <c:tx>
            <c:strRef>
              <c:f>'Trafiku Min&amp;Grafet '!$B$76</c:f>
              <c:strCache>
                <c:ptCount val="1"/>
                <c:pt idx="0">
                  <c:v>Ipko</c:v>
                </c:pt>
              </c:strCache>
            </c:strRef>
          </c:tx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'!$C$1:$AA$2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'!$C$76:$AA$76</c:f>
              <c:numCache>
                <c:formatCode>0.0%</c:formatCode>
                <c:ptCount val="8"/>
                <c:pt idx="0">
                  <c:v>0.67842319547042595</c:v>
                </c:pt>
                <c:pt idx="1">
                  <c:v>0.67111608680675161</c:v>
                </c:pt>
                <c:pt idx="2" formatCode="0.00%">
                  <c:v>0.65714667022554385</c:v>
                </c:pt>
                <c:pt idx="3" formatCode="0.00%">
                  <c:v>0.6829600613131227</c:v>
                </c:pt>
                <c:pt idx="4" formatCode="0.00%">
                  <c:v>0.68500244259892529</c:v>
                </c:pt>
                <c:pt idx="5" formatCode="0.00%">
                  <c:v>0.68795605476756583</c:v>
                </c:pt>
                <c:pt idx="6" formatCode="0.00%">
                  <c:v>0.64662349676225717</c:v>
                </c:pt>
                <c:pt idx="7" formatCode="0.00%">
                  <c:v>0.66002708947494226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7-42DC-A566-A50CCEBC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638400"/>
        <c:axId val="67639936"/>
      </c:barChart>
      <c:catAx>
        <c:axId val="676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639936"/>
        <c:crosses val="autoZero"/>
        <c:auto val="1"/>
        <c:lblAlgn val="ctr"/>
        <c:lblOffset val="100"/>
        <c:noMultiLvlLbl val="0"/>
      </c:catAx>
      <c:valAx>
        <c:axId val="676399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638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27302090383369"/>
          <c:y val="0.49603403022897996"/>
          <c:w val="4.38596433307471E-2"/>
          <c:h val="0.17460403656440207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sq-AL"/>
              <a:t>trafiku ne ardhje -mobile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075195398688976E-2"/>
          <c:y val="0.17537345384913924"/>
          <c:w val="0.85915591434209027"/>
          <c:h val="0.63432951392241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'!$B$69</c:f>
              <c:strCache>
                <c:ptCount val="1"/>
                <c:pt idx="0">
                  <c:v>Vala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'!$L$69:$AA$69</c:f>
              <c:numCache>
                <c:formatCode>0.0%</c:formatCode>
                <c:ptCount val="8"/>
                <c:pt idx="0">
                  <c:v>0.65612584593206502</c:v>
                </c:pt>
                <c:pt idx="1">
                  <c:v>0.63782417223943888</c:v>
                </c:pt>
                <c:pt idx="2" formatCode="0.00%">
                  <c:v>0.62418259557344069</c:v>
                </c:pt>
                <c:pt idx="3" formatCode="0.00%">
                  <c:v>0.64776936704783383</c:v>
                </c:pt>
                <c:pt idx="4" formatCode="0.00%">
                  <c:v>0.61712520023459183</c:v>
                </c:pt>
                <c:pt idx="5" formatCode="0.00%">
                  <c:v>0.65603235228038648</c:v>
                </c:pt>
                <c:pt idx="6" formatCode="0.00%">
                  <c:v>0.62356370158623398</c:v>
                </c:pt>
                <c:pt idx="7" formatCode="0.00%">
                  <c:v>0.63383341253139636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5-43AC-9B16-B5A915626EA2}"/>
            </c:ext>
          </c:extLst>
        </c:ser>
        <c:ser>
          <c:idx val="1"/>
          <c:order val="1"/>
          <c:tx>
            <c:strRef>
              <c:f>'Trafiku Min&amp;Grafet '!$B$80</c:f>
              <c:strCache>
                <c:ptCount val="1"/>
                <c:pt idx="0">
                  <c:v>Ipko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'!$L$80:$AA$80</c:f>
              <c:numCache>
                <c:formatCode>0.0%</c:formatCode>
                <c:ptCount val="8"/>
                <c:pt idx="0">
                  <c:v>0.34387415406793503</c:v>
                </c:pt>
                <c:pt idx="1">
                  <c:v>0.36217582776056106</c:v>
                </c:pt>
                <c:pt idx="2" formatCode="0.00%">
                  <c:v>0.37581740442655936</c:v>
                </c:pt>
                <c:pt idx="3" formatCode="0.00%">
                  <c:v>0.35223063295216622</c:v>
                </c:pt>
                <c:pt idx="4" formatCode="0.00%">
                  <c:v>0.38287479976540822</c:v>
                </c:pt>
                <c:pt idx="5" formatCode="0.00%">
                  <c:v>0.34396764771961358</c:v>
                </c:pt>
                <c:pt idx="6" formatCode="0.00%">
                  <c:v>0.37643629841376602</c:v>
                </c:pt>
                <c:pt idx="7" formatCode="0.00%">
                  <c:v>0.36616658746860364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5-43AC-9B16-B5A91562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704320"/>
        <c:axId val="67705856"/>
      </c:barChart>
      <c:catAx>
        <c:axId val="6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705856"/>
        <c:crosses val="autoZero"/>
        <c:auto val="1"/>
        <c:lblAlgn val="ctr"/>
        <c:lblOffset val="100"/>
        <c:noMultiLvlLbl val="0"/>
      </c:catAx>
      <c:valAx>
        <c:axId val="677058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70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366308084728756"/>
          <c:y val="0.4962694402005719"/>
          <c:w val="5.0469483568069462E-2"/>
          <c:h val="0.16417949621969388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sq-AL"/>
              <a:t>trafiku ne ardhje -Fiks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075195398688976E-2"/>
          <c:y val="0.18972368631825576"/>
          <c:w val="0.85915591434209027"/>
          <c:h val="0.61264940373605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'!$B$70</c:f>
              <c:strCache>
                <c:ptCount val="1"/>
                <c:pt idx="0">
                  <c:v>Vala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'!$L$70:$AA$70</c:f>
              <c:numCache>
                <c:formatCode>0.0%</c:formatCode>
                <c:ptCount val="8"/>
                <c:pt idx="0">
                  <c:v>0.88587541154610949</c:v>
                </c:pt>
                <c:pt idx="1">
                  <c:v>0.88650228774783935</c:v>
                </c:pt>
                <c:pt idx="2" formatCode="0.00%">
                  <c:v>0.88352745424292845</c:v>
                </c:pt>
                <c:pt idx="3" formatCode="0.00%">
                  <c:v>0.89042357274401474</c:v>
                </c:pt>
                <c:pt idx="4" formatCode="0.00%">
                  <c:v>0.88318117435875865</c:v>
                </c:pt>
                <c:pt idx="5" formatCode="0.00%">
                  <c:v>0.88824536001053045</c:v>
                </c:pt>
                <c:pt idx="6" formatCode="0.00%">
                  <c:v>0.86073325560305736</c:v>
                </c:pt>
                <c:pt idx="7" formatCode="0.00%">
                  <c:v>0.91416426710544363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1-4318-94CF-1AFCFCE2B03F}"/>
            </c:ext>
          </c:extLst>
        </c:ser>
        <c:ser>
          <c:idx val="1"/>
          <c:order val="1"/>
          <c:tx>
            <c:strRef>
              <c:f>'Trafiku Min&amp;Grafet '!$B$81</c:f>
              <c:strCache>
                <c:ptCount val="1"/>
                <c:pt idx="0">
                  <c:v>Ipko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'!$L$81:$AA$81</c:f>
              <c:numCache>
                <c:formatCode>0.0%</c:formatCode>
                <c:ptCount val="8"/>
                <c:pt idx="0">
                  <c:v>0.11412458845389054</c:v>
                </c:pt>
                <c:pt idx="1">
                  <c:v>0.11349771225216065</c:v>
                </c:pt>
                <c:pt idx="2" formatCode="0.00%">
                  <c:v>0.11647254575707154</c:v>
                </c:pt>
                <c:pt idx="3" formatCode="0.00%">
                  <c:v>0.10957642725598526</c:v>
                </c:pt>
                <c:pt idx="4" formatCode="0.00%">
                  <c:v>0.11681882564124139</c:v>
                </c:pt>
                <c:pt idx="5" formatCode="0.00%">
                  <c:v>0.11175463998946952</c:v>
                </c:pt>
                <c:pt idx="6" formatCode="0.00%">
                  <c:v>0.13926674439694262</c:v>
                </c:pt>
                <c:pt idx="7" formatCode="0.00%">
                  <c:v>8.5835732894556427E-2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1-4318-94CF-1AFCFCE2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757184"/>
        <c:axId val="67758720"/>
      </c:barChart>
      <c:catAx>
        <c:axId val="677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758720"/>
        <c:crosses val="autoZero"/>
        <c:auto val="1"/>
        <c:lblAlgn val="ctr"/>
        <c:lblOffset val="100"/>
        <c:noMultiLvlLbl val="0"/>
      </c:catAx>
      <c:valAx>
        <c:axId val="677587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75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366308084728756"/>
          <c:y val="0.49407188966245519"/>
          <c:w val="5.0469483568073903E-2"/>
          <c:h val="0.17391339596064445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sq-AL"/>
              <a:t>trafiku ne ardhje -nderkombetar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075195398688976E-2"/>
          <c:y val="0.1912350597609562"/>
          <c:w val="0.85915591434209027"/>
          <c:h val="0.609561752988047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'!$B$71</c:f>
              <c:strCache>
                <c:ptCount val="1"/>
                <c:pt idx="0">
                  <c:v>Vala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'!$L$71:$AA$71</c:f>
              <c:numCache>
                <c:formatCode>0.0%</c:formatCode>
                <c:ptCount val="8"/>
                <c:pt idx="0">
                  <c:v>0.70476825284246758</c:v>
                </c:pt>
                <c:pt idx="1">
                  <c:v>0.71682119602724514</c:v>
                </c:pt>
                <c:pt idx="2" formatCode="0.00%">
                  <c:v>0.71930055411787064</c:v>
                </c:pt>
                <c:pt idx="3" formatCode="0.00%">
                  <c:v>0.72118303457866262</c:v>
                </c:pt>
                <c:pt idx="4" formatCode="0.00%">
                  <c:v>0.68377535413467427</c:v>
                </c:pt>
                <c:pt idx="5" formatCode="0.00%">
                  <c:v>0.69234923827615746</c:v>
                </c:pt>
                <c:pt idx="6" formatCode="0.00%">
                  <c:v>0.69164862914862912</c:v>
                </c:pt>
                <c:pt idx="7" formatCode="0.00%">
                  <c:v>0.69566249460509277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7-42EE-ADFC-2643C38F9C26}"/>
            </c:ext>
          </c:extLst>
        </c:ser>
        <c:ser>
          <c:idx val="1"/>
          <c:order val="1"/>
          <c:tx>
            <c:strRef>
              <c:f>'Trafiku Min&amp;Grafet '!$B$82</c:f>
              <c:strCache>
                <c:ptCount val="1"/>
                <c:pt idx="0">
                  <c:v>Ipko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'!$L$1:$AA$2</c:f>
              <c:multiLvlStrCache>
                <c:ptCount val="8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  <c:pt idx="6">
                    <c:v>TM3</c:v>
                  </c:pt>
                  <c:pt idx="7">
                    <c:v>TM4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'!$L$82:$AA$82</c:f>
              <c:numCache>
                <c:formatCode>0.0%</c:formatCode>
                <c:ptCount val="8"/>
                <c:pt idx="0">
                  <c:v>0.29523174715753259</c:v>
                </c:pt>
                <c:pt idx="1">
                  <c:v>0.2831788039727548</c:v>
                </c:pt>
                <c:pt idx="2" formatCode="0.00%">
                  <c:v>0.28069944588212931</c:v>
                </c:pt>
                <c:pt idx="3" formatCode="0.00%">
                  <c:v>0.27881696542133738</c:v>
                </c:pt>
                <c:pt idx="4" formatCode="0.00%">
                  <c:v>0.31622464586532573</c:v>
                </c:pt>
                <c:pt idx="5" formatCode="0.00%">
                  <c:v>0.30765076172384254</c:v>
                </c:pt>
                <c:pt idx="6" formatCode="0.00%">
                  <c:v>0.30835137085137088</c:v>
                </c:pt>
                <c:pt idx="7" formatCode="0.00%">
                  <c:v>0.30433750539490723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7-42EE-ADFC-2643C38F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826432"/>
        <c:axId val="67827968"/>
      </c:barChart>
      <c:catAx>
        <c:axId val="678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827968"/>
        <c:crosses val="autoZero"/>
        <c:auto val="1"/>
        <c:lblAlgn val="ctr"/>
        <c:lblOffset val="100"/>
        <c:noMultiLvlLbl val="0"/>
      </c:catAx>
      <c:valAx>
        <c:axId val="6782796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82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483678976745655"/>
          <c:y val="0.51394441723494044"/>
          <c:w val="4.5774647887327533E-2"/>
          <c:h val="0.16334651948410805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lang="sq-A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On MVNO numbers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22658553222966E-2"/>
          <c:y val="0.19277184037650738"/>
          <c:w val="0.82723158343440684"/>
          <c:h val="0.60642808118442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'Trafiku Min&amp;Grafet '!$B$116</c:f>
              <c:strCache>
                <c:ptCount val="1"/>
                <c:pt idx="0">
                  <c:v>D3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'!$L$1:$Y$2</c:f>
              <c:multiLvlStrCache>
                <c:ptCount val="6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'!$L$117:$Y$117</c:f>
              <c:numCache>
                <c:formatCode>0.00%</c:formatCode>
                <c:ptCount val="6"/>
                <c:pt idx="0">
                  <c:v>2.1137324509508653E-3</c:v>
                </c:pt>
                <c:pt idx="1">
                  <c:v>1.9269276436923335E-3</c:v>
                </c:pt>
                <c:pt idx="2">
                  <c:v>1.4465707963617037E-3</c:v>
                </c:pt>
                <c:pt idx="3">
                  <c:v>1.4770247040508922E-3</c:v>
                </c:pt>
                <c:pt idx="4">
                  <c:v>1.4860737796993703E-3</c:v>
                </c:pt>
                <c:pt idx="5">
                  <c:v>1.213314504934646E-3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8-4337-836B-9C74877EE463}"/>
            </c:ext>
          </c:extLst>
        </c:ser>
        <c:ser>
          <c:idx val="1"/>
          <c:order val="1"/>
          <c:tx>
            <c:strRef>
              <c:f>'Trafiku Min&amp;Grafet '!$B$125</c:f>
              <c:strCache>
                <c:ptCount val="1"/>
                <c:pt idx="0">
                  <c:v> Z Mobile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q-A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'Trafiku Min&amp;Grafet '!$L$1:$Y$2</c:f>
              <c:multiLvlStrCache>
                <c:ptCount val="6"/>
                <c:lvl>
                  <c:pt idx="0">
                    <c:v>TM1</c:v>
                  </c:pt>
                  <c:pt idx="1">
                    <c:v>TM2</c:v>
                  </c:pt>
                  <c:pt idx="2">
                    <c:v>TM3</c:v>
                  </c:pt>
                  <c:pt idx="3">
                    <c:v>TM4</c:v>
                  </c:pt>
                  <c:pt idx="4">
                    <c:v>TM1</c:v>
                  </c:pt>
                  <c:pt idx="5">
                    <c:v>TM2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'Trafiku Min&amp;Grafet '!$L$127:$Y$127</c:f>
              <c:numCache>
                <c:formatCode>0.00%</c:formatCode>
                <c:ptCount val="6"/>
                <c:pt idx="0">
                  <c:v>0.99788626754904908</c:v>
                </c:pt>
                <c:pt idx="1">
                  <c:v>0.99807307235630771</c:v>
                </c:pt>
                <c:pt idx="2" formatCode="0.0%">
                  <c:v>0.99855342920363832</c:v>
                </c:pt>
                <c:pt idx="3" formatCode="0.0%">
                  <c:v>0.99852297529594913</c:v>
                </c:pt>
                <c:pt idx="4">
                  <c:v>0.99851392622030066</c:v>
                </c:pt>
                <c:pt idx="5">
                  <c:v>0.99878668549506533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8-4337-836B-9C74877E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518272"/>
        <c:axId val="68519808"/>
      </c:barChart>
      <c:catAx>
        <c:axId val="685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19808"/>
        <c:crosses val="autoZero"/>
        <c:auto val="1"/>
        <c:lblAlgn val="ctr"/>
        <c:lblOffset val="100"/>
        <c:noMultiLvlLbl val="0"/>
      </c:catAx>
      <c:valAx>
        <c:axId val="6851980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sq-A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18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87647825486347"/>
          <c:y val="0.50201014029872759"/>
          <c:w val="7.4370709382151082E-2"/>
          <c:h val="0.16465947780623821"/>
        </c:manualLayout>
      </c:layout>
      <c:overlay val="0"/>
      <c:txPr>
        <a:bodyPr/>
        <a:lstStyle/>
        <a:p>
          <a:pPr>
            <a:defRPr lang="sq-A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11</xdr:row>
      <xdr:rowOff>85725</xdr:rowOff>
    </xdr:from>
    <xdr:to>
      <xdr:col>4</xdr:col>
      <xdr:colOff>104775</xdr:colOff>
      <xdr:row>12</xdr:row>
      <xdr:rowOff>76200</xdr:rowOff>
    </xdr:to>
    <xdr:pic>
      <xdr:nvPicPr>
        <xdr:cNvPr id="3" name="Picture 2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81225"/>
          <a:ext cx="3228975" cy="18097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685800</xdr:colOff>
      <xdr:row>11</xdr:row>
      <xdr:rowOff>85725</xdr:rowOff>
    </xdr:from>
    <xdr:to>
      <xdr:col>4</xdr:col>
      <xdr:colOff>104775</xdr:colOff>
      <xdr:row>12</xdr:row>
      <xdr:rowOff>133350</xdr:rowOff>
    </xdr:to>
    <xdr:pic>
      <xdr:nvPicPr>
        <xdr:cNvPr id="4" name="Picture 3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81225"/>
          <a:ext cx="3228975" cy="23812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6</xdr:row>
      <xdr:rowOff>123825</xdr:rowOff>
    </xdr:from>
    <xdr:to>
      <xdr:col>17</xdr:col>
      <xdr:colOff>161925</xdr:colOff>
      <xdr:row>21</xdr:row>
      <xdr:rowOff>9525</xdr:rowOff>
    </xdr:to>
    <xdr:graphicFrame macro="">
      <xdr:nvGraphicFramePr>
        <xdr:cNvPr id="371487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552450</xdr:colOff>
      <xdr:row>62</xdr:row>
      <xdr:rowOff>152400</xdr:rowOff>
    </xdr:from>
    <xdr:to>
      <xdr:col>70</xdr:col>
      <xdr:colOff>390525</xdr:colOff>
      <xdr:row>78</xdr:row>
      <xdr:rowOff>104775</xdr:rowOff>
    </xdr:to>
    <xdr:graphicFrame macro="">
      <xdr:nvGraphicFramePr>
        <xdr:cNvPr id="398643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38100</xdr:colOff>
      <xdr:row>96</xdr:row>
      <xdr:rowOff>85725</xdr:rowOff>
    </xdr:from>
    <xdr:to>
      <xdr:col>70</xdr:col>
      <xdr:colOff>390525</xdr:colOff>
      <xdr:row>110</xdr:row>
      <xdr:rowOff>28575</xdr:rowOff>
    </xdr:to>
    <xdr:graphicFrame macro="">
      <xdr:nvGraphicFramePr>
        <xdr:cNvPr id="3986439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104775</xdr:colOff>
      <xdr:row>111</xdr:row>
      <xdr:rowOff>57150</xdr:rowOff>
    </xdr:from>
    <xdr:to>
      <xdr:col>70</xdr:col>
      <xdr:colOff>457200</xdr:colOff>
      <xdr:row>124</xdr:row>
      <xdr:rowOff>190500</xdr:rowOff>
    </xdr:to>
    <xdr:graphicFrame macro="">
      <xdr:nvGraphicFramePr>
        <xdr:cNvPr id="3986439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133350</xdr:colOff>
      <xdr:row>79</xdr:row>
      <xdr:rowOff>133350</xdr:rowOff>
    </xdr:from>
    <xdr:to>
      <xdr:col>70</xdr:col>
      <xdr:colOff>285750</xdr:colOff>
      <xdr:row>93</xdr:row>
      <xdr:rowOff>95250</xdr:rowOff>
    </xdr:to>
    <xdr:graphicFrame macro="">
      <xdr:nvGraphicFramePr>
        <xdr:cNvPr id="3986439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133350</xdr:colOff>
      <xdr:row>63</xdr:row>
      <xdr:rowOff>28575</xdr:rowOff>
    </xdr:from>
    <xdr:to>
      <xdr:col>84</xdr:col>
      <xdr:colOff>323850</xdr:colOff>
      <xdr:row>77</xdr:row>
      <xdr:rowOff>161925</xdr:rowOff>
    </xdr:to>
    <xdr:graphicFrame macro="">
      <xdr:nvGraphicFramePr>
        <xdr:cNvPr id="3986439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104775</xdr:colOff>
      <xdr:row>79</xdr:row>
      <xdr:rowOff>9525</xdr:rowOff>
    </xdr:from>
    <xdr:to>
      <xdr:col>84</xdr:col>
      <xdr:colOff>295275</xdr:colOff>
      <xdr:row>92</xdr:row>
      <xdr:rowOff>152400</xdr:rowOff>
    </xdr:to>
    <xdr:graphicFrame macro="">
      <xdr:nvGraphicFramePr>
        <xdr:cNvPr id="3986439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285750</xdr:colOff>
      <xdr:row>94</xdr:row>
      <xdr:rowOff>57150</xdr:rowOff>
    </xdr:from>
    <xdr:to>
      <xdr:col>84</xdr:col>
      <xdr:colOff>476250</xdr:colOff>
      <xdr:row>108</xdr:row>
      <xdr:rowOff>9525</xdr:rowOff>
    </xdr:to>
    <xdr:graphicFrame macro="">
      <xdr:nvGraphicFramePr>
        <xdr:cNvPr id="3986440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47625</xdr:colOff>
      <xdr:row>138</xdr:row>
      <xdr:rowOff>85725</xdr:rowOff>
    </xdr:from>
    <xdr:to>
      <xdr:col>18</xdr:col>
      <xdr:colOff>838200</xdr:colOff>
      <xdr:row>152</xdr:row>
      <xdr:rowOff>57150</xdr:rowOff>
    </xdr:to>
    <xdr:graphicFrame macro="">
      <xdr:nvGraphicFramePr>
        <xdr:cNvPr id="3986440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153</xdr:row>
      <xdr:rowOff>0</xdr:rowOff>
    </xdr:from>
    <xdr:to>
      <xdr:col>18</xdr:col>
      <xdr:colOff>790575</xdr:colOff>
      <xdr:row>166</xdr:row>
      <xdr:rowOff>133350</xdr:rowOff>
    </xdr:to>
    <xdr:graphicFrame macro="">
      <xdr:nvGraphicFramePr>
        <xdr:cNvPr id="3986440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169</xdr:row>
      <xdr:rowOff>0</xdr:rowOff>
    </xdr:from>
    <xdr:to>
      <xdr:col>18</xdr:col>
      <xdr:colOff>790575</xdr:colOff>
      <xdr:row>182</xdr:row>
      <xdr:rowOff>133350</xdr:rowOff>
    </xdr:to>
    <xdr:graphicFrame macro="">
      <xdr:nvGraphicFramePr>
        <xdr:cNvPr id="3986440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185</xdr:row>
      <xdr:rowOff>0</xdr:rowOff>
    </xdr:from>
    <xdr:to>
      <xdr:col>18</xdr:col>
      <xdr:colOff>790575</xdr:colOff>
      <xdr:row>198</xdr:row>
      <xdr:rowOff>133350</xdr:rowOff>
    </xdr:to>
    <xdr:graphicFrame macro="">
      <xdr:nvGraphicFramePr>
        <xdr:cNvPr id="3986440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18</xdr:col>
      <xdr:colOff>790575</xdr:colOff>
      <xdr:row>214</xdr:row>
      <xdr:rowOff>133350</xdr:rowOff>
    </xdr:to>
    <xdr:graphicFrame macro="">
      <xdr:nvGraphicFramePr>
        <xdr:cNvPr id="3986440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571500</xdr:colOff>
      <xdr:row>9</xdr:row>
      <xdr:rowOff>19050</xdr:rowOff>
    </xdr:from>
    <xdr:to>
      <xdr:col>19</xdr:col>
      <xdr:colOff>476250</xdr:colOff>
      <xdr:row>25</xdr:row>
      <xdr:rowOff>76200</xdr:rowOff>
    </xdr:to>
    <xdr:sp macro="" textlink="">
      <xdr:nvSpPr>
        <xdr:cNvPr id="39864406" name="Object 3072"/>
        <xdr:cNvSpPr>
          <a:spLocks noChangeArrowheads="1" noChangeShapeType="1"/>
        </xdr:cNvSpPr>
      </xdr:nvSpPr>
      <xdr:spPr bwMode="auto">
        <a:xfrm>
          <a:off x="571500" y="1666875"/>
          <a:ext cx="3200400" cy="2847975"/>
        </a:xfrm>
        <a:prstGeom prst="rect">
          <a:avLst/>
        </a:prstGeom>
        <a:noFill/>
        <a:ln w="0" algn="in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14</xdr:row>
      <xdr:rowOff>57150</xdr:rowOff>
    </xdr:from>
    <xdr:to>
      <xdr:col>13</xdr:col>
      <xdr:colOff>38100</xdr:colOff>
      <xdr:row>14</xdr:row>
      <xdr:rowOff>190500</xdr:rowOff>
    </xdr:to>
    <xdr:sp macro="" textlink="">
      <xdr:nvSpPr>
        <xdr:cNvPr id="4" name="Object 1"/>
        <xdr:cNvSpPr>
          <a:spLocks noChangeArrowheads="1" noChangeShapeType="1"/>
        </xdr:cNvSpPr>
      </xdr:nvSpPr>
      <xdr:spPr bwMode="auto">
        <a:xfrm flipH="1">
          <a:off x="15087600" y="6553200"/>
          <a:ext cx="762000" cy="133350"/>
        </a:xfrm>
        <a:prstGeom prst="rect">
          <a:avLst/>
        </a:prstGeom>
        <a:noFill/>
        <a:ln w="9525" algn="in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352425</xdr:colOff>
      <xdr:row>10</xdr:row>
      <xdr:rowOff>152400</xdr:rowOff>
    </xdr:from>
    <xdr:to>
      <xdr:col>1</xdr:col>
      <xdr:colOff>1447800</xdr:colOff>
      <xdr:row>14</xdr:row>
      <xdr:rowOff>190500</xdr:rowOff>
    </xdr:to>
    <xdr:sp macro="" textlink="">
      <xdr:nvSpPr>
        <xdr:cNvPr id="5" name="Object 2"/>
        <xdr:cNvSpPr>
          <a:spLocks noChangeArrowheads="1" noChangeShapeType="1"/>
        </xdr:cNvSpPr>
      </xdr:nvSpPr>
      <xdr:spPr bwMode="auto">
        <a:xfrm>
          <a:off x="904875" y="4505325"/>
          <a:ext cx="1095375" cy="2181225"/>
        </a:xfrm>
        <a:prstGeom prst="rect">
          <a:avLst/>
        </a:prstGeom>
        <a:noFill/>
        <a:ln w="9525" algn="in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590550</xdr:colOff>
      <xdr:row>25</xdr:row>
      <xdr:rowOff>257175</xdr:rowOff>
    </xdr:from>
    <xdr:to>
      <xdr:col>18</xdr:col>
      <xdr:colOff>152400</xdr:colOff>
      <xdr:row>26</xdr:row>
      <xdr:rowOff>0</xdr:rowOff>
    </xdr:to>
    <xdr:sp macro="" textlink="">
      <xdr:nvSpPr>
        <xdr:cNvPr id="7" name="Object 3"/>
        <xdr:cNvSpPr>
          <a:spLocks noChangeArrowheads="1" noChangeShapeType="1"/>
        </xdr:cNvSpPr>
      </xdr:nvSpPr>
      <xdr:spPr bwMode="auto">
        <a:xfrm flipH="1">
          <a:off x="15144750" y="10782300"/>
          <a:ext cx="3867150" cy="66675"/>
        </a:xfrm>
        <a:prstGeom prst="rect">
          <a:avLst/>
        </a:prstGeom>
        <a:noFill/>
        <a:ln w="9525" algn="in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3"/>
  <sheetViews>
    <sheetView topLeftCell="A34" zoomScale="110" zoomScaleNormal="110" workbookViewId="0">
      <pane xSplit="1" ySplit="4" topLeftCell="AA44" activePane="bottomRight" state="frozen"/>
      <selection activeCell="A34" sqref="A34"/>
      <selection pane="topRight" activeCell="B34" sqref="B34"/>
      <selection pane="bottomLeft" activeCell="A38" sqref="A38"/>
      <selection pane="bottomRight" activeCell="AK58" sqref="AK58"/>
    </sheetView>
  </sheetViews>
  <sheetFormatPr defaultRowHeight="15" x14ac:dyDescent="0.25"/>
  <cols>
    <col min="1" max="1" width="22.42578125" bestFit="1" customWidth="1"/>
    <col min="2" max="4" width="11.5703125" bestFit="1" customWidth="1"/>
    <col min="5" max="5" width="11.5703125" customWidth="1"/>
    <col min="6" max="6" width="11.7109375" bestFit="1" customWidth="1"/>
    <col min="7" max="10" width="11.7109375" customWidth="1"/>
    <col min="11" max="11" width="13.28515625" customWidth="1"/>
    <col min="12" max="12" width="13.28515625" bestFit="1" customWidth="1"/>
    <col min="13" max="13" width="13.85546875" customWidth="1"/>
    <col min="14" max="14" width="16.7109375" bestFit="1" customWidth="1"/>
    <col min="17" max="17" width="13.28515625" bestFit="1" customWidth="1"/>
    <col min="18" max="18" width="13.7109375" bestFit="1" customWidth="1"/>
    <col min="19" max="19" width="12.7109375" customWidth="1"/>
    <col min="20" max="20" width="14.85546875" customWidth="1"/>
    <col min="21" max="21" width="12.42578125" customWidth="1"/>
    <col min="22" max="22" width="13" customWidth="1"/>
    <col min="23" max="28" width="20" customWidth="1"/>
    <col min="29" max="30" width="11.5703125" bestFit="1" customWidth="1"/>
    <col min="31" max="37" width="11.5703125" customWidth="1"/>
    <col min="38" max="38" width="12.7109375" style="522" customWidth="1"/>
    <col min="39" max="39" width="12.5703125" style="522" customWidth="1"/>
    <col min="40" max="40" width="12.7109375" style="522" customWidth="1"/>
    <col min="41" max="41" width="13.28515625" style="522" bestFit="1" customWidth="1"/>
    <col min="42" max="42" width="10.5703125" bestFit="1" customWidth="1"/>
    <col min="46" max="46" width="12" customWidth="1"/>
  </cols>
  <sheetData>
    <row r="1" spans="1:18" x14ac:dyDescent="0.25">
      <c r="B1" s="520">
        <v>2013</v>
      </c>
      <c r="C1" s="716">
        <v>2014</v>
      </c>
      <c r="D1" s="717"/>
      <c r="E1" s="717"/>
      <c r="F1" s="718"/>
      <c r="G1" s="714">
        <v>2015</v>
      </c>
      <c r="H1" s="714"/>
      <c r="I1" s="714"/>
      <c r="J1" s="714"/>
      <c r="K1" s="712">
        <v>2016</v>
      </c>
      <c r="L1" s="713"/>
      <c r="M1" s="713"/>
      <c r="N1" s="713"/>
      <c r="O1" s="712">
        <v>2017</v>
      </c>
      <c r="P1" s="713"/>
      <c r="Q1" s="713"/>
      <c r="R1" s="713"/>
    </row>
    <row r="2" spans="1:18" x14ac:dyDescent="0.25">
      <c r="B2" s="404" t="s">
        <v>44</v>
      </c>
      <c r="C2" s="404" t="s">
        <v>43</v>
      </c>
      <c r="D2" s="404" t="s">
        <v>46</v>
      </c>
      <c r="E2" s="404" t="s">
        <v>45</v>
      </c>
      <c r="F2" s="404" t="s">
        <v>47</v>
      </c>
      <c r="G2" s="404" t="s">
        <v>48</v>
      </c>
      <c r="H2" s="404" t="s">
        <v>49</v>
      </c>
      <c r="I2" s="404" t="s">
        <v>45</v>
      </c>
      <c r="J2" s="404" t="s">
        <v>47</v>
      </c>
      <c r="K2" s="409" t="s">
        <v>147</v>
      </c>
      <c r="L2" s="409" t="s">
        <v>150</v>
      </c>
      <c r="M2" s="409" t="s">
        <v>45</v>
      </c>
      <c r="N2" s="409" t="s">
        <v>47</v>
      </c>
      <c r="O2" s="409" t="s">
        <v>147</v>
      </c>
      <c r="P2" s="409" t="s">
        <v>150</v>
      </c>
      <c r="Q2" s="409" t="s">
        <v>45</v>
      </c>
      <c r="R2" s="409" t="s">
        <v>47</v>
      </c>
    </row>
    <row r="3" spans="1:18" x14ac:dyDescent="0.25">
      <c r="A3" t="s">
        <v>146</v>
      </c>
      <c r="B3" s="402">
        <v>167952</v>
      </c>
      <c r="C3" s="403">
        <v>169099</v>
      </c>
      <c r="D3" s="402">
        <v>180355</v>
      </c>
      <c r="E3" s="402">
        <v>183125</v>
      </c>
      <c r="F3" s="402">
        <v>190802</v>
      </c>
      <c r="G3" s="402">
        <v>193550</v>
      </c>
      <c r="H3" s="402">
        <v>196895</v>
      </c>
      <c r="I3" s="402">
        <v>207498</v>
      </c>
      <c r="J3" s="402">
        <v>215788</v>
      </c>
      <c r="K3" s="402">
        <v>219531</v>
      </c>
      <c r="L3" s="396">
        <v>224296</v>
      </c>
    </row>
    <row r="4" spans="1:18" x14ac:dyDescent="0.25">
      <c r="A4" t="s">
        <v>145</v>
      </c>
      <c r="B4" s="402">
        <v>104769</v>
      </c>
      <c r="C4" s="402">
        <v>148019</v>
      </c>
      <c r="D4" s="402">
        <v>174902</v>
      </c>
      <c r="E4" s="402">
        <v>244166</v>
      </c>
      <c r="F4" s="402">
        <f>27121+30484+226384</f>
        <v>283989</v>
      </c>
      <c r="G4" s="402">
        <v>358184</v>
      </c>
      <c r="H4" s="402">
        <v>492994</v>
      </c>
      <c r="I4" s="402">
        <v>702699</v>
      </c>
      <c r="J4" s="402">
        <v>711648</v>
      </c>
      <c r="K4" s="408">
        <v>779665</v>
      </c>
      <c r="L4" s="412">
        <f>F30</f>
        <v>878703</v>
      </c>
      <c r="Q4" s="400">
        <f>Q83</f>
        <v>1533321</v>
      </c>
    </row>
    <row r="5" spans="1:18" x14ac:dyDescent="0.25">
      <c r="A5" t="s">
        <v>144</v>
      </c>
      <c r="C5" s="402">
        <f>23894+2413</f>
        <v>26307</v>
      </c>
      <c r="D5" s="402">
        <f>2118+24713</f>
        <v>26831</v>
      </c>
      <c r="E5" s="402">
        <f>25249+1596</f>
        <v>26845</v>
      </c>
      <c r="F5" s="402">
        <v>25994</v>
      </c>
      <c r="G5" s="402">
        <v>33408</v>
      </c>
      <c r="H5" s="402">
        <v>33773</v>
      </c>
      <c r="I5" s="402">
        <v>387507</v>
      </c>
      <c r="J5" s="402">
        <v>341084</v>
      </c>
      <c r="K5" s="402">
        <v>465615</v>
      </c>
      <c r="L5" s="412">
        <f>B30</f>
        <v>474888</v>
      </c>
    </row>
    <row r="6" spans="1:18" x14ac:dyDescent="0.25">
      <c r="A6" s="401" t="s">
        <v>143</v>
      </c>
      <c r="B6" s="400">
        <f t="shared" ref="B6:K6" si="0">B3+B4</f>
        <v>272721</v>
      </c>
      <c r="C6" s="400">
        <f t="shared" si="0"/>
        <v>317118</v>
      </c>
      <c r="D6" s="400">
        <f t="shared" si="0"/>
        <v>355257</v>
      </c>
      <c r="E6" s="400">
        <f t="shared" si="0"/>
        <v>427291</v>
      </c>
      <c r="F6" s="400">
        <f t="shared" si="0"/>
        <v>474791</v>
      </c>
      <c r="G6" s="400">
        <f t="shared" si="0"/>
        <v>551734</v>
      </c>
      <c r="H6" s="400">
        <f t="shared" si="0"/>
        <v>689889</v>
      </c>
      <c r="I6" s="400">
        <f t="shared" si="0"/>
        <v>910197</v>
      </c>
      <c r="J6" s="400">
        <f t="shared" si="0"/>
        <v>927436</v>
      </c>
      <c r="K6" s="400">
        <f t="shared" si="0"/>
        <v>999196</v>
      </c>
      <c r="L6" s="412">
        <f>L3+L4</f>
        <v>1102999</v>
      </c>
      <c r="M6" s="412">
        <f t="shared" ref="M6:R6" si="1">M3+M4</f>
        <v>0</v>
      </c>
      <c r="N6" s="412">
        <f t="shared" si="1"/>
        <v>0</v>
      </c>
      <c r="O6" s="412">
        <f t="shared" si="1"/>
        <v>0</v>
      </c>
      <c r="P6" s="412">
        <f t="shared" si="1"/>
        <v>0</v>
      </c>
      <c r="Q6" s="412">
        <f t="shared" si="1"/>
        <v>1533321</v>
      </c>
      <c r="R6" s="412">
        <f t="shared" si="1"/>
        <v>0</v>
      </c>
    </row>
    <row r="7" spans="1:18" x14ac:dyDescent="0.25">
      <c r="A7" s="401" t="s">
        <v>26</v>
      </c>
      <c r="B7" s="373">
        <f t="shared" ref="B7:K7" si="2">B6/$C$10</f>
        <v>0.15020935158839527</v>
      </c>
      <c r="C7" s="373">
        <f t="shared" si="2"/>
        <v>0.17466234414294732</v>
      </c>
      <c r="D7" s="373">
        <f t="shared" si="2"/>
        <v>0.19566855363994171</v>
      </c>
      <c r="E7" s="373">
        <f t="shared" si="2"/>
        <v>0.2353434610813139</v>
      </c>
      <c r="F7" s="373">
        <f t="shared" si="2"/>
        <v>0.26150552487709339</v>
      </c>
      <c r="G7" s="373">
        <f t="shared" si="2"/>
        <v>0.30388421276422306</v>
      </c>
      <c r="H7" s="373">
        <f t="shared" si="2"/>
        <v>0.37997726378961072</v>
      </c>
      <c r="I7" s="373">
        <f t="shared" si="2"/>
        <v>0.50131856801530728</v>
      </c>
      <c r="J7" s="373">
        <f t="shared" si="2"/>
        <v>0.51081346944215866</v>
      </c>
      <c r="K7" s="373">
        <f t="shared" si="2"/>
        <v>0.55033746308395104</v>
      </c>
      <c r="L7" s="396">
        <f>L6/$C$10</f>
        <v>0.60751010957223095</v>
      </c>
      <c r="M7" s="396">
        <f t="shared" ref="M7:R7" si="3">M6/$C$10</f>
        <v>0</v>
      </c>
      <c r="N7" s="396">
        <f t="shared" si="3"/>
        <v>0</v>
      </c>
      <c r="O7" s="396">
        <f t="shared" si="3"/>
        <v>0</v>
      </c>
      <c r="P7" s="396">
        <f t="shared" si="3"/>
        <v>0</v>
      </c>
      <c r="Q7" s="396">
        <f t="shared" si="3"/>
        <v>0.84452298571386086</v>
      </c>
      <c r="R7" s="396">
        <f t="shared" si="3"/>
        <v>0</v>
      </c>
    </row>
    <row r="8" spans="1:18" x14ac:dyDescent="0.25">
      <c r="A8" t="s">
        <v>142</v>
      </c>
      <c r="B8" s="399">
        <f t="shared" ref="B8:J8" si="4">B4/$C$10</f>
        <v>5.7704700248842535E-2</v>
      </c>
      <c r="C8" s="399">
        <f t="shared" si="4"/>
        <v>8.1525947810262803E-2</v>
      </c>
      <c r="D8" s="399">
        <f t="shared" si="4"/>
        <v>9.6332574358093115E-2</v>
      </c>
      <c r="E8" s="399">
        <f t="shared" si="4"/>
        <v>0.13448182039495354</v>
      </c>
      <c r="F8" s="399">
        <f t="shared" si="4"/>
        <v>0.15641554390104462</v>
      </c>
      <c r="G8" s="399">
        <f t="shared" si="4"/>
        <v>0.19728068755005215</v>
      </c>
      <c r="H8" s="399">
        <f t="shared" si="4"/>
        <v>0.2715313785039265</v>
      </c>
      <c r="I8" s="399">
        <f t="shared" si="4"/>
        <v>0.38703275931011466</v>
      </c>
      <c r="J8" s="399">
        <f t="shared" si="4"/>
        <v>0.39196169212923948</v>
      </c>
      <c r="K8" s="399">
        <f>K4/D10</f>
        <v>0.42942411514392442</v>
      </c>
      <c r="L8" s="373">
        <f t="shared" ref="L8:R8" si="5">L4/D10</f>
        <v>0.48397229354826982</v>
      </c>
      <c r="M8" s="373">
        <f t="shared" si="5"/>
        <v>0</v>
      </c>
      <c r="N8" s="373">
        <f t="shared" si="5"/>
        <v>0</v>
      </c>
      <c r="O8" s="373">
        <f t="shared" si="5"/>
        <v>0</v>
      </c>
      <c r="P8" s="373">
        <f t="shared" si="5"/>
        <v>0</v>
      </c>
      <c r="Q8" s="373">
        <f t="shared" si="5"/>
        <v>0.84452298571386086</v>
      </c>
      <c r="R8" s="373">
        <f t="shared" si="5"/>
        <v>0</v>
      </c>
    </row>
    <row r="9" spans="1:18" x14ac:dyDescent="0.25">
      <c r="A9" t="s">
        <v>141</v>
      </c>
      <c r="B9" s="373">
        <f t="shared" ref="B9:K9" si="6">B3/$C$10</f>
        <v>9.250465133955274E-2</v>
      </c>
      <c r="C9" s="373">
        <f t="shared" si="6"/>
        <v>9.3136396332684515E-2</v>
      </c>
      <c r="D9" s="373">
        <f t="shared" si="6"/>
        <v>9.9335979281848591E-2</v>
      </c>
      <c r="E9" s="373">
        <f t="shared" si="6"/>
        <v>0.10086164068636036</v>
      </c>
      <c r="F9" s="373">
        <f t="shared" si="6"/>
        <v>0.10508998097604877</v>
      </c>
      <c r="G9" s="373">
        <f t="shared" si="6"/>
        <v>0.10660352521417092</v>
      </c>
      <c r="H9" s="373">
        <f t="shared" si="6"/>
        <v>0.10844588528568423</v>
      </c>
      <c r="I9" s="373">
        <f t="shared" si="6"/>
        <v>0.11428580870519264</v>
      </c>
      <c r="J9" s="373">
        <f t="shared" si="6"/>
        <v>0.11885177731291921</v>
      </c>
      <c r="K9" s="373">
        <f t="shared" si="6"/>
        <v>0.12091334794002663</v>
      </c>
      <c r="L9" s="396">
        <f>L3/$C$10</f>
        <v>0.12353781602396115</v>
      </c>
      <c r="M9" s="396">
        <f t="shared" ref="M9:R9" si="7">M3/$C$10</f>
        <v>0</v>
      </c>
      <c r="N9" s="396">
        <f t="shared" si="7"/>
        <v>0</v>
      </c>
      <c r="O9" s="396">
        <f t="shared" si="7"/>
        <v>0</v>
      </c>
      <c r="P9" s="396">
        <f t="shared" si="7"/>
        <v>0</v>
      </c>
      <c r="Q9" s="396">
        <f t="shared" si="7"/>
        <v>0</v>
      </c>
      <c r="R9" s="396">
        <f t="shared" si="7"/>
        <v>0</v>
      </c>
    </row>
    <row r="10" spans="1:18" x14ac:dyDescent="0.25">
      <c r="A10" t="s">
        <v>140</v>
      </c>
      <c r="C10" s="398">
        <v>1815606</v>
      </c>
      <c r="D10" s="398">
        <v>1815606</v>
      </c>
      <c r="E10" s="398">
        <v>1815606</v>
      </c>
      <c r="F10" s="398">
        <v>1815606</v>
      </c>
      <c r="G10" s="398">
        <v>1815606</v>
      </c>
      <c r="H10" s="398">
        <v>1815606</v>
      </c>
      <c r="I10" s="398">
        <v>1815606</v>
      </c>
      <c r="J10" s="398">
        <v>1815606</v>
      </c>
      <c r="K10" s="398">
        <v>1815606</v>
      </c>
      <c r="L10" s="398">
        <v>1815606</v>
      </c>
    </row>
    <row r="12" spans="1:18" x14ac:dyDescent="0.25">
      <c r="B12" t="s">
        <v>139</v>
      </c>
      <c r="C12" t="s">
        <v>138</v>
      </c>
      <c r="D12" t="s">
        <v>137</v>
      </c>
      <c r="E12" t="s">
        <v>134</v>
      </c>
      <c r="F12" t="s">
        <v>135</v>
      </c>
      <c r="L12">
        <v>1762611</v>
      </c>
    </row>
    <row r="13" spans="1:18" x14ac:dyDescent="0.25">
      <c r="A13" t="s">
        <v>39</v>
      </c>
      <c r="B13">
        <v>12417</v>
      </c>
      <c r="C13" s="410">
        <f>372039+35956</f>
        <v>407995</v>
      </c>
      <c r="D13">
        <v>83897</v>
      </c>
      <c r="E13">
        <f>SUM(B13:D13)</f>
        <v>504309</v>
      </c>
      <c r="F13">
        <f>C13+D13</f>
        <v>491892</v>
      </c>
      <c r="L13" s="413">
        <f>L4/L12</f>
        <v>0.49852349724357786</v>
      </c>
    </row>
    <row r="14" spans="1:18" x14ac:dyDescent="0.25">
      <c r="A14" t="s">
        <v>9</v>
      </c>
      <c r="B14">
        <v>305305</v>
      </c>
      <c r="C14">
        <v>257413</v>
      </c>
      <c r="D14">
        <v>30360</v>
      </c>
      <c r="E14">
        <f>SUM(B14:D14)</f>
        <v>593078</v>
      </c>
      <c r="F14">
        <f>C14+D14</f>
        <v>287773</v>
      </c>
    </row>
    <row r="15" spans="1:18" x14ac:dyDescent="0.25">
      <c r="A15" t="s">
        <v>136</v>
      </c>
      <c r="B15">
        <v>35893</v>
      </c>
      <c r="E15">
        <f>SUM(B15:D15)</f>
        <v>35893</v>
      </c>
      <c r="F15">
        <f>C15+D15</f>
        <v>0</v>
      </c>
    </row>
    <row r="16" spans="1:18" x14ac:dyDescent="0.25">
      <c r="A16" t="s">
        <v>134</v>
      </c>
      <c r="B16">
        <f>SUM(B13:B15)</f>
        <v>353615</v>
      </c>
      <c r="C16">
        <f>SUM(C13:C15)</f>
        <v>665408</v>
      </c>
      <c r="D16">
        <f>SUM(D13:D15)</f>
        <v>114257</v>
      </c>
      <c r="E16">
        <f>SUM(B16:D16)</f>
        <v>1133280</v>
      </c>
      <c r="F16">
        <f>C16+D16</f>
        <v>779665</v>
      </c>
    </row>
    <row r="18" spans="1:6" x14ac:dyDescent="0.25">
      <c r="B18">
        <f>B15+B13</f>
        <v>48310</v>
      </c>
    </row>
    <row r="20" spans="1:6" x14ac:dyDescent="0.25">
      <c r="B20">
        <v>4730</v>
      </c>
    </row>
    <row r="21" spans="1:6" x14ac:dyDescent="0.25">
      <c r="A21" t="s">
        <v>148</v>
      </c>
      <c r="B21">
        <f>B20+B15</f>
        <v>40623</v>
      </c>
    </row>
    <row r="25" spans="1:6" x14ac:dyDescent="0.25">
      <c r="A25" s="710" t="s">
        <v>151</v>
      </c>
      <c r="B25" s="710"/>
      <c r="C25" s="710"/>
      <c r="D25" s="710"/>
      <c r="E25" s="710"/>
      <c r="F25" s="710"/>
    </row>
    <row r="26" spans="1:6" x14ac:dyDescent="0.25">
      <c r="B26" t="s">
        <v>139</v>
      </c>
      <c r="C26" t="s">
        <v>138</v>
      </c>
      <c r="D26" t="s">
        <v>137</v>
      </c>
      <c r="E26" t="s">
        <v>134</v>
      </c>
      <c r="F26" t="s">
        <v>135</v>
      </c>
    </row>
    <row r="27" spans="1:6" x14ac:dyDescent="0.25">
      <c r="A27" t="s">
        <v>39</v>
      </c>
      <c r="B27">
        <f>6048+115219</f>
        <v>121267</v>
      </c>
      <c r="C27" s="410">
        <v>447645</v>
      </c>
      <c r="D27">
        <v>99298</v>
      </c>
      <c r="E27">
        <f>SUM(B27:D27)</f>
        <v>668210</v>
      </c>
      <c r="F27">
        <f>C27+D27</f>
        <v>546943</v>
      </c>
    </row>
    <row r="28" spans="1:6" x14ac:dyDescent="0.25">
      <c r="A28" t="s">
        <v>9</v>
      </c>
      <c r="B28">
        <v>317719</v>
      </c>
      <c r="C28">
        <v>276601</v>
      </c>
      <c r="D28">
        <v>55159</v>
      </c>
      <c r="E28">
        <f>SUM(B28:D28)</f>
        <v>649479</v>
      </c>
      <c r="F28">
        <f>C28+D28</f>
        <v>331760</v>
      </c>
    </row>
    <row r="29" spans="1:6" x14ac:dyDescent="0.25">
      <c r="A29" t="s">
        <v>136</v>
      </c>
      <c r="B29">
        <v>35902</v>
      </c>
      <c r="E29">
        <f>SUM(B29:D29)</f>
        <v>35902</v>
      </c>
      <c r="F29">
        <f>C29+D29</f>
        <v>0</v>
      </c>
    </row>
    <row r="30" spans="1:6" x14ac:dyDescent="0.25">
      <c r="A30" t="s">
        <v>134</v>
      </c>
      <c r="B30">
        <f>SUM(B27+B28+B29)</f>
        <v>474888</v>
      </c>
      <c r="C30">
        <f>SUM(C27+C28+C29)</f>
        <v>724246</v>
      </c>
      <c r="D30">
        <f>SUM(D27+D28+D29)</f>
        <v>154457</v>
      </c>
      <c r="E30">
        <f>SUM(B30:D30)</f>
        <v>1353591</v>
      </c>
      <c r="F30">
        <f>C30+D30</f>
        <v>878703</v>
      </c>
    </row>
    <row r="32" spans="1:6" x14ac:dyDescent="0.25">
      <c r="B32">
        <f>B29+B27</f>
        <v>157169</v>
      </c>
    </row>
    <row r="34" spans="1:41" x14ac:dyDescent="0.25">
      <c r="A34" t="s">
        <v>149</v>
      </c>
      <c r="B34">
        <v>6048</v>
      </c>
    </row>
    <row r="35" spans="1:41" x14ac:dyDescent="0.25">
      <c r="A35" t="s">
        <v>148</v>
      </c>
      <c r="B35">
        <f>B34+B29</f>
        <v>41950</v>
      </c>
    </row>
    <row r="36" spans="1:41" x14ac:dyDescent="0.25">
      <c r="B36" s="520">
        <v>2013</v>
      </c>
      <c r="C36" s="714">
        <v>2014</v>
      </c>
      <c r="D36" s="714"/>
      <c r="E36" s="714"/>
      <c r="F36" s="714"/>
      <c r="G36" s="715">
        <v>2015</v>
      </c>
      <c r="H36" s="715"/>
      <c r="I36" s="715"/>
      <c r="J36" s="715"/>
      <c r="K36" s="715">
        <v>2016</v>
      </c>
      <c r="L36" s="715"/>
      <c r="M36" s="715"/>
      <c r="N36" s="715"/>
      <c r="O36" s="715">
        <v>2017</v>
      </c>
      <c r="P36" s="715"/>
      <c r="Q36" s="715"/>
      <c r="R36" s="715"/>
      <c r="S36" s="715">
        <v>2018</v>
      </c>
      <c r="T36" s="715"/>
      <c r="U36" s="715"/>
      <c r="V36" s="715"/>
      <c r="W36" s="712">
        <v>2019</v>
      </c>
      <c r="X36" s="713"/>
      <c r="Y36" s="713"/>
      <c r="Z36" s="713"/>
      <c r="AA36" s="711">
        <v>2020</v>
      </c>
      <c r="AB36" s="711"/>
      <c r="AC36" s="711"/>
      <c r="AD36" s="711"/>
      <c r="AE36" s="711">
        <v>2021</v>
      </c>
      <c r="AF36" s="711"/>
      <c r="AG36" s="711"/>
      <c r="AH36" s="711"/>
      <c r="AI36" s="687">
        <v>2022</v>
      </c>
      <c r="AJ36" s="693"/>
      <c r="AK36" s="673"/>
    </row>
    <row r="37" spans="1:41" x14ac:dyDescent="0.25">
      <c r="A37" s="521" t="s">
        <v>7</v>
      </c>
      <c r="B37" s="404" t="s">
        <v>44</v>
      </c>
      <c r="C37" s="404" t="s">
        <v>43</v>
      </c>
      <c r="D37" s="404" t="s">
        <v>46</v>
      </c>
      <c r="E37" s="404" t="s">
        <v>45</v>
      </c>
      <c r="F37" s="404" t="s">
        <v>47</v>
      </c>
      <c r="G37" s="559" t="s">
        <v>48</v>
      </c>
      <c r="H37" s="559" t="s">
        <v>49</v>
      </c>
      <c r="I37" s="559" t="s">
        <v>45</v>
      </c>
      <c r="J37" s="559" t="s">
        <v>47</v>
      </c>
      <c r="K37" s="559" t="s">
        <v>147</v>
      </c>
      <c r="L37" s="559" t="s">
        <v>150</v>
      </c>
      <c r="M37" s="559" t="s">
        <v>45</v>
      </c>
      <c r="N37" s="559" t="s">
        <v>47</v>
      </c>
      <c r="O37" s="559" t="s">
        <v>147</v>
      </c>
      <c r="P37" s="559" t="s">
        <v>150</v>
      </c>
      <c r="Q37" s="559" t="s">
        <v>45</v>
      </c>
      <c r="R37" s="559" t="s">
        <v>47</v>
      </c>
      <c r="S37" s="559" t="s">
        <v>147</v>
      </c>
      <c r="T37" s="559" t="s">
        <v>150</v>
      </c>
      <c r="U37" s="559" t="s">
        <v>45</v>
      </c>
      <c r="V37" s="559" t="s">
        <v>47</v>
      </c>
      <c r="W37" s="559" t="s">
        <v>48</v>
      </c>
      <c r="X37" s="559" t="s">
        <v>49</v>
      </c>
      <c r="Y37" s="559" t="s">
        <v>45</v>
      </c>
      <c r="Z37" s="559" t="s">
        <v>47</v>
      </c>
      <c r="AA37" s="603" t="s">
        <v>147</v>
      </c>
      <c r="AB37" s="603" t="s">
        <v>150</v>
      </c>
      <c r="AC37" s="603" t="s">
        <v>166</v>
      </c>
      <c r="AD37" s="603" t="s">
        <v>167</v>
      </c>
      <c r="AE37" s="603" t="s">
        <v>147</v>
      </c>
      <c r="AF37" s="603" t="s">
        <v>49</v>
      </c>
      <c r="AG37" s="603" t="s">
        <v>45</v>
      </c>
      <c r="AH37" s="603" t="s">
        <v>47</v>
      </c>
      <c r="AI37" s="603" t="s">
        <v>48</v>
      </c>
      <c r="AJ37" s="603" t="s">
        <v>49</v>
      </c>
      <c r="AK37" s="603"/>
      <c r="AL37" s="522">
        <v>2014</v>
      </c>
      <c r="AM37" s="522">
        <v>2015</v>
      </c>
      <c r="AN37" s="522">
        <v>2016</v>
      </c>
      <c r="AO37" s="522">
        <v>2017</v>
      </c>
    </row>
    <row r="38" spans="1:41" x14ac:dyDescent="0.25">
      <c r="A38" t="s">
        <v>139</v>
      </c>
      <c r="N38" s="522">
        <v>890973</v>
      </c>
      <c r="Q38" s="522">
        <v>10745</v>
      </c>
      <c r="R38">
        <v>588442</v>
      </c>
      <c r="S38">
        <v>566785</v>
      </c>
      <c r="T38" s="522">
        <v>561768</v>
      </c>
      <c r="U38" s="522">
        <v>506559</v>
      </c>
      <c r="V38" s="522">
        <v>466736</v>
      </c>
      <c r="W38" s="522">
        <v>13774</v>
      </c>
      <c r="X38" s="522">
        <v>214931</v>
      </c>
      <c r="Y38" s="522">
        <v>218390</v>
      </c>
      <c r="Z38" s="522">
        <v>173432</v>
      </c>
      <c r="AA38" s="522">
        <v>72441</v>
      </c>
      <c r="AB38" s="522">
        <v>99056</v>
      </c>
      <c r="AC38" s="522">
        <v>66152</v>
      </c>
      <c r="AD38" s="522">
        <v>72576</v>
      </c>
      <c r="AE38" s="522">
        <v>84459</v>
      </c>
      <c r="AF38" s="522">
        <v>83796</v>
      </c>
      <c r="AG38" s="522">
        <v>83940</v>
      </c>
      <c r="AH38" s="522">
        <v>59709</v>
      </c>
      <c r="AI38" s="522">
        <v>54184</v>
      </c>
      <c r="AJ38" s="522">
        <v>60492</v>
      </c>
      <c r="AK38" s="522"/>
      <c r="AL38" s="522">
        <v>0</v>
      </c>
      <c r="AM38" s="522">
        <v>0</v>
      </c>
      <c r="AN38" s="522">
        <v>890973</v>
      </c>
      <c r="AO38" s="522">
        <v>588442</v>
      </c>
    </row>
    <row r="39" spans="1:41" x14ac:dyDescent="0.25">
      <c r="A39" t="s">
        <v>138</v>
      </c>
      <c r="F39" s="522">
        <v>57605</v>
      </c>
      <c r="J39" s="522">
        <v>359860</v>
      </c>
      <c r="N39" s="522">
        <v>561457</v>
      </c>
      <c r="Q39" s="522">
        <v>541472</v>
      </c>
      <c r="R39">
        <v>563488</v>
      </c>
      <c r="S39">
        <v>585005</v>
      </c>
      <c r="T39" s="522">
        <v>593715</v>
      </c>
      <c r="U39" s="522">
        <v>595533</v>
      </c>
      <c r="V39" s="522">
        <v>588345</v>
      </c>
      <c r="W39" s="522">
        <v>590802</v>
      </c>
      <c r="X39" s="522">
        <v>363125</v>
      </c>
      <c r="Y39" s="522">
        <v>364888</v>
      </c>
      <c r="Z39" s="522">
        <v>576922</v>
      </c>
      <c r="AA39" s="522">
        <v>490935</v>
      </c>
      <c r="AB39" s="522">
        <v>493338</v>
      </c>
      <c r="AC39" s="522">
        <v>546418</v>
      </c>
      <c r="AD39" s="522">
        <v>559765</v>
      </c>
      <c r="AE39" s="522">
        <f>875097-293629</f>
        <v>581468</v>
      </c>
      <c r="AF39" s="522">
        <f>897176-AF40</f>
        <v>601326</v>
      </c>
      <c r="AG39" s="522">
        <v>606809</v>
      </c>
      <c r="AH39" s="522">
        <v>459564</v>
      </c>
      <c r="AI39" s="522">
        <v>400119</v>
      </c>
      <c r="AJ39" s="522">
        <v>390747</v>
      </c>
      <c r="AK39" s="522"/>
      <c r="AL39" s="522">
        <v>57605</v>
      </c>
      <c r="AM39" s="522">
        <v>359860</v>
      </c>
      <c r="AN39" s="522">
        <v>561457</v>
      </c>
      <c r="AO39" s="522">
        <v>563488</v>
      </c>
    </row>
    <row r="40" spans="1:41" x14ac:dyDescent="0.25">
      <c r="A40" t="s">
        <v>137</v>
      </c>
      <c r="J40" s="522">
        <v>68637</v>
      </c>
      <c r="N40" s="522">
        <v>121681</v>
      </c>
      <c r="Q40" s="522">
        <v>162659</v>
      </c>
      <c r="R40">
        <v>187994</v>
      </c>
      <c r="S40">
        <v>196991</v>
      </c>
      <c r="T40" s="522">
        <v>208624</v>
      </c>
      <c r="U40">
        <v>232840</v>
      </c>
      <c r="V40">
        <v>233740</v>
      </c>
      <c r="W40">
        <v>236157</v>
      </c>
      <c r="X40">
        <v>229766</v>
      </c>
      <c r="Y40" s="522">
        <v>245001</v>
      </c>
      <c r="Z40" s="412">
        <v>299848</v>
      </c>
      <c r="AA40" s="398">
        <v>273570</v>
      </c>
      <c r="AB40" s="398">
        <v>291885</v>
      </c>
      <c r="AC40">
        <v>296625</v>
      </c>
      <c r="AD40">
        <v>291767</v>
      </c>
      <c r="AE40">
        <v>293629</v>
      </c>
      <c r="AF40">
        <v>295850</v>
      </c>
      <c r="AG40">
        <v>327531</v>
      </c>
      <c r="AH40">
        <v>315615</v>
      </c>
      <c r="AI40">
        <v>372860</v>
      </c>
      <c r="AJ40">
        <v>410789</v>
      </c>
      <c r="AL40" s="522">
        <v>0</v>
      </c>
      <c r="AM40" s="522">
        <v>68637</v>
      </c>
      <c r="AN40" s="522">
        <v>121681</v>
      </c>
      <c r="AO40" s="522">
        <v>187994</v>
      </c>
    </row>
    <row r="41" spans="1:41" x14ac:dyDescent="0.25">
      <c r="A41" s="523" t="s">
        <v>134</v>
      </c>
      <c r="B41" s="524">
        <f t="shared" ref="B41:W41" si="8">B38+B39+B40</f>
        <v>0</v>
      </c>
      <c r="C41" s="524">
        <f t="shared" si="8"/>
        <v>0</v>
      </c>
      <c r="D41" s="524">
        <f t="shared" si="8"/>
        <v>0</v>
      </c>
      <c r="E41" s="524">
        <f t="shared" si="8"/>
        <v>0</v>
      </c>
      <c r="F41" s="524">
        <f t="shared" si="8"/>
        <v>57605</v>
      </c>
      <c r="G41" s="524">
        <f t="shared" si="8"/>
        <v>0</v>
      </c>
      <c r="H41" s="524">
        <f t="shared" si="8"/>
        <v>0</v>
      </c>
      <c r="I41" s="524">
        <f t="shared" si="8"/>
        <v>0</v>
      </c>
      <c r="J41" s="524">
        <f t="shared" si="8"/>
        <v>428497</v>
      </c>
      <c r="K41" s="524">
        <f t="shared" si="8"/>
        <v>0</v>
      </c>
      <c r="L41" s="524">
        <f t="shared" si="8"/>
        <v>0</v>
      </c>
      <c r="M41" s="524">
        <f t="shared" si="8"/>
        <v>0</v>
      </c>
      <c r="N41" s="524">
        <f t="shared" si="8"/>
        <v>1574111</v>
      </c>
      <c r="O41" s="524">
        <f t="shared" si="8"/>
        <v>0</v>
      </c>
      <c r="P41" s="524">
        <f t="shared" si="8"/>
        <v>0</v>
      </c>
      <c r="Q41" s="524">
        <f t="shared" si="8"/>
        <v>714876</v>
      </c>
      <c r="R41" s="524">
        <f t="shared" si="8"/>
        <v>1339924</v>
      </c>
      <c r="S41" s="524">
        <f t="shared" si="8"/>
        <v>1348781</v>
      </c>
      <c r="T41" s="524">
        <f t="shared" si="8"/>
        <v>1364107</v>
      </c>
      <c r="U41" s="524">
        <f t="shared" si="8"/>
        <v>1334932</v>
      </c>
      <c r="V41" s="524">
        <f t="shared" si="8"/>
        <v>1288821</v>
      </c>
      <c r="W41" s="524">
        <f t="shared" si="8"/>
        <v>840733</v>
      </c>
      <c r="X41" s="524">
        <f t="shared" ref="X41:AJ41" si="9">X38+X39+X40</f>
        <v>807822</v>
      </c>
      <c r="Y41" s="524">
        <f t="shared" si="9"/>
        <v>828279</v>
      </c>
      <c r="Z41" s="524">
        <f t="shared" si="9"/>
        <v>1050202</v>
      </c>
      <c r="AA41" s="524">
        <f t="shared" si="9"/>
        <v>836946</v>
      </c>
      <c r="AB41" s="524">
        <f t="shared" si="9"/>
        <v>884279</v>
      </c>
      <c r="AC41" s="524">
        <f t="shared" si="9"/>
        <v>909195</v>
      </c>
      <c r="AD41" s="524">
        <f t="shared" si="9"/>
        <v>924108</v>
      </c>
      <c r="AE41" s="524">
        <f t="shared" si="9"/>
        <v>959556</v>
      </c>
      <c r="AF41" s="524">
        <f t="shared" si="9"/>
        <v>980972</v>
      </c>
      <c r="AG41" s="524">
        <f t="shared" si="9"/>
        <v>1018280</v>
      </c>
      <c r="AH41" s="524">
        <f t="shared" si="9"/>
        <v>834888</v>
      </c>
      <c r="AI41" s="524">
        <f t="shared" si="9"/>
        <v>827163</v>
      </c>
      <c r="AJ41" s="524">
        <f t="shared" si="9"/>
        <v>862028</v>
      </c>
      <c r="AK41" s="524"/>
      <c r="AL41" s="522">
        <v>57605</v>
      </c>
      <c r="AM41" s="522">
        <v>428497</v>
      </c>
      <c r="AN41" s="522">
        <v>1574111</v>
      </c>
      <c r="AO41" s="522">
        <v>1339924</v>
      </c>
    </row>
    <row r="42" spans="1:41" x14ac:dyDescent="0.25">
      <c r="A42" t="s">
        <v>135</v>
      </c>
      <c r="N42" s="522"/>
      <c r="Q42" s="522">
        <f t="shared" ref="Q42:Y42" si="10">SUM(Q39:Q40)</f>
        <v>704131</v>
      </c>
      <c r="R42" s="522">
        <f t="shared" si="10"/>
        <v>751482</v>
      </c>
      <c r="S42" s="522">
        <f t="shared" si="10"/>
        <v>781996</v>
      </c>
      <c r="T42" s="522">
        <f t="shared" si="10"/>
        <v>802339</v>
      </c>
      <c r="U42" s="522">
        <f t="shared" si="10"/>
        <v>828373</v>
      </c>
      <c r="V42" s="522">
        <f t="shared" si="10"/>
        <v>822085</v>
      </c>
      <c r="W42" s="522">
        <f t="shared" si="10"/>
        <v>826959</v>
      </c>
      <c r="X42" s="522">
        <f t="shared" si="10"/>
        <v>592891</v>
      </c>
      <c r="Y42" s="522">
        <f t="shared" si="10"/>
        <v>609889</v>
      </c>
      <c r="Z42" s="522">
        <f t="shared" ref="Z42:AJ42" si="11">SUM(Z39:Z40)</f>
        <v>876770</v>
      </c>
      <c r="AA42" s="522">
        <f t="shared" si="11"/>
        <v>764505</v>
      </c>
      <c r="AB42" s="522">
        <f t="shared" si="11"/>
        <v>785223</v>
      </c>
      <c r="AC42" s="522">
        <f t="shared" si="11"/>
        <v>843043</v>
      </c>
      <c r="AD42" s="522">
        <f t="shared" si="11"/>
        <v>851532</v>
      </c>
      <c r="AE42" s="522">
        <f t="shared" si="11"/>
        <v>875097</v>
      </c>
      <c r="AF42" s="522">
        <f t="shared" si="11"/>
        <v>897176</v>
      </c>
      <c r="AG42" s="522">
        <f>SUM(AG39:AG40)</f>
        <v>934340</v>
      </c>
      <c r="AH42" s="522">
        <f t="shared" si="11"/>
        <v>775179</v>
      </c>
      <c r="AI42" s="522">
        <f t="shared" si="11"/>
        <v>772979</v>
      </c>
      <c r="AJ42" s="522">
        <f t="shared" si="11"/>
        <v>801536</v>
      </c>
      <c r="AK42" s="522"/>
      <c r="AL42" s="522">
        <v>0</v>
      </c>
      <c r="AM42" s="522">
        <v>0</v>
      </c>
      <c r="AN42" s="522">
        <v>0</v>
      </c>
      <c r="AO42" s="522">
        <v>751482</v>
      </c>
    </row>
    <row r="43" spans="1:41" x14ac:dyDescent="0.25">
      <c r="A43" t="s">
        <v>157</v>
      </c>
      <c r="J43" s="522">
        <v>4652</v>
      </c>
      <c r="N43" s="522">
        <v>8078</v>
      </c>
      <c r="Q43" s="522"/>
      <c r="R43">
        <v>11921</v>
      </c>
      <c r="S43">
        <v>11675</v>
      </c>
      <c r="T43" s="522">
        <v>12063</v>
      </c>
      <c r="U43" s="522">
        <v>12254</v>
      </c>
      <c r="V43" s="522">
        <v>12254</v>
      </c>
      <c r="W43" s="522">
        <v>12772</v>
      </c>
      <c r="X43" s="522">
        <v>13526</v>
      </c>
      <c r="Y43" s="522">
        <v>14088</v>
      </c>
      <c r="Z43" s="522">
        <v>14495</v>
      </c>
      <c r="AA43" s="522">
        <v>15096</v>
      </c>
      <c r="AB43" s="522">
        <v>15107</v>
      </c>
      <c r="AC43" s="400">
        <v>15632</v>
      </c>
      <c r="AD43" s="400">
        <v>15329</v>
      </c>
      <c r="AE43" s="400">
        <v>15273</v>
      </c>
      <c r="AF43" s="400">
        <v>15200</v>
      </c>
      <c r="AG43" s="400">
        <v>15633</v>
      </c>
      <c r="AH43" s="400">
        <v>15381</v>
      </c>
      <c r="AI43" s="400">
        <v>15273</v>
      </c>
      <c r="AJ43" s="400">
        <v>14467</v>
      </c>
      <c r="AK43" s="400"/>
      <c r="AL43" s="522">
        <v>0</v>
      </c>
      <c r="AM43" s="522">
        <v>4652</v>
      </c>
      <c r="AN43" s="522">
        <v>8078</v>
      </c>
      <c r="AO43" s="522">
        <v>11921</v>
      </c>
    </row>
    <row r="44" spans="1:41" x14ac:dyDescent="0.25">
      <c r="Q44" s="522"/>
      <c r="S44" s="714">
        <v>2018</v>
      </c>
      <c r="T44" s="714"/>
      <c r="U44" s="714"/>
      <c r="V44" s="714"/>
      <c r="W44" s="719">
        <v>2019</v>
      </c>
      <c r="X44" s="711"/>
      <c r="Y44" s="711"/>
      <c r="Z44" s="586"/>
      <c r="AA44" s="600"/>
      <c r="AB44" s="612"/>
      <c r="AC44" s="400"/>
    </row>
    <row r="45" spans="1:41" x14ac:dyDescent="0.25">
      <c r="A45" s="521" t="s">
        <v>96</v>
      </c>
      <c r="B45" s="521"/>
      <c r="C45" s="521"/>
      <c r="D45" s="521"/>
      <c r="E45" s="521"/>
      <c r="F45" s="521"/>
      <c r="G45" s="521"/>
      <c r="H45" s="521"/>
      <c r="I45" s="521"/>
      <c r="J45" s="521"/>
      <c r="K45" s="521"/>
      <c r="L45" s="521"/>
      <c r="M45" s="521"/>
      <c r="N45" s="521"/>
      <c r="O45" s="521"/>
      <c r="P45" s="521"/>
      <c r="Q45" s="558"/>
      <c r="R45" s="521"/>
      <c r="S45" s="568" t="s">
        <v>48</v>
      </c>
      <c r="T45" s="568" t="s">
        <v>49</v>
      </c>
      <c r="U45" s="568" t="s">
        <v>45</v>
      </c>
      <c r="V45" s="568" t="s">
        <v>47</v>
      </c>
      <c r="W45" s="568" t="s">
        <v>48</v>
      </c>
      <c r="X45" s="568" t="s">
        <v>49</v>
      </c>
      <c r="Y45" s="568" t="s">
        <v>45</v>
      </c>
      <c r="Z45" s="568" t="s">
        <v>47</v>
      </c>
      <c r="AA45" s="626" t="s">
        <v>147</v>
      </c>
      <c r="AB45" s="626" t="s">
        <v>150</v>
      </c>
      <c r="AC45" s="626" t="s">
        <v>166</v>
      </c>
      <c r="AD45" s="626" t="s">
        <v>167</v>
      </c>
      <c r="AE45" s="626" t="s">
        <v>147</v>
      </c>
      <c r="AF45" s="674" t="s">
        <v>49</v>
      </c>
      <c r="AG45" s="674" t="s">
        <v>45</v>
      </c>
      <c r="AH45" s="679" t="s">
        <v>47</v>
      </c>
      <c r="AI45" s="688" t="s">
        <v>48</v>
      </c>
      <c r="AJ45" s="694" t="s">
        <v>49</v>
      </c>
      <c r="AK45" s="604"/>
    </row>
    <row r="46" spans="1:41" x14ac:dyDescent="0.25">
      <c r="A46" t="s">
        <v>139</v>
      </c>
      <c r="F46">
        <v>312883</v>
      </c>
      <c r="J46" s="522">
        <v>306078</v>
      </c>
      <c r="N46" s="522">
        <v>377341</v>
      </c>
      <c r="Q46" s="522">
        <v>0</v>
      </c>
      <c r="R46">
        <v>417544</v>
      </c>
      <c r="S46" s="522">
        <v>434214</v>
      </c>
      <c r="T46">
        <v>451143</v>
      </c>
      <c r="U46" s="522">
        <v>566478</v>
      </c>
      <c r="V46" s="522">
        <v>486924</v>
      </c>
      <c r="W46" s="522">
        <v>483280</v>
      </c>
      <c r="X46" s="522">
        <v>166021</v>
      </c>
      <c r="Y46" s="522">
        <v>179356</v>
      </c>
      <c r="Z46" s="522">
        <v>149421</v>
      </c>
      <c r="AA46" s="522">
        <v>9605</v>
      </c>
      <c r="AB46" s="522">
        <v>10786</v>
      </c>
      <c r="AC46" s="522">
        <v>6686</v>
      </c>
      <c r="AD46" s="522">
        <v>6559</v>
      </c>
      <c r="AE46" s="522">
        <v>6182</v>
      </c>
      <c r="AF46" s="522">
        <v>6149</v>
      </c>
      <c r="AG46" s="522">
        <v>5980</v>
      </c>
      <c r="AH46" s="522">
        <v>6295</v>
      </c>
      <c r="AI46" s="522">
        <v>8227</v>
      </c>
      <c r="AJ46" s="522">
        <v>8925</v>
      </c>
      <c r="AK46" s="522"/>
      <c r="AL46" s="522">
        <v>312883</v>
      </c>
      <c r="AM46" s="522">
        <v>306078</v>
      </c>
      <c r="AN46" s="522">
        <v>377341</v>
      </c>
      <c r="AO46" s="522">
        <v>417544</v>
      </c>
    </row>
    <row r="47" spans="1:41" x14ac:dyDescent="0.25">
      <c r="A47" t="s">
        <v>138</v>
      </c>
      <c r="F47">
        <v>226384</v>
      </c>
      <c r="J47" s="522">
        <v>254373</v>
      </c>
      <c r="N47" s="522">
        <v>335816</v>
      </c>
      <c r="Q47" s="522">
        <v>447997</v>
      </c>
      <c r="R47">
        <v>379790</v>
      </c>
      <c r="S47" s="522">
        <v>395558</v>
      </c>
      <c r="T47" s="522">
        <v>411321</v>
      </c>
      <c r="U47" s="522">
        <v>525821</v>
      </c>
      <c r="V47" s="522">
        <v>449085</v>
      </c>
      <c r="W47" s="571">
        <v>445763</v>
      </c>
      <c r="X47" s="571">
        <v>16686</v>
      </c>
      <c r="Y47" s="571">
        <v>11319</v>
      </c>
      <c r="Z47" s="571">
        <v>11580</v>
      </c>
      <c r="AA47" s="571">
        <v>120493</v>
      </c>
      <c r="AB47" s="571">
        <v>145623</v>
      </c>
      <c r="AC47" s="571">
        <v>116229</v>
      </c>
      <c r="AD47" s="571">
        <v>115465</v>
      </c>
      <c r="AE47" s="571">
        <v>111402</v>
      </c>
      <c r="AF47" s="571">
        <v>104070</v>
      </c>
      <c r="AG47" s="571">
        <v>96750</v>
      </c>
      <c r="AH47" s="571">
        <v>90617</v>
      </c>
      <c r="AI47" s="571">
        <v>87010</v>
      </c>
      <c r="AJ47" s="571">
        <v>66949</v>
      </c>
      <c r="AK47" s="571"/>
      <c r="AL47" s="522">
        <v>226384</v>
      </c>
      <c r="AM47" s="522">
        <v>254373</v>
      </c>
      <c r="AN47" s="522">
        <v>335816</v>
      </c>
      <c r="AO47" s="522">
        <v>379790</v>
      </c>
    </row>
    <row r="48" spans="1:41" x14ac:dyDescent="0.25">
      <c r="A48" t="s">
        <v>137</v>
      </c>
      <c r="J48" s="522">
        <v>24126</v>
      </c>
      <c r="N48" s="522">
        <v>83515</v>
      </c>
      <c r="Q48" s="522">
        <v>182856</v>
      </c>
      <c r="R48" s="522">
        <v>198699</v>
      </c>
      <c r="S48" s="522">
        <v>204567</v>
      </c>
      <c r="T48" s="522">
        <v>230013</v>
      </c>
      <c r="U48" s="571">
        <v>350662</v>
      </c>
      <c r="V48" s="571">
        <v>293889</v>
      </c>
      <c r="W48" s="571">
        <v>300124</v>
      </c>
      <c r="X48" s="571">
        <v>314732</v>
      </c>
      <c r="Y48" s="571">
        <v>432572</v>
      </c>
      <c r="Z48" s="571">
        <v>403769</v>
      </c>
      <c r="AA48" s="571">
        <v>374251</v>
      </c>
      <c r="AB48" s="571">
        <v>319426</v>
      </c>
      <c r="AC48" s="571">
        <v>383505</v>
      </c>
      <c r="AD48" s="571">
        <v>430944</v>
      </c>
      <c r="AE48" s="571">
        <v>462084</v>
      </c>
      <c r="AF48" s="571">
        <v>462179</v>
      </c>
      <c r="AG48" s="571">
        <v>626127</v>
      </c>
      <c r="AH48" s="571">
        <v>531248</v>
      </c>
      <c r="AI48" s="571">
        <v>527933</v>
      </c>
      <c r="AJ48" s="571">
        <v>539486</v>
      </c>
      <c r="AK48" s="571"/>
      <c r="AL48" s="522">
        <v>0</v>
      </c>
      <c r="AM48" s="522">
        <v>24126</v>
      </c>
      <c r="AN48" s="522">
        <v>83515</v>
      </c>
      <c r="AO48" s="522">
        <v>198699</v>
      </c>
    </row>
    <row r="49" spans="1:41" x14ac:dyDescent="0.25">
      <c r="A49" s="523" t="s">
        <v>134</v>
      </c>
      <c r="B49" s="524">
        <f>B46+B47+B48</f>
        <v>0</v>
      </c>
      <c r="C49" s="524">
        <f>C46+C47+C48</f>
        <v>0</v>
      </c>
      <c r="D49" s="524">
        <f>D46+D47+D48</f>
        <v>0</v>
      </c>
      <c r="E49" s="524">
        <f>E46+E47+E48</f>
        <v>0</v>
      </c>
      <c r="F49" s="524">
        <f>F46+F47+F48</f>
        <v>539267</v>
      </c>
      <c r="G49" s="524">
        <f t="shared" ref="G49:P49" si="12">G46+G47+G48</f>
        <v>0</v>
      </c>
      <c r="H49" s="524">
        <f t="shared" si="12"/>
        <v>0</v>
      </c>
      <c r="I49" s="524">
        <f t="shared" si="12"/>
        <v>0</v>
      </c>
      <c r="J49" s="524">
        <f t="shared" si="12"/>
        <v>584577</v>
      </c>
      <c r="K49" s="524">
        <f t="shared" si="12"/>
        <v>0</v>
      </c>
      <c r="L49" s="524">
        <f t="shared" si="12"/>
        <v>0</v>
      </c>
      <c r="M49" s="524">
        <f t="shared" si="12"/>
        <v>0</v>
      </c>
      <c r="N49" s="524">
        <f t="shared" si="12"/>
        <v>796672</v>
      </c>
      <c r="O49" s="524">
        <f t="shared" si="12"/>
        <v>0</v>
      </c>
      <c r="P49" s="524">
        <f t="shared" si="12"/>
        <v>0</v>
      </c>
      <c r="Q49" s="524">
        <f t="shared" ref="Q49:AE49" si="13">Q46+Q47+Q48</f>
        <v>630853</v>
      </c>
      <c r="R49" s="524">
        <f t="shared" si="13"/>
        <v>996033</v>
      </c>
      <c r="S49" s="524">
        <f t="shared" si="13"/>
        <v>1034339</v>
      </c>
      <c r="T49" s="524">
        <f t="shared" si="13"/>
        <v>1092477</v>
      </c>
      <c r="U49" s="524">
        <f t="shared" si="13"/>
        <v>1442961</v>
      </c>
      <c r="V49" s="524">
        <f t="shared" si="13"/>
        <v>1229898</v>
      </c>
      <c r="W49" s="524">
        <f t="shared" si="13"/>
        <v>1229167</v>
      </c>
      <c r="X49" s="524">
        <f t="shared" si="13"/>
        <v>497439</v>
      </c>
      <c r="Y49" s="524">
        <f t="shared" si="13"/>
        <v>623247</v>
      </c>
      <c r="Z49" s="524">
        <f t="shared" si="13"/>
        <v>564770</v>
      </c>
      <c r="AA49" s="524">
        <f t="shared" si="13"/>
        <v>504349</v>
      </c>
      <c r="AB49" s="524">
        <f t="shared" si="13"/>
        <v>475835</v>
      </c>
      <c r="AC49" s="524">
        <f t="shared" si="13"/>
        <v>506420</v>
      </c>
      <c r="AD49" s="524">
        <f t="shared" si="13"/>
        <v>552968</v>
      </c>
      <c r="AE49" s="524">
        <f t="shared" si="13"/>
        <v>579668</v>
      </c>
      <c r="AF49" s="524">
        <f>AF46+AF47+AF48</f>
        <v>572398</v>
      </c>
      <c r="AG49" s="524">
        <f>AG46+AG47+AG48</f>
        <v>728857</v>
      </c>
      <c r="AH49" s="524">
        <f>AH46+AH47+AH48</f>
        <v>628160</v>
      </c>
      <c r="AI49" s="524">
        <f>AI46+AI47+AI48</f>
        <v>623170</v>
      </c>
      <c r="AJ49" s="524">
        <f>AJ46+AJ47+AJ48</f>
        <v>615360</v>
      </c>
      <c r="AK49" s="524"/>
      <c r="AL49" s="522">
        <v>539267</v>
      </c>
      <c r="AM49" s="522">
        <v>584577</v>
      </c>
      <c r="AN49" s="522">
        <v>796672</v>
      </c>
      <c r="AO49" s="522">
        <v>996033</v>
      </c>
    </row>
    <row r="50" spans="1:41" x14ac:dyDescent="0.25">
      <c r="A50" t="s">
        <v>135</v>
      </c>
      <c r="Q50" s="522">
        <f>SUM(Q47:Q48)</f>
        <v>630853</v>
      </c>
      <c r="R50" s="522">
        <f>SUM(R47:R48)</f>
        <v>578489</v>
      </c>
      <c r="S50" s="522">
        <f>SUM(S47:S48)</f>
        <v>600125</v>
      </c>
      <c r="T50" s="522">
        <f>SUM(T47:T48)</f>
        <v>641334</v>
      </c>
      <c r="U50" s="522">
        <f t="shared" ref="U50:Y50" si="14">SUM(U47:U48)</f>
        <v>876483</v>
      </c>
      <c r="V50" s="522">
        <f t="shared" si="14"/>
        <v>742974</v>
      </c>
      <c r="W50" s="522">
        <f t="shared" si="14"/>
        <v>745887</v>
      </c>
      <c r="X50" s="522">
        <f t="shared" si="14"/>
        <v>331418</v>
      </c>
      <c r="Y50" s="522">
        <f t="shared" si="14"/>
        <v>443891</v>
      </c>
      <c r="Z50" s="522">
        <f t="shared" ref="Z50:AE50" si="15">SUM(Z47:Z48)</f>
        <v>415349</v>
      </c>
      <c r="AA50" s="522">
        <f t="shared" si="15"/>
        <v>494744</v>
      </c>
      <c r="AB50" s="522">
        <f t="shared" si="15"/>
        <v>465049</v>
      </c>
      <c r="AC50" s="522">
        <f t="shared" si="15"/>
        <v>499734</v>
      </c>
      <c r="AD50" s="522">
        <f t="shared" si="15"/>
        <v>546409</v>
      </c>
      <c r="AE50" s="522">
        <f t="shared" si="15"/>
        <v>573486</v>
      </c>
      <c r="AF50" s="522">
        <f>SUM(AF47:AF48)</f>
        <v>566249</v>
      </c>
      <c r="AG50" s="522">
        <f>SUM(AG47:AG48)</f>
        <v>722877</v>
      </c>
      <c r="AH50" s="522">
        <f>SUM(AH47:AH48)</f>
        <v>621865</v>
      </c>
      <c r="AI50" s="522">
        <f>SUM(AI47:AI48)</f>
        <v>614943</v>
      </c>
      <c r="AJ50" s="522">
        <f>SUM(AJ47:AJ48)</f>
        <v>606435</v>
      </c>
      <c r="AK50" s="522"/>
      <c r="AL50" s="522">
        <v>0</v>
      </c>
      <c r="AM50" s="522">
        <v>0</v>
      </c>
      <c r="AN50" s="522">
        <v>0</v>
      </c>
      <c r="AO50" s="522">
        <v>578489</v>
      </c>
    </row>
    <row r="51" spans="1:41" x14ac:dyDescent="0.25">
      <c r="A51" t="s">
        <v>157</v>
      </c>
      <c r="Q51" s="522"/>
      <c r="Z51">
        <v>52578</v>
      </c>
      <c r="AA51" s="522">
        <v>53101</v>
      </c>
      <c r="AB51" s="522">
        <v>53650</v>
      </c>
      <c r="AC51" s="522">
        <v>53821</v>
      </c>
      <c r="AD51" s="571">
        <v>56116</v>
      </c>
      <c r="AE51" s="571">
        <v>57732</v>
      </c>
      <c r="AF51" s="571">
        <v>57478</v>
      </c>
      <c r="AG51" s="571">
        <v>58929</v>
      </c>
      <c r="AH51" s="571">
        <v>61006</v>
      </c>
      <c r="AI51" s="571">
        <v>60698</v>
      </c>
      <c r="AJ51" s="571">
        <v>60319</v>
      </c>
      <c r="AK51" s="571"/>
    </row>
    <row r="52" spans="1:41" x14ac:dyDescent="0.25">
      <c r="Q52" s="522"/>
      <c r="S52" s="714">
        <v>2018</v>
      </c>
      <c r="T52" s="714"/>
      <c r="U52" s="714"/>
      <c r="V52" s="714"/>
      <c r="W52" s="580">
        <v>2019</v>
      </c>
      <c r="X52" s="580"/>
      <c r="Y52" s="585"/>
      <c r="Z52" s="585"/>
      <c r="AA52" s="585"/>
      <c r="AB52" s="585"/>
    </row>
    <row r="53" spans="1:41" x14ac:dyDescent="0.25">
      <c r="A53" s="521" t="s">
        <v>158</v>
      </c>
      <c r="B53" s="521"/>
      <c r="C53" s="521"/>
      <c r="D53" s="521"/>
      <c r="E53" s="521"/>
      <c r="F53" s="521"/>
      <c r="G53" s="521"/>
      <c r="H53" s="521"/>
      <c r="I53" s="521"/>
      <c r="J53" s="521"/>
      <c r="K53" s="521"/>
      <c r="L53" s="521"/>
      <c r="M53" s="521"/>
      <c r="N53" s="521"/>
      <c r="O53" s="521"/>
      <c r="P53" s="521"/>
      <c r="Q53" s="558"/>
      <c r="R53" s="521"/>
      <c r="S53" s="568" t="s">
        <v>48</v>
      </c>
      <c r="T53" s="568" t="s">
        <v>49</v>
      </c>
      <c r="U53" s="568" t="s">
        <v>45</v>
      </c>
      <c r="V53" s="568" t="s">
        <v>47</v>
      </c>
      <c r="W53" s="568" t="s">
        <v>48</v>
      </c>
      <c r="X53" s="568" t="s">
        <v>49</v>
      </c>
      <c r="Y53" s="568" t="s">
        <v>45</v>
      </c>
      <c r="Z53" s="592"/>
      <c r="AA53" s="595"/>
      <c r="AB53" s="595"/>
    </row>
    <row r="54" spans="1:41" x14ac:dyDescent="0.25">
      <c r="A54" t="s">
        <v>139</v>
      </c>
      <c r="Q54" s="522">
        <v>0</v>
      </c>
      <c r="R54" s="522">
        <v>5600</v>
      </c>
      <c r="S54" s="522">
        <v>1112</v>
      </c>
      <c r="T54" s="522">
        <v>1112</v>
      </c>
      <c r="U54" s="522">
        <v>903</v>
      </c>
      <c r="V54" s="522">
        <v>800</v>
      </c>
      <c r="W54" s="522">
        <v>850</v>
      </c>
      <c r="X54" s="522">
        <v>390</v>
      </c>
      <c r="Y54" s="522">
        <v>390</v>
      </c>
      <c r="Z54" s="593"/>
      <c r="AA54" s="593"/>
      <c r="AB54" s="593"/>
      <c r="AL54" s="522">
        <v>0</v>
      </c>
      <c r="AM54" s="522">
        <v>0</v>
      </c>
      <c r="AN54" s="522">
        <v>0</v>
      </c>
      <c r="AO54" s="522">
        <v>5600</v>
      </c>
    </row>
    <row r="55" spans="1:41" x14ac:dyDescent="0.25">
      <c r="A55" t="s">
        <v>138</v>
      </c>
      <c r="Q55" s="522">
        <v>164506</v>
      </c>
      <c r="R55" s="522">
        <v>132481</v>
      </c>
      <c r="S55" s="522">
        <v>128513</v>
      </c>
      <c r="T55" s="522">
        <v>123272</v>
      </c>
      <c r="U55" s="522">
        <v>116953</v>
      </c>
      <c r="V55" s="522">
        <v>111761</v>
      </c>
      <c r="W55" s="522">
        <v>128492</v>
      </c>
      <c r="X55" s="522">
        <v>168678</v>
      </c>
      <c r="Y55" s="522">
        <v>156678</v>
      </c>
      <c r="Z55" s="593"/>
      <c r="AA55" s="593"/>
      <c r="AB55" s="593"/>
      <c r="AL55" s="522">
        <v>0</v>
      </c>
      <c r="AM55" s="522">
        <v>0</v>
      </c>
      <c r="AN55" s="522">
        <v>0</v>
      </c>
      <c r="AO55" s="522">
        <v>132481</v>
      </c>
    </row>
    <row r="56" spans="1:41" x14ac:dyDescent="0.25">
      <c r="A56" t="s">
        <v>137</v>
      </c>
      <c r="Q56" s="522">
        <v>6764</v>
      </c>
      <c r="R56" s="522">
        <v>54840</v>
      </c>
      <c r="S56">
        <v>57187</v>
      </c>
      <c r="T56">
        <v>67232</v>
      </c>
      <c r="U56">
        <v>98108</v>
      </c>
      <c r="V56">
        <v>115993</v>
      </c>
      <c r="W56">
        <v>109594</v>
      </c>
      <c r="X56" s="522">
        <v>64608</v>
      </c>
      <c r="Y56" s="522">
        <v>64608</v>
      </c>
      <c r="Z56" s="593"/>
      <c r="AA56" s="593"/>
      <c r="AB56" s="593"/>
      <c r="AL56" s="522">
        <v>0</v>
      </c>
      <c r="AM56" s="522">
        <v>0</v>
      </c>
      <c r="AN56" s="522">
        <v>0</v>
      </c>
      <c r="AO56" s="522">
        <v>54840</v>
      </c>
    </row>
    <row r="57" spans="1:41" x14ac:dyDescent="0.25">
      <c r="A57" s="523" t="s">
        <v>134</v>
      </c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3"/>
      <c r="M57" s="523"/>
      <c r="N57" s="523"/>
      <c r="O57" s="523"/>
      <c r="P57" s="523"/>
      <c r="Q57" s="524">
        <f>Q54+Q55+Q56</f>
        <v>171270</v>
      </c>
      <c r="R57" s="531">
        <f>R54+R55+R56</f>
        <v>192921</v>
      </c>
      <c r="S57" s="531">
        <f>S54+S55+S56</f>
        <v>186812</v>
      </c>
      <c r="T57" s="531">
        <f>T54+T55+T56</f>
        <v>191616</v>
      </c>
      <c r="U57" s="531">
        <f t="shared" ref="U57:Y57" si="16">U54+U55+U56</f>
        <v>215964</v>
      </c>
      <c r="V57" s="531">
        <f t="shared" si="16"/>
        <v>228554</v>
      </c>
      <c r="W57" s="531">
        <f t="shared" si="16"/>
        <v>238936</v>
      </c>
      <c r="X57" s="531">
        <f t="shared" si="16"/>
        <v>233676</v>
      </c>
      <c r="Y57" s="531">
        <f t="shared" si="16"/>
        <v>221676</v>
      </c>
      <c r="Z57" s="593"/>
      <c r="AA57" s="593"/>
      <c r="AB57" s="593"/>
      <c r="AL57" s="522">
        <v>0</v>
      </c>
      <c r="AM57" s="522">
        <v>0</v>
      </c>
      <c r="AN57" s="522">
        <v>0</v>
      </c>
      <c r="AO57" s="522">
        <v>192921</v>
      </c>
    </row>
    <row r="58" spans="1:41" x14ac:dyDescent="0.25">
      <c r="A58" t="s">
        <v>135</v>
      </c>
      <c r="Q58" s="522">
        <f>SUM(Q55:Q56)</f>
        <v>171270</v>
      </c>
      <c r="R58" s="522">
        <f>SUM(R55:R56)</f>
        <v>187321</v>
      </c>
      <c r="S58" s="522">
        <f>SUM(S55:S56)</f>
        <v>185700</v>
      </c>
      <c r="T58" s="522">
        <f>SUM(T55:T56)</f>
        <v>190504</v>
      </c>
      <c r="U58" s="522">
        <f t="shared" ref="U58:Y58" si="17">SUM(U55:U56)</f>
        <v>215061</v>
      </c>
      <c r="V58" s="522">
        <f t="shared" si="17"/>
        <v>227754</v>
      </c>
      <c r="W58" s="522">
        <f t="shared" si="17"/>
        <v>238086</v>
      </c>
      <c r="X58" s="522">
        <f t="shared" si="17"/>
        <v>233286</v>
      </c>
      <c r="Y58" s="522">
        <f t="shared" si="17"/>
        <v>221286</v>
      </c>
      <c r="Z58" s="593"/>
      <c r="AA58" s="593"/>
      <c r="AB58" s="593"/>
      <c r="AL58" s="522">
        <v>0</v>
      </c>
      <c r="AM58" s="522">
        <v>0</v>
      </c>
      <c r="AN58" s="522">
        <v>0</v>
      </c>
      <c r="AO58" s="522">
        <v>187321</v>
      </c>
    </row>
    <row r="59" spans="1:41" x14ac:dyDescent="0.25">
      <c r="A59" t="s">
        <v>157</v>
      </c>
      <c r="Q59" s="522"/>
      <c r="R59" s="522"/>
      <c r="T59" s="522">
        <v>1869</v>
      </c>
      <c r="U59">
        <v>1869</v>
      </c>
      <c r="V59">
        <v>1869</v>
      </c>
      <c r="Z59" s="594"/>
      <c r="AA59" s="594"/>
      <c r="AB59" s="594"/>
      <c r="AL59" s="522">
        <v>0</v>
      </c>
      <c r="AM59" s="522">
        <v>0</v>
      </c>
      <c r="AN59" s="522">
        <v>0</v>
      </c>
      <c r="AO59" s="522">
        <v>0</v>
      </c>
    </row>
    <row r="60" spans="1:41" x14ac:dyDescent="0.25">
      <c r="Q60" s="522"/>
      <c r="R60" s="522"/>
      <c r="S60" s="714">
        <v>2018</v>
      </c>
      <c r="T60" s="714"/>
      <c r="U60" s="714"/>
      <c r="V60" s="714"/>
      <c r="W60" s="580">
        <v>2019</v>
      </c>
      <c r="X60" s="580"/>
      <c r="Y60" s="588"/>
      <c r="Z60" s="595"/>
      <c r="AA60" s="595"/>
      <c r="AB60" s="595"/>
      <c r="AI60">
        <v>2022</v>
      </c>
      <c r="AL60" s="522">
        <v>0</v>
      </c>
      <c r="AM60" s="522">
        <v>0</v>
      </c>
      <c r="AN60" s="522">
        <v>0</v>
      </c>
      <c r="AO60" s="522">
        <v>0</v>
      </c>
    </row>
    <row r="61" spans="1:41" x14ac:dyDescent="0.25">
      <c r="A61" s="521" t="s">
        <v>159</v>
      </c>
      <c r="B61" s="521"/>
      <c r="C61" s="521"/>
      <c r="D61" s="521"/>
      <c r="E61" s="521"/>
      <c r="F61" s="521"/>
      <c r="G61" s="521"/>
      <c r="H61" s="521"/>
      <c r="I61" s="521"/>
      <c r="J61" s="521"/>
      <c r="K61" s="521"/>
      <c r="L61" s="521"/>
      <c r="M61" s="521"/>
      <c r="N61" s="521"/>
      <c r="O61" s="521"/>
      <c r="P61" s="521"/>
      <c r="Q61" s="558"/>
      <c r="R61" s="558"/>
      <c r="S61" s="568" t="s">
        <v>48</v>
      </c>
      <c r="T61" s="568" t="s">
        <v>49</v>
      </c>
      <c r="U61" s="568" t="s">
        <v>45</v>
      </c>
      <c r="V61" s="568" t="s">
        <v>47</v>
      </c>
      <c r="W61" s="568" t="s">
        <v>48</v>
      </c>
      <c r="X61" s="568" t="s">
        <v>49</v>
      </c>
      <c r="Y61" s="568" t="s">
        <v>45</v>
      </c>
      <c r="Z61" s="568" t="s">
        <v>47</v>
      </c>
      <c r="AA61" s="604" t="s">
        <v>43</v>
      </c>
      <c r="AB61" s="604"/>
      <c r="AC61" s="521"/>
      <c r="AD61" s="521"/>
      <c r="AE61" s="521"/>
      <c r="AF61" s="521" t="s">
        <v>49</v>
      </c>
      <c r="AG61" s="521" t="s">
        <v>45</v>
      </c>
      <c r="AH61" s="521" t="s">
        <v>47</v>
      </c>
      <c r="AI61" s="521" t="s">
        <v>48</v>
      </c>
      <c r="AJ61" s="521" t="s">
        <v>49</v>
      </c>
      <c r="AK61" s="521"/>
      <c r="AL61" s="522">
        <v>0</v>
      </c>
      <c r="AM61" s="522">
        <v>0</v>
      </c>
      <c r="AN61" s="522">
        <v>0</v>
      </c>
      <c r="AO61" s="522">
        <v>0</v>
      </c>
    </row>
    <row r="62" spans="1:41" x14ac:dyDescent="0.25">
      <c r="A62" t="s">
        <v>139</v>
      </c>
      <c r="R62" s="522"/>
      <c r="AL62" s="522">
        <v>0</v>
      </c>
      <c r="AM62" s="522">
        <v>0</v>
      </c>
      <c r="AN62" s="522">
        <v>0</v>
      </c>
      <c r="AO62" s="522">
        <v>0</v>
      </c>
    </row>
    <row r="63" spans="1:41" x14ac:dyDescent="0.25">
      <c r="A63" t="s">
        <v>138</v>
      </c>
      <c r="Q63" s="522"/>
      <c r="R63" s="522"/>
      <c r="AL63" s="522">
        <v>0</v>
      </c>
      <c r="AM63" s="522">
        <v>0</v>
      </c>
      <c r="AN63" s="522">
        <v>0</v>
      </c>
      <c r="AO63" s="522">
        <v>0</v>
      </c>
    </row>
    <row r="64" spans="1:41" x14ac:dyDescent="0.25">
      <c r="A64" t="s">
        <v>137</v>
      </c>
      <c r="Q64" s="522"/>
      <c r="R64" s="522"/>
      <c r="AL64" s="522">
        <v>0</v>
      </c>
      <c r="AM64" s="522">
        <v>0</v>
      </c>
      <c r="AN64" s="522">
        <v>0</v>
      </c>
      <c r="AO64" s="522">
        <v>0</v>
      </c>
    </row>
    <row r="65" spans="1:41" x14ac:dyDescent="0.25">
      <c r="A65" s="523" t="s">
        <v>134</v>
      </c>
      <c r="B65" s="523"/>
      <c r="C65" s="523"/>
      <c r="D65" s="523"/>
      <c r="E65" s="523"/>
      <c r="F65" s="523"/>
      <c r="G65" s="523"/>
      <c r="H65" s="523"/>
      <c r="I65" s="523"/>
      <c r="J65" s="523"/>
      <c r="K65" s="523"/>
      <c r="L65" s="523"/>
      <c r="M65" s="523"/>
      <c r="N65" s="523"/>
      <c r="O65" s="523"/>
      <c r="P65" s="523"/>
      <c r="Q65" s="524">
        <f>Q67+Q63+Q64</f>
        <v>38465</v>
      </c>
      <c r="R65" s="524">
        <f>R67+R63+R64</f>
        <v>38552</v>
      </c>
      <c r="S65" s="524">
        <f>S67+S63+S64</f>
        <v>38639</v>
      </c>
      <c r="T65" s="524">
        <f>T67+T63+T64</f>
        <v>38807</v>
      </c>
      <c r="U65" s="397"/>
      <c r="V65" s="581">
        <v>38992</v>
      </c>
      <c r="W65" s="522">
        <v>39081</v>
      </c>
      <c r="X65" s="522">
        <v>39203</v>
      </c>
      <c r="Y65" s="522">
        <v>39783</v>
      </c>
      <c r="AL65" s="522">
        <v>0</v>
      </c>
      <c r="AM65" s="522">
        <v>0</v>
      </c>
      <c r="AN65" s="522">
        <v>0</v>
      </c>
      <c r="AO65" s="522">
        <v>38552</v>
      </c>
    </row>
    <row r="66" spans="1:41" x14ac:dyDescent="0.25">
      <c r="A66" t="s">
        <v>135</v>
      </c>
      <c r="Q66" s="522">
        <f>SUM(Q63:Q64)</f>
        <v>0</v>
      </c>
      <c r="AL66" s="522">
        <v>0</v>
      </c>
      <c r="AM66" s="522">
        <v>0</v>
      </c>
      <c r="AN66" s="522">
        <v>0</v>
      </c>
      <c r="AO66" s="522">
        <v>0</v>
      </c>
    </row>
    <row r="67" spans="1:41" ht="15.75" x14ac:dyDescent="0.25">
      <c r="A67" t="s">
        <v>157</v>
      </c>
      <c r="N67" s="522">
        <v>37680</v>
      </c>
      <c r="Q67" s="522">
        <v>38465</v>
      </c>
      <c r="R67" s="522">
        <v>38552</v>
      </c>
      <c r="S67">
        <v>38639</v>
      </c>
      <c r="T67">
        <v>38807</v>
      </c>
      <c r="Z67" s="522">
        <v>39873</v>
      </c>
      <c r="AA67" s="522">
        <v>39991</v>
      </c>
      <c r="AB67" s="522">
        <v>40097</v>
      </c>
      <c r="AD67" s="622">
        <v>40559</v>
      </c>
      <c r="AE67" s="625"/>
      <c r="AF67" s="625">
        <v>42301</v>
      </c>
      <c r="AG67" s="625">
        <v>43182</v>
      </c>
      <c r="AH67" s="625">
        <v>43489</v>
      </c>
      <c r="AI67" s="625">
        <v>44207</v>
      </c>
      <c r="AJ67" s="625">
        <v>44531</v>
      </c>
      <c r="AK67" s="625"/>
      <c r="AL67" s="623"/>
      <c r="AM67" s="522">
        <v>0</v>
      </c>
      <c r="AN67" s="522">
        <v>37680</v>
      </c>
      <c r="AO67" s="522">
        <v>38552</v>
      </c>
    </row>
    <row r="68" spans="1:41" x14ac:dyDescent="0.25">
      <c r="Q68" s="522"/>
      <c r="R68" s="522"/>
      <c r="S68" s="714">
        <v>2018</v>
      </c>
      <c r="T68" s="714"/>
      <c r="U68" s="714"/>
      <c r="V68" s="714"/>
      <c r="W68" s="580">
        <v>2019</v>
      </c>
      <c r="X68" s="580"/>
      <c r="Y68" s="588"/>
      <c r="Z68" s="585"/>
      <c r="AA68" s="585"/>
      <c r="AB68" s="585"/>
      <c r="AL68" s="522">
        <v>0</v>
      </c>
      <c r="AM68" s="522">
        <v>0</v>
      </c>
      <c r="AN68" s="522">
        <v>0</v>
      </c>
      <c r="AO68" s="522">
        <v>0</v>
      </c>
    </row>
    <row r="69" spans="1:41" x14ac:dyDescent="0.25">
      <c r="A69" s="521" t="s">
        <v>160</v>
      </c>
      <c r="B69" s="521"/>
      <c r="C69" s="521"/>
      <c r="D69" s="521"/>
      <c r="E69" s="521"/>
      <c r="F69" s="521"/>
      <c r="G69" s="521"/>
      <c r="H69" s="521"/>
      <c r="I69" s="521"/>
      <c r="J69" s="521"/>
      <c r="K69" s="521"/>
      <c r="L69" s="521"/>
      <c r="M69" s="521"/>
      <c r="N69" s="521"/>
      <c r="O69" s="521"/>
      <c r="P69" s="521"/>
      <c r="Q69" s="558"/>
      <c r="R69" s="558"/>
      <c r="S69" s="568" t="s">
        <v>48</v>
      </c>
      <c r="T69" s="568" t="s">
        <v>49</v>
      </c>
      <c r="U69" s="568" t="s">
        <v>45</v>
      </c>
      <c r="V69" s="568" t="s">
        <v>47</v>
      </c>
      <c r="W69" s="568" t="s">
        <v>48</v>
      </c>
      <c r="X69" s="568" t="s">
        <v>49</v>
      </c>
      <c r="Y69" s="568" t="s">
        <v>45</v>
      </c>
      <c r="Z69" s="568" t="s">
        <v>47</v>
      </c>
      <c r="AA69" s="604" t="s">
        <v>43</v>
      </c>
      <c r="AB69" s="604" t="s">
        <v>49</v>
      </c>
      <c r="AC69" s="618" t="s">
        <v>45</v>
      </c>
      <c r="AD69" s="618" t="s">
        <v>47</v>
      </c>
      <c r="AE69" s="618"/>
      <c r="AF69" s="618" t="s">
        <v>49</v>
      </c>
      <c r="AG69" s="618" t="s">
        <v>45</v>
      </c>
      <c r="AH69" s="618" t="s">
        <v>47</v>
      </c>
      <c r="AI69" s="618" t="s">
        <v>48</v>
      </c>
      <c r="AJ69" s="618" t="s">
        <v>49</v>
      </c>
      <c r="AK69" s="618"/>
      <c r="AL69" s="522">
        <v>0</v>
      </c>
      <c r="AM69" s="522">
        <v>0</v>
      </c>
      <c r="AN69" s="522">
        <v>0</v>
      </c>
      <c r="AO69" s="522">
        <v>0</v>
      </c>
    </row>
    <row r="70" spans="1:41" x14ac:dyDescent="0.25">
      <c r="A70" t="s">
        <v>139</v>
      </c>
      <c r="Q70" s="522">
        <v>18</v>
      </c>
      <c r="R70" s="522">
        <v>4796</v>
      </c>
      <c r="S70">
        <v>4398</v>
      </c>
      <c r="T70">
        <v>5712</v>
      </c>
      <c r="U70">
        <v>7256</v>
      </c>
      <c r="V70">
        <v>7120</v>
      </c>
      <c r="W70">
        <v>7523</v>
      </c>
      <c r="X70" s="522">
        <v>7212</v>
      </c>
      <c r="Y70" s="522">
        <v>7053</v>
      </c>
      <c r="Z70" s="522">
        <v>6817</v>
      </c>
      <c r="AA70" s="522">
        <v>6679</v>
      </c>
      <c r="AB70" s="522">
        <v>6198</v>
      </c>
      <c r="AC70" s="522">
        <v>5853</v>
      </c>
      <c r="AD70" s="522">
        <v>5626</v>
      </c>
      <c r="AE70" s="522">
        <v>5396</v>
      </c>
      <c r="AF70" s="522">
        <v>5242</v>
      </c>
      <c r="AG70" s="522">
        <v>5068</v>
      </c>
      <c r="AH70" s="522">
        <v>5383</v>
      </c>
      <c r="AI70" s="522">
        <v>5229</v>
      </c>
      <c r="AJ70" s="522">
        <v>5157</v>
      </c>
      <c r="AK70" s="522"/>
      <c r="AL70" s="522">
        <v>0</v>
      </c>
      <c r="AM70" s="522">
        <v>0</v>
      </c>
      <c r="AN70" s="522">
        <v>0</v>
      </c>
      <c r="AO70" s="522">
        <v>4796</v>
      </c>
    </row>
    <row r="71" spans="1:41" x14ac:dyDescent="0.25">
      <c r="A71" t="s">
        <v>138</v>
      </c>
      <c r="Q71" s="522">
        <f>8056+3068+167</f>
        <v>11291</v>
      </c>
      <c r="R71" s="522">
        <v>10332</v>
      </c>
      <c r="S71">
        <v>9566</v>
      </c>
      <c r="T71">
        <v>8846</v>
      </c>
      <c r="U71">
        <v>8004</v>
      </c>
      <c r="V71">
        <v>7348</v>
      </c>
      <c r="W71">
        <v>6230</v>
      </c>
      <c r="X71" s="522">
        <v>6069</v>
      </c>
      <c r="Y71" s="522">
        <v>5169</v>
      </c>
      <c r="Z71" s="522">
        <v>4572</v>
      </c>
      <c r="AA71" s="522">
        <v>4090</v>
      </c>
      <c r="AB71" s="522">
        <v>3585</v>
      </c>
      <c r="AC71" s="522">
        <v>2976</v>
      </c>
      <c r="AD71" s="522">
        <v>2539</v>
      </c>
      <c r="AE71" s="522">
        <v>2220</v>
      </c>
      <c r="AF71" s="522">
        <v>1968</v>
      </c>
      <c r="AG71" s="522">
        <v>1773</v>
      </c>
      <c r="AH71" s="522">
        <v>1589</v>
      </c>
      <c r="AI71" s="522">
        <v>1434</v>
      </c>
      <c r="AJ71" s="522">
        <v>1211</v>
      </c>
      <c r="AK71" s="522"/>
      <c r="AL71" s="522">
        <v>0</v>
      </c>
      <c r="AM71" s="522">
        <v>0</v>
      </c>
      <c r="AN71" s="522">
        <v>0</v>
      </c>
      <c r="AO71" s="522">
        <v>10332</v>
      </c>
    </row>
    <row r="72" spans="1:41" x14ac:dyDescent="0.25">
      <c r="A72" t="s">
        <v>137</v>
      </c>
      <c r="Q72" s="522">
        <f>3708+11953+115</f>
        <v>15776</v>
      </c>
      <c r="R72" s="522">
        <v>16050</v>
      </c>
      <c r="S72">
        <v>16748</v>
      </c>
      <c r="T72">
        <v>16250</v>
      </c>
      <c r="U72">
        <v>15462</v>
      </c>
      <c r="V72">
        <v>16122</v>
      </c>
      <c r="W72">
        <v>16523</v>
      </c>
      <c r="X72" s="522">
        <v>18680</v>
      </c>
      <c r="Y72" s="522">
        <v>19180</v>
      </c>
      <c r="Z72" s="522">
        <v>20248</v>
      </c>
      <c r="AA72" s="522">
        <v>20735</v>
      </c>
      <c r="AB72" s="522">
        <v>21452</v>
      </c>
      <c r="AC72" s="522">
        <v>21889</v>
      </c>
      <c r="AD72" s="522">
        <v>22530</v>
      </c>
      <c r="AE72" s="522">
        <v>22957</v>
      </c>
      <c r="AF72" s="522">
        <v>23539</v>
      </c>
      <c r="AG72" s="522">
        <v>23721</v>
      </c>
      <c r="AH72" s="522">
        <v>23590</v>
      </c>
      <c r="AI72" s="522">
        <v>23808</v>
      </c>
      <c r="AJ72" s="522">
        <v>21486</v>
      </c>
      <c r="AK72" s="522"/>
      <c r="AL72" s="522">
        <v>0</v>
      </c>
      <c r="AM72" s="522">
        <v>0</v>
      </c>
      <c r="AN72" s="522">
        <v>0</v>
      </c>
      <c r="AO72" s="522">
        <v>16050</v>
      </c>
    </row>
    <row r="73" spans="1:41" x14ac:dyDescent="0.25">
      <c r="A73" s="523" t="s">
        <v>134</v>
      </c>
      <c r="B73" s="523"/>
      <c r="C73" s="523"/>
      <c r="D73" s="523"/>
      <c r="E73" s="523"/>
      <c r="F73" s="523"/>
      <c r="G73" s="523"/>
      <c r="H73" s="523"/>
      <c r="I73" s="523"/>
      <c r="J73" s="523"/>
      <c r="K73" s="523"/>
      <c r="L73" s="523"/>
      <c r="M73" s="523"/>
      <c r="N73" s="523"/>
      <c r="O73" s="523"/>
      <c r="P73" s="523"/>
      <c r="Q73" s="524">
        <f t="shared" ref="Q73:W73" si="18">Q70+Q71+Q72</f>
        <v>27085</v>
      </c>
      <c r="R73" s="531">
        <f t="shared" si="18"/>
        <v>31178</v>
      </c>
      <c r="S73" s="531">
        <f t="shared" si="18"/>
        <v>30712</v>
      </c>
      <c r="T73" s="531">
        <f t="shared" si="18"/>
        <v>30808</v>
      </c>
      <c r="U73" s="531">
        <f t="shared" si="18"/>
        <v>30722</v>
      </c>
      <c r="V73" s="531">
        <f t="shared" si="18"/>
        <v>30590</v>
      </c>
      <c r="W73" s="531">
        <f t="shared" si="18"/>
        <v>30276</v>
      </c>
      <c r="X73" s="531">
        <f t="shared" ref="X73:AJ73" si="19">X70+X71+X72</f>
        <v>31961</v>
      </c>
      <c r="Y73" s="531">
        <f t="shared" si="19"/>
        <v>31402</v>
      </c>
      <c r="Z73" s="531">
        <f t="shared" si="19"/>
        <v>31637</v>
      </c>
      <c r="AA73" s="531">
        <f t="shared" si="19"/>
        <v>31504</v>
      </c>
      <c r="AB73" s="531">
        <f t="shared" si="19"/>
        <v>31235</v>
      </c>
      <c r="AC73" s="531">
        <f t="shared" si="19"/>
        <v>30718</v>
      </c>
      <c r="AD73" s="531">
        <f t="shared" si="19"/>
        <v>30695</v>
      </c>
      <c r="AE73" s="531">
        <f t="shared" si="19"/>
        <v>30573</v>
      </c>
      <c r="AF73" s="531">
        <f t="shared" si="19"/>
        <v>30749</v>
      </c>
      <c r="AG73" s="531">
        <f t="shared" si="19"/>
        <v>30562</v>
      </c>
      <c r="AH73" s="531">
        <f t="shared" si="19"/>
        <v>30562</v>
      </c>
      <c r="AI73" s="531">
        <f t="shared" si="19"/>
        <v>30471</v>
      </c>
      <c r="AJ73" s="531">
        <f t="shared" si="19"/>
        <v>27854</v>
      </c>
      <c r="AK73" s="531"/>
      <c r="AL73" s="522">
        <v>0</v>
      </c>
      <c r="AM73" s="522">
        <v>0</v>
      </c>
      <c r="AN73" s="522">
        <v>0</v>
      </c>
      <c r="AO73" s="522">
        <v>31178</v>
      </c>
    </row>
    <row r="74" spans="1:41" x14ac:dyDescent="0.25">
      <c r="A74" t="s">
        <v>135</v>
      </c>
      <c r="Q74" s="522">
        <f t="shared" ref="Q74:Y74" si="20">Q72+Q71</f>
        <v>27067</v>
      </c>
      <c r="R74" s="522">
        <f t="shared" si="20"/>
        <v>26382</v>
      </c>
      <c r="S74" s="522">
        <f t="shared" si="20"/>
        <v>26314</v>
      </c>
      <c r="T74" s="522">
        <f t="shared" si="20"/>
        <v>25096</v>
      </c>
      <c r="U74" s="522">
        <f t="shared" si="20"/>
        <v>23466</v>
      </c>
      <c r="V74" s="522">
        <f t="shared" si="20"/>
        <v>23470</v>
      </c>
      <c r="W74" s="522">
        <f t="shared" si="20"/>
        <v>22753</v>
      </c>
      <c r="X74" s="522">
        <f t="shared" si="20"/>
        <v>24749</v>
      </c>
      <c r="Y74" s="522">
        <f t="shared" si="20"/>
        <v>24349</v>
      </c>
      <c r="Z74" s="522">
        <f t="shared" ref="Z74:AJ74" si="21">Z72+Z71</f>
        <v>24820</v>
      </c>
      <c r="AA74" s="522">
        <f t="shared" si="21"/>
        <v>24825</v>
      </c>
      <c r="AB74" s="522">
        <f t="shared" si="21"/>
        <v>25037</v>
      </c>
      <c r="AC74" s="522">
        <f t="shared" si="21"/>
        <v>24865</v>
      </c>
      <c r="AD74" s="522">
        <f t="shared" si="21"/>
        <v>25069</v>
      </c>
      <c r="AE74" s="522">
        <f t="shared" si="21"/>
        <v>25177</v>
      </c>
      <c r="AF74" s="522">
        <f t="shared" si="21"/>
        <v>25507</v>
      </c>
      <c r="AG74" s="522">
        <f t="shared" si="21"/>
        <v>25494</v>
      </c>
      <c r="AH74" s="522">
        <f t="shared" si="21"/>
        <v>25179</v>
      </c>
      <c r="AI74" s="522">
        <f t="shared" si="21"/>
        <v>25242</v>
      </c>
      <c r="AJ74" s="522">
        <f t="shared" si="21"/>
        <v>22697</v>
      </c>
      <c r="AK74" s="522"/>
      <c r="AL74" s="522">
        <v>0</v>
      </c>
      <c r="AM74" s="522">
        <v>0</v>
      </c>
      <c r="AN74" s="522">
        <v>0</v>
      </c>
      <c r="AO74" s="522">
        <v>26382</v>
      </c>
    </row>
    <row r="75" spans="1:41" x14ac:dyDescent="0.25">
      <c r="A75" s="532" t="s">
        <v>128</v>
      </c>
      <c r="B75" s="532"/>
      <c r="C75" s="532"/>
      <c r="D75" s="532"/>
      <c r="E75" s="532"/>
      <c r="F75" s="532"/>
      <c r="R75" s="522">
        <v>80</v>
      </c>
      <c r="S75">
        <v>66</v>
      </c>
      <c r="T75">
        <v>56</v>
      </c>
      <c r="U75">
        <v>51</v>
      </c>
      <c r="V75">
        <v>46</v>
      </c>
      <c r="W75">
        <v>38</v>
      </c>
      <c r="X75">
        <v>37</v>
      </c>
      <c r="Y75">
        <v>97</v>
      </c>
      <c r="Z75" s="522">
        <v>117</v>
      </c>
      <c r="AA75" s="522">
        <v>151</v>
      </c>
      <c r="AB75" s="522">
        <v>186</v>
      </c>
      <c r="AC75" s="522">
        <v>213</v>
      </c>
      <c r="AD75" s="522">
        <v>262</v>
      </c>
      <c r="AE75" s="522">
        <v>297</v>
      </c>
      <c r="AF75" s="522">
        <v>293</v>
      </c>
      <c r="AG75" s="522">
        <v>293</v>
      </c>
      <c r="AH75" s="522">
        <v>293</v>
      </c>
      <c r="AI75" s="522">
        <v>340</v>
      </c>
      <c r="AJ75" s="522">
        <v>217</v>
      </c>
      <c r="AK75" s="522"/>
      <c r="AL75" s="522">
        <v>0</v>
      </c>
      <c r="AM75" s="522">
        <v>0</v>
      </c>
      <c r="AN75" s="522">
        <v>0</v>
      </c>
      <c r="AO75" s="522">
        <v>80</v>
      </c>
    </row>
    <row r="76" spans="1:41" x14ac:dyDescent="0.25">
      <c r="A76" s="532"/>
      <c r="B76" s="532"/>
      <c r="C76" s="532"/>
      <c r="D76" s="532"/>
      <c r="E76" s="532"/>
      <c r="F76" s="532"/>
      <c r="R76" s="522"/>
    </row>
    <row r="77" spans="1:41" x14ac:dyDescent="0.25">
      <c r="S77" s="714">
        <v>2018</v>
      </c>
      <c r="T77" s="714"/>
      <c r="U77" s="714"/>
      <c r="V77" s="714"/>
      <c r="W77" s="580">
        <v>2019</v>
      </c>
      <c r="X77" s="580"/>
      <c r="Y77" s="588"/>
      <c r="Z77" s="585"/>
      <c r="AA77" s="585"/>
      <c r="AB77" s="585"/>
      <c r="AL77" s="522">
        <v>0</v>
      </c>
      <c r="AM77" s="522">
        <v>0</v>
      </c>
      <c r="AN77" s="522">
        <v>0</v>
      </c>
      <c r="AO77" s="522">
        <v>0</v>
      </c>
    </row>
    <row r="78" spans="1:41" x14ac:dyDescent="0.25">
      <c r="A78" t="s">
        <v>161</v>
      </c>
      <c r="B78" s="521"/>
      <c r="C78" s="560"/>
      <c r="D78" s="521"/>
      <c r="E78" s="521"/>
      <c r="F78" s="521"/>
      <c r="G78" s="521"/>
      <c r="H78" s="521"/>
      <c r="I78" s="521"/>
      <c r="J78" s="521"/>
      <c r="K78" s="521"/>
      <c r="L78" s="521"/>
      <c r="M78" s="521"/>
      <c r="N78" s="521"/>
      <c r="O78" s="521"/>
      <c r="P78" s="521"/>
      <c r="Q78" s="521"/>
      <c r="R78" s="521"/>
      <c r="S78" s="568" t="s">
        <v>48</v>
      </c>
      <c r="T78" s="568" t="s">
        <v>49</v>
      </c>
      <c r="U78" s="568" t="s">
        <v>45</v>
      </c>
      <c r="V78" s="568" t="s">
        <v>47</v>
      </c>
      <c r="W78" s="568" t="s">
        <v>48</v>
      </c>
      <c r="X78" s="568" t="s">
        <v>49</v>
      </c>
      <c r="Y78" s="568" t="s">
        <v>45</v>
      </c>
      <c r="Z78" s="568" t="s">
        <v>47</v>
      </c>
      <c r="AA78" s="604" t="s">
        <v>147</v>
      </c>
      <c r="AB78" s="604" t="s">
        <v>49</v>
      </c>
      <c r="AC78" s="618" t="s">
        <v>45</v>
      </c>
      <c r="AD78" s="618" t="s">
        <v>47</v>
      </c>
      <c r="AE78" s="618" t="s">
        <v>48</v>
      </c>
      <c r="AF78" s="618" t="s">
        <v>49</v>
      </c>
      <c r="AG78" s="618" t="s">
        <v>45</v>
      </c>
      <c r="AH78" s="618" t="s">
        <v>47</v>
      </c>
      <c r="AI78" s="618" t="s">
        <v>48</v>
      </c>
      <c r="AJ78" s="618" t="s">
        <v>49</v>
      </c>
      <c r="AK78" s="618"/>
      <c r="AL78" s="522">
        <v>0</v>
      </c>
      <c r="AM78" s="522">
        <v>0</v>
      </c>
      <c r="AN78" s="522">
        <v>0</v>
      </c>
      <c r="AO78" s="522">
        <v>0</v>
      </c>
    </row>
    <row r="79" spans="1:41" x14ac:dyDescent="0.25">
      <c r="A79" s="525" t="s">
        <v>139</v>
      </c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6">
        <f>Q70+Q67+Q54+Q46+Q38</f>
        <v>49228</v>
      </c>
      <c r="R79" s="526">
        <f t="shared" ref="Q79:AA83" si="22">R70+R62+R54+R46+R38</f>
        <v>1016382</v>
      </c>
      <c r="S79" s="526">
        <f t="shared" si="22"/>
        <v>1006509</v>
      </c>
      <c r="T79" s="526">
        <f t="shared" si="22"/>
        <v>1019735</v>
      </c>
      <c r="U79" s="526">
        <f t="shared" si="22"/>
        <v>1081196</v>
      </c>
      <c r="V79" s="526">
        <f t="shared" si="22"/>
        <v>961580</v>
      </c>
      <c r="W79" s="526">
        <f t="shared" si="22"/>
        <v>505427</v>
      </c>
      <c r="X79" s="526">
        <f t="shared" si="22"/>
        <v>388554</v>
      </c>
      <c r="Y79" s="526">
        <f t="shared" si="22"/>
        <v>405189</v>
      </c>
      <c r="Z79" s="526">
        <f t="shared" ref="Z79:AJ79" si="23">Z70+Z62+Z54+Z46+Z38</f>
        <v>329670</v>
      </c>
      <c r="AA79" s="526">
        <f t="shared" si="23"/>
        <v>88725</v>
      </c>
      <c r="AB79" s="526">
        <f t="shared" si="23"/>
        <v>116040</v>
      </c>
      <c r="AC79" s="526">
        <f t="shared" si="23"/>
        <v>78691</v>
      </c>
      <c r="AD79" s="526">
        <f t="shared" si="23"/>
        <v>84761</v>
      </c>
      <c r="AE79" s="526">
        <f t="shared" si="23"/>
        <v>96037</v>
      </c>
      <c r="AF79" s="526">
        <f t="shared" si="23"/>
        <v>95187</v>
      </c>
      <c r="AG79" s="526">
        <f t="shared" si="23"/>
        <v>94988</v>
      </c>
      <c r="AH79" s="526">
        <f t="shared" si="23"/>
        <v>71387</v>
      </c>
      <c r="AI79" s="526">
        <f t="shared" si="23"/>
        <v>67640</v>
      </c>
      <c r="AJ79" s="526">
        <f t="shared" si="23"/>
        <v>74574</v>
      </c>
      <c r="AK79" s="526"/>
      <c r="AL79" s="522">
        <v>0</v>
      </c>
      <c r="AM79" s="522">
        <v>0</v>
      </c>
      <c r="AN79" s="522">
        <v>0</v>
      </c>
      <c r="AO79" s="522">
        <v>1016382</v>
      </c>
    </row>
    <row r="80" spans="1:41" x14ac:dyDescent="0.25">
      <c r="A80" s="525" t="s">
        <v>138</v>
      </c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25"/>
      <c r="N80" s="525"/>
      <c r="O80" s="525"/>
      <c r="P80" s="525"/>
      <c r="Q80" s="526">
        <f t="shared" si="22"/>
        <v>1165266</v>
      </c>
      <c r="R80" s="526">
        <f t="shared" si="22"/>
        <v>1086091</v>
      </c>
      <c r="S80" s="526">
        <f t="shared" si="22"/>
        <v>1118642</v>
      </c>
      <c r="T80" s="526">
        <f t="shared" si="22"/>
        <v>1137154</v>
      </c>
      <c r="U80" s="526">
        <f t="shared" si="22"/>
        <v>1246311</v>
      </c>
      <c r="V80" s="526">
        <f t="shared" si="22"/>
        <v>1156539</v>
      </c>
      <c r="W80" s="526">
        <f t="shared" si="22"/>
        <v>1171287</v>
      </c>
      <c r="X80" s="526">
        <f t="shared" si="22"/>
        <v>554558</v>
      </c>
      <c r="Y80" s="526">
        <f t="shared" si="22"/>
        <v>538054</v>
      </c>
      <c r="Z80" s="526">
        <f t="shared" si="22"/>
        <v>593074</v>
      </c>
      <c r="AA80" s="526">
        <f t="shared" si="22"/>
        <v>615518</v>
      </c>
      <c r="AB80" s="526">
        <f t="shared" ref="AB80:AC80" si="24">AB71+AB63+AB55+AB47+AB39</f>
        <v>642546</v>
      </c>
      <c r="AC80" s="526">
        <f t="shared" si="24"/>
        <v>665623</v>
      </c>
      <c r="AD80" s="526">
        <f t="shared" ref="AD80:AJ80" si="25">AD71+AD63+AD55+AD47+AD39</f>
        <v>677769</v>
      </c>
      <c r="AE80" s="526">
        <f t="shared" si="25"/>
        <v>695090</v>
      </c>
      <c r="AF80" s="526">
        <f t="shared" si="25"/>
        <v>707364</v>
      </c>
      <c r="AG80" s="526">
        <f t="shared" si="25"/>
        <v>705332</v>
      </c>
      <c r="AH80" s="526">
        <f t="shared" si="25"/>
        <v>551770</v>
      </c>
      <c r="AI80" s="526">
        <f t="shared" si="25"/>
        <v>488563</v>
      </c>
      <c r="AJ80" s="526">
        <f t="shared" si="25"/>
        <v>458907</v>
      </c>
      <c r="AK80" s="526"/>
      <c r="AL80" s="522">
        <v>0</v>
      </c>
      <c r="AM80" s="522">
        <v>0</v>
      </c>
      <c r="AN80" s="522">
        <v>0</v>
      </c>
      <c r="AO80" s="522">
        <v>1086091</v>
      </c>
    </row>
    <row r="81" spans="1:46" x14ac:dyDescent="0.25">
      <c r="A81" s="525" t="s">
        <v>137</v>
      </c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25"/>
      <c r="N81" s="525"/>
      <c r="O81" s="525"/>
      <c r="P81" s="525"/>
      <c r="Q81" s="526">
        <f t="shared" si="22"/>
        <v>368055</v>
      </c>
      <c r="R81" s="526">
        <f t="shared" si="22"/>
        <v>457583</v>
      </c>
      <c r="S81" s="526">
        <f t="shared" si="22"/>
        <v>475493</v>
      </c>
      <c r="T81" s="526">
        <f t="shared" si="22"/>
        <v>522119</v>
      </c>
      <c r="U81" s="526">
        <f t="shared" si="22"/>
        <v>697072</v>
      </c>
      <c r="V81" s="526">
        <f t="shared" si="22"/>
        <v>659744</v>
      </c>
      <c r="W81" s="526">
        <f t="shared" si="22"/>
        <v>662398</v>
      </c>
      <c r="X81" s="526">
        <f t="shared" si="22"/>
        <v>627786</v>
      </c>
      <c r="Y81" s="526">
        <f t="shared" si="22"/>
        <v>761361</v>
      </c>
      <c r="Z81" s="526">
        <f>Z72+Z64+Z56+Z48+Z40</f>
        <v>723865</v>
      </c>
      <c r="AA81" s="526">
        <f t="shared" si="22"/>
        <v>668556</v>
      </c>
      <c r="AB81" s="526">
        <f t="shared" ref="AB81:AC81" si="26">AB72+AB64+AB56+AB48+AB40</f>
        <v>632763</v>
      </c>
      <c r="AC81" s="526">
        <f t="shared" si="26"/>
        <v>702019</v>
      </c>
      <c r="AD81" s="526">
        <f t="shared" ref="AD81:AJ81" si="27">AD72+AD64+AD56+AD48+AD40</f>
        <v>745241</v>
      </c>
      <c r="AE81" s="526">
        <f t="shared" si="27"/>
        <v>778670</v>
      </c>
      <c r="AF81" s="526">
        <f t="shared" si="27"/>
        <v>781568</v>
      </c>
      <c r="AG81" s="526">
        <f t="shared" si="27"/>
        <v>977379</v>
      </c>
      <c r="AH81" s="526">
        <f t="shared" si="27"/>
        <v>870453</v>
      </c>
      <c r="AI81" s="526">
        <f t="shared" si="27"/>
        <v>924601</v>
      </c>
      <c r="AJ81" s="526">
        <f t="shared" si="27"/>
        <v>971761</v>
      </c>
      <c r="AK81" s="526"/>
      <c r="AL81" s="522">
        <v>0</v>
      </c>
      <c r="AM81" s="522">
        <v>0</v>
      </c>
      <c r="AN81" s="522">
        <v>0</v>
      </c>
      <c r="AO81" s="522">
        <v>457583</v>
      </c>
    </row>
    <row r="82" spans="1:46" x14ac:dyDescent="0.25">
      <c r="A82" s="527" t="s">
        <v>134</v>
      </c>
      <c r="B82" s="527"/>
      <c r="C82" s="527"/>
      <c r="D82" s="527"/>
      <c r="E82" s="527"/>
      <c r="F82" s="527"/>
      <c r="G82" s="527"/>
      <c r="H82" s="527"/>
      <c r="I82" s="527"/>
      <c r="J82" s="527"/>
      <c r="K82" s="527"/>
      <c r="L82" s="527"/>
      <c r="M82" s="527"/>
      <c r="N82" s="527"/>
      <c r="O82" s="527"/>
      <c r="P82" s="527"/>
      <c r="Q82" s="528">
        <f t="shared" si="22"/>
        <v>1582549</v>
      </c>
      <c r="R82" s="528">
        <f t="shared" si="22"/>
        <v>2598608</v>
      </c>
      <c r="S82" s="528">
        <f t="shared" si="22"/>
        <v>2639283</v>
      </c>
      <c r="T82" s="528">
        <f t="shared" si="22"/>
        <v>2717815</v>
      </c>
      <c r="U82" s="528">
        <f t="shared" si="22"/>
        <v>3024579</v>
      </c>
      <c r="V82" s="528">
        <f t="shared" si="22"/>
        <v>2816855</v>
      </c>
      <c r="W82" s="528">
        <f t="shared" si="22"/>
        <v>2378193</v>
      </c>
      <c r="X82" s="528">
        <f t="shared" si="22"/>
        <v>1610101</v>
      </c>
      <c r="Y82" s="528">
        <f t="shared" si="22"/>
        <v>1744387</v>
      </c>
      <c r="Z82" s="528">
        <f t="shared" ref="Z82:AJ82" si="28">Z73+Z67+Z57+Z49+Z41</f>
        <v>1686482</v>
      </c>
      <c r="AA82" s="528">
        <f t="shared" si="28"/>
        <v>1412790</v>
      </c>
      <c r="AB82" s="528">
        <f t="shared" si="28"/>
        <v>1431446</v>
      </c>
      <c r="AC82" s="528">
        <f t="shared" si="28"/>
        <v>1446333</v>
      </c>
      <c r="AD82" s="528">
        <f t="shared" si="28"/>
        <v>1548330</v>
      </c>
      <c r="AE82" s="528">
        <f t="shared" si="28"/>
        <v>1569797</v>
      </c>
      <c r="AF82" s="528">
        <f t="shared" si="28"/>
        <v>1626420</v>
      </c>
      <c r="AG82" s="528">
        <f t="shared" si="28"/>
        <v>1820881</v>
      </c>
      <c r="AH82" s="528">
        <f t="shared" si="28"/>
        <v>1537099</v>
      </c>
      <c r="AI82" s="528">
        <f t="shared" si="28"/>
        <v>1525011</v>
      </c>
      <c r="AJ82" s="528">
        <f t="shared" si="28"/>
        <v>1549773</v>
      </c>
      <c r="AK82" s="528"/>
      <c r="AL82" s="522">
        <v>0</v>
      </c>
      <c r="AM82" s="522">
        <v>0</v>
      </c>
      <c r="AN82" s="522">
        <v>0</v>
      </c>
      <c r="AO82" s="522">
        <v>2598608</v>
      </c>
    </row>
    <row r="83" spans="1:46" x14ac:dyDescent="0.25">
      <c r="A83" s="525" t="s">
        <v>135</v>
      </c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25"/>
      <c r="N83" s="525"/>
      <c r="O83" s="525">
        <v>1122799</v>
      </c>
      <c r="P83" s="525">
        <v>1186131</v>
      </c>
      <c r="Q83" s="526">
        <f t="shared" si="22"/>
        <v>1533321</v>
      </c>
      <c r="R83" s="526">
        <f>R74+R67+R58+R50+R42</f>
        <v>1582226</v>
      </c>
      <c r="S83" s="526">
        <f>S74+S58+S50+S42</f>
        <v>1594135</v>
      </c>
      <c r="T83" s="526">
        <f>T74+T58+T50+T42</f>
        <v>1659273</v>
      </c>
      <c r="U83" s="526">
        <f t="shared" ref="U83" si="29">U74+U58+U50+U42</f>
        <v>1943383</v>
      </c>
      <c r="V83" s="526">
        <f t="shared" ref="V83:AA83" si="30">V74+V58+V50+V42</f>
        <v>1816283</v>
      </c>
      <c r="W83" s="526">
        <f t="shared" si="30"/>
        <v>1833685</v>
      </c>
      <c r="X83" s="526">
        <f t="shared" si="30"/>
        <v>1182344</v>
      </c>
      <c r="Y83" s="526">
        <f t="shared" si="30"/>
        <v>1299415</v>
      </c>
      <c r="Z83" s="526">
        <f t="shared" si="30"/>
        <v>1316939</v>
      </c>
      <c r="AA83" s="526">
        <f t="shared" si="30"/>
        <v>1284074</v>
      </c>
      <c r="AB83" s="526">
        <f t="shared" ref="AB83:AC83" si="31">AB74+AB58+AB50+AB42</f>
        <v>1275309</v>
      </c>
      <c r="AC83" s="526">
        <f t="shared" si="31"/>
        <v>1367642</v>
      </c>
      <c r="AD83" s="526">
        <f t="shared" ref="AD83:AH83" si="32">AD74+AD58+AD50+AD42</f>
        <v>1423010</v>
      </c>
      <c r="AE83" s="526">
        <f t="shared" si="32"/>
        <v>1473760</v>
      </c>
      <c r="AF83" s="526">
        <f t="shared" si="32"/>
        <v>1488932</v>
      </c>
      <c r="AG83" s="526">
        <f>AG74+AG58+AG50+AG42</f>
        <v>1682711</v>
      </c>
      <c r="AH83" s="526">
        <f t="shared" si="32"/>
        <v>1422223</v>
      </c>
      <c r="AI83" s="526">
        <f>AI74+AI58+AI50+AI42</f>
        <v>1413164</v>
      </c>
      <c r="AJ83" s="526">
        <f>AJ74+AJ58+AJ50+AJ42</f>
        <v>1430668</v>
      </c>
      <c r="AK83" s="526"/>
      <c r="AL83" s="522">
        <v>0</v>
      </c>
      <c r="AM83" s="522">
        <v>0</v>
      </c>
      <c r="AN83" s="522">
        <v>0</v>
      </c>
      <c r="AO83" s="522">
        <v>1582226</v>
      </c>
      <c r="AP83" s="400">
        <f>AO83-AO81</f>
        <v>1124643</v>
      </c>
      <c r="AQ83" s="561">
        <f>AP83/AP85</f>
        <v>0.61943119817845937</v>
      </c>
    </row>
    <row r="84" spans="1:46" x14ac:dyDescent="0.25">
      <c r="A84" s="532" t="s">
        <v>128</v>
      </c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  <c r="P84" s="525"/>
      <c r="Q84" s="526"/>
      <c r="R84" s="526"/>
      <c r="S84" s="526"/>
      <c r="T84" s="526"/>
      <c r="U84" s="526"/>
      <c r="V84" s="526"/>
      <c r="W84" s="526"/>
      <c r="X84" s="526"/>
      <c r="Y84" s="526"/>
      <c r="Z84" s="526"/>
      <c r="AA84" s="526"/>
      <c r="AB84" s="526">
        <f t="shared" ref="AB84:AJ84" si="33">AB43+AB51+AB67+AB75</f>
        <v>109040</v>
      </c>
      <c r="AC84" s="526">
        <f t="shared" si="33"/>
        <v>69666</v>
      </c>
      <c r="AD84" s="526">
        <f t="shared" si="33"/>
        <v>112266</v>
      </c>
      <c r="AE84" s="526">
        <f t="shared" si="33"/>
        <v>73302</v>
      </c>
      <c r="AF84" s="526">
        <f t="shared" si="33"/>
        <v>115272</v>
      </c>
      <c r="AG84" s="526">
        <f t="shared" si="33"/>
        <v>118037</v>
      </c>
      <c r="AH84" s="526">
        <f t="shared" si="33"/>
        <v>120169</v>
      </c>
      <c r="AI84" s="526">
        <f t="shared" si="33"/>
        <v>120518</v>
      </c>
      <c r="AJ84" s="526">
        <f t="shared" si="33"/>
        <v>119534</v>
      </c>
      <c r="AK84" s="526"/>
      <c r="AP84" s="400"/>
      <c r="AQ84" s="561"/>
    </row>
    <row r="85" spans="1:46" x14ac:dyDescent="0.25">
      <c r="Q85" s="529">
        <f>(Q83-P83)/P83</f>
        <v>0.2927079723909079</v>
      </c>
      <c r="R85" s="529">
        <f>(R83-Q83)/Q83</f>
        <v>3.1894821762696784E-2</v>
      </c>
      <c r="S85" s="529">
        <f>(S83-R83)/R83</f>
        <v>7.5267376468342705E-3</v>
      </c>
      <c r="T85" s="529">
        <f>(T83-S83)/S83</f>
        <v>4.0861031217556854E-2</v>
      </c>
      <c r="U85" s="529">
        <f t="shared" ref="U85:Y85" si="34">(U83-T83)/T83</f>
        <v>0.17122559096664625</v>
      </c>
      <c r="V85" s="529">
        <f t="shared" si="34"/>
        <v>-6.5401415984394223E-2</v>
      </c>
      <c r="W85" s="529">
        <f t="shared" si="34"/>
        <v>9.5811060280804258E-3</v>
      </c>
      <c r="X85" s="529">
        <f t="shared" si="34"/>
        <v>-0.35520877358979325</v>
      </c>
      <c r="Y85" s="529">
        <f t="shared" si="34"/>
        <v>9.901602240972171E-2</v>
      </c>
      <c r="Z85" s="529">
        <f>(Z83-Y83)/Y83</f>
        <v>1.3486068730928918E-2</v>
      </c>
      <c r="AA85" s="529">
        <f>(AA83-Z83)/Z83</f>
        <v>-2.4955597791545395E-2</v>
      </c>
      <c r="AB85" s="529">
        <f t="shared" ref="AB85:AE85" si="35">(AB83-AA83)/AA83</f>
        <v>-6.8259305927851508E-3</v>
      </c>
      <c r="AC85" s="529">
        <f t="shared" si="35"/>
        <v>7.2400492743327299E-2</v>
      </c>
      <c r="AD85" s="529">
        <f t="shared" si="35"/>
        <v>4.0484278780558068E-2</v>
      </c>
      <c r="AE85" s="529">
        <f t="shared" si="35"/>
        <v>3.5663839326498054E-2</v>
      </c>
      <c r="AF85" s="529">
        <f>(AF83-AB83)/AB83</f>
        <v>0.16750685520136688</v>
      </c>
      <c r="AG85" s="529">
        <f>(AG83-AC83)/AC83</f>
        <v>0.23037388439372292</v>
      </c>
      <c r="AH85" s="529">
        <f>(AH83-AD83)/AD83</f>
        <v>-5.5305303546707336E-4</v>
      </c>
      <c r="AI85" s="529">
        <f>(AI83-AE83)/AE83</f>
        <v>-4.1116599717728804E-2</v>
      </c>
      <c r="AJ85" s="529">
        <f>(AJ83-AF83)/AF83</f>
        <v>-3.9131404254861876E-2</v>
      </c>
      <c r="AL85" s="522">
        <v>0</v>
      </c>
      <c r="AM85" s="522">
        <v>0</v>
      </c>
      <c r="AN85" s="522">
        <v>0</v>
      </c>
      <c r="AO85" s="522">
        <v>3.1894821762696784E-2</v>
      </c>
      <c r="AP85" s="522">
        <v>1815606</v>
      </c>
    </row>
    <row r="86" spans="1:46" x14ac:dyDescent="0.25">
      <c r="Q86" s="530">
        <f>(Q83-O83)/O83</f>
        <v>0.36562376703221144</v>
      </c>
      <c r="R86" s="530">
        <f>(R83-P83)/P83</f>
        <v>0.33393866276153311</v>
      </c>
      <c r="S86" s="530">
        <f>(S83-Q83)/Q83</f>
        <v>3.9661623365231415E-2</v>
      </c>
      <c r="T86" s="530">
        <f>(T83-R83)/R83</f>
        <v>4.8695319126344783E-2</v>
      </c>
      <c r="U86" s="530">
        <f t="shared" ref="U86:X86" si="36">(U83-S83)/S83</f>
        <v>0.21908307640193583</v>
      </c>
      <c r="V86" s="530">
        <f t="shared" si="36"/>
        <v>9.4625778880268643E-2</v>
      </c>
      <c r="W86" s="530">
        <f t="shared" si="36"/>
        <v>-5.6446927857246872E-2</v>
      </c>
      <c r="X86" s="530">
        <f t="shared" si="36"/>
        <v>-0.34903096048358101</v>
      </c>
      <c r="Y86" s="530">
        <f>(Y83-W83)/W83</f>
        <v>-0.29136411106596827</v>
      </c>
      <c r="Z86" s="530">
        <f>(Z83-X83)/X83</f>
        <v>0.11383742802433133</v>
      </c>
      <c r="AA86" s="530">
        <f>(AA83-Y83)/Y83</f>
        <v>-1.1806081967654675E-2</v>
      </c>
      <c r="AB86" s="530"/>
      <c r="AL86" s="522">
        <v>0</v>
      </c>
      <c r="AM86" s="522">
        <v>0</v>
      </c>
      <c r="AN86" s="522">
        <v>0</v>
      </c>
      <c r="AO86" s="522">
        <v>0.33393866276153311</v>
      </c>
    </row>
    <row r="87" spans="1:46" x14ac:dyDescent="0.25">
      <c r="Z87" s="400">
        <f>Z75+Z67+Z43+Z51</f>
        <v>107063</v>
      </c>
      <c r="AA87" s="400"/>
      <c r="AB87" s="400"/>
    </row>
    <row r="88" spans="1:46" x14ac:dyDescent="0.25">
      <c r="AR88" s="398">
        <v>1413164</v>
      </c>
      <c r="AS88" s="398">
        <v>1422223</v>
      </c>
      <c r="AT88" s="398">
        <v>1473760</v>
      </c>
    </row>
    <row r="89" spans="1:46" x14ac:dyDescent="0.25">
      <c r="AS89">
        <f>AR88/AS88</f>
        <v>0.99363039410837817</v>
      </c>
      <c r="AT89">
        <f>AR88/AT88</f>
        <v>0.95888340028227115</v>
      </c>
    </row>
    <row r="90" spans="1:46" ht="15.75" thickBot="1" x14ac:dyDescent="0.3"/>
    <row r="91" spans="1:46" ht="15.75" thickBot="1" x14ac:dyDescent="0.3">
      <c r="AR91" s="698">
        <v>3554773</v>
      </c>
      <c r="AS91" s="698">
        <v>3809888</v>
      </c>
      <c r="AT91" s="699">
        <v>3773204</v>
      </c>
    </row>
    <row r="92" spans="1:46" x14ac:dyDescent="0.25">
      <c r="AS92">
        <f>AR91/AS91</f>
        <v>0.93303871399894167</v>
      </c>
      <c r="AT92">
        <f>AR91/AT91</f>
        <v>0.94210994157750283</v>
      </c>
    </row>
    <row r="93" spans="1:46" x14ac:dyDescent="0.25">
      <c r="AS93">
        <f>1-AS92</f>
        <v>6.6961286001058329E-2</v>
      </c>
      <c r="AT93">
        <f>1-AT92</f>
        <v>5.789005842249717E-2</v>
      </c>
    </row>
  </sheetData>
  <mergeCells count="19">
    <mergeCell ref="W44:Y44"/>
    <mergeCell ref="S36:V36"/>
    <mergeCell ref="W36:Z36"/>
    <mergeCell ref="S77:V77"/>
    <mergeCell ref="S68:V68"/>
    <mergeCell ref="S60:V60"/>
    <mergeCell ref="S52:V52"/>
    <mergeCell ref="S44:V44"/>
    <mergeCell ref="AE36:AH36"/>
    <mergeCell ref="O1:R1"/>
    <mergeCell ref="C36:F36"/>
    <mergeCell ref="G36:J36"/>
    <mergeCell ref="K36:N36"/>
    <mergeCell ref="O36:R36"/>
    <mergeCell ref="C1:F1"/>
    <mergeCell ref="G1:J1"/>
    <mergeCell ref="A25:F25"/>
    <mergeCell ref="K1:N1"/>
    <mergeCell ref="AA36:AD3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workbookViewId="0">
      <selection activeCell="A32" sqref="A32"/>
    </sheetView>
  </sheetViews>
  <sheetFormatPr defaultRowHeight="15" x14ac:dyDescent="0.25"/>
  <cols>
    <col min="1" max="1" width="33.28515625" customWidth="1"/>
    <col min="22" max="22" width="9.5703125" bestFit="1" customWidth="1"/>
    <col min="25" max="25" width="12" customWidth="1"/>
    <col min="30" max="30" width="12.42578125" customWidth="1"/>
    <col min="31" max="31" width="13.85546875" customWidth="1"/>
    <col min="32" max="32" width="9.28515625" bestFit="1" customWidth="1"/>
  </cols>
  <sheetData>
    <row r="1" spans="1:38" x14ac:dyDescent="0.25">
      <c r="B1" s="371">
        <v>2007</v>
      </c>
      <c r="C1" s="720">
        <v>2008</v>
      </c>
      <c r="D1" s="720"/>
      <c r="E1" s="720"/>
      <c r="F1" s="720"/>
      <c r="G1" s="720">
        <v>2009</v>
      </c>
      <c r="H1" s="720"/>
      <c r="I1" s="720"/>
      <c r="J1" s="720"/>
      <c r="K1" s="720">
        <v>2010</v>
      </c>
      <c r="L1" s="720"/>
      <c r="M1" s="720"/>
      <c r="N1" s="720"/>
      <c r="O1" s="720">
        <v>2011</v>
      </c>
      <c r="P1" s="720"/>
      <c r="Q1" s="720"/>
      <c r="R1" s="720"/>
      <c r="S1" s="720">
        <v>2012</v>
      </c>
      <c r="T1" s="720"/>
      <c r="U1" s="720"/>
      <c r="V1" s="720"/>
      <c r="W1" s="720">
        <v>2013</v>
      </c>
      <c r="X1" s="720"/>
      <c r="Y1" s="720"/>
      <c r="Z1" s="720"/>
      <c r="AA1" s="720">
        <v>2014</v>
      </c>
      <c r="AB1" s="720"/>
      <c r="AC1" s="720"/>
      <c r="AE1" s="710">
        <v>2015</v>
      </c>
      <c r="AF1" s="710"/>
      <c r="AG1" s="710"/>
      <c r="AH1" s="710"/>
      <c r="AI1" s="710">
        <v>2016</v>
      </c>
      <c r="AJ1" s="710"/>
      <c r="AK1" s="710"/>
      <c r="AL1" s="710"/>
    </row>
    <row r="2" spans="1:38" x14ac:dyDescent="0.25">
      <c r="A2" s="138" t="s">
        <v>87</v>
      </c>
      <c r="B2" s="371" t="s">
        <v>47</v>
      </c>
      <c r="C2" s="371" t="s">
        <v>43</v>
      </c>
      <c r="D2" s="371" t="s">
        <v>46</v>
      </c>
      <c r="E2" s="371" t="s">
        <v>45</v>
      </c>
      <c r="F2" s="371" t="s">
        <v>44</v>
      </c>
      <c r="G2" s="371" t="s">
        <v>43</v>
      </c>
      <c r="H2" s="371" t="s">
        <v>46</v>
      </c>
      <c r="I2" s="371" t="s">
        <v>45</v>
      </c>
      <c r="J2" s="371" t="s">
        <v>44</v>
      </c>
      <c r="K2" s="371" t="s">
        <v>43</v>
      </c>
      <c r="L2" s="371" t="s">
        <v>46</v>
      </c>
      <c r="M2" s="371" t="s">
        <v>45</v>
      </c>
      <c r="N2" s="371" t="s">
        <v>44</v>
      </c>
      <c r="O2" s="371" t="s">
        <v>48</v>
      </c>
      <c r="P2" s="371" t="s">
        <v>49</v>
      </c>
      <c r="Q2" s="371" t="s">
        <v>45</v>
      </c>
      <c r="R2" s="371" t="s">
        <v>47</v>
      </c>
      <c r="S2" s="371" t="s">
        <v>48</v>
      </c>
      <c r="T2" s="371" t="s">
        <v>49</v>
      </c>
      <c r="U2" s="371" t="s">
        <v>45</v>
      </c>
      <c r="V2" s="371" t="s">
        <v>47</v>
      </c>
      <c r="W2" s="371" t="s">
        <v>48</v>
      </c>
      <c r="X2" s="371" t="s">
        <v>49</v>
      </c>
      <c r="Y2" s="371" t="s">
        <v>45</v>
      </c>
      <c r="Z2" s="371" t="s">
        <v>47</v>
      </c>
      <c r="AA2" s="371" t="s">
        <v>48</v>
      </c>
      <c r="AB2" s="371" t="s">
        <v>49</v>
      </c>
      <c r="AC2" s="371" t="s">
        <v>45</v>
      </c>
      <c r="AD2" s="371" t="s">
        <v>47</v>
      </c>
      <c r="AE2" s="371" t="s">
        <v>48</v>
      </c>
      <c r="AF2" s="371" t="s">
        <v>49</v>
      </c>
      <c r="AG2" s="427" t="s">
        <v>45</v>
      </c>
      <c r="AH2" s="427" t="s">
        <v>47</v>
      </c>
      <c r="AI2" s="427" t="s">
        <v>48</v>
      </c>
      <c r="AJ2" s="427" t="s">
        <v>49</v>
      </c>
      <c r="AK2" s="427" t="s">
        <v>45</v>
      </c>
      <c r="AL2" s="427" t="s">
        <v>47</v>
      </c>
    </row>
    <row r="3" spans="1:38" ht="16.5" x14ac:dyDescent="0.3">
      <c r="A3" s="370" t="s">
        <v>7</v>
      </c>
      <c r="B3" s="6">
        <v>0.97692643266694001</v>
      </c>
      <c r="C3" s="6">
        <v>0.88354318367812001</v>
      </c>
      <c r="D3" s="6">
        <v>0.80316468915787331</v>
      </c>
      <c r="E3" s="6">
        <v>0.75654017972300935</v>
      </c>
      <c r="F3" s="6">
        <v>0.75924510381668198</v>
      </c>
      <c r="G3" s="6">
        <v>0.72961960264824588</v>
      </c>
      <c r="H3" s="6">
        <v>0.73696266154694412</v>
      </c>
      <c r="I3" s="6">
        <v>0.71321743941315108</v>
      </c>
      <c r="J3" s="6">
        <v>0.65112484881685351</v>
      </c>
      <c r="K3" s="6">
        <v>0.67956465480293626</v>
      </c>
      <c r="L3" s="6">
        <v>0.72607798783513666</v>
      </c>
      <c r="M3" s="6">
        <v>0.69496842012694804</v>
      </c>
      <c r="N3" s="6">
        <v>0.69244728773858166</v>
      </c>
      <c r="O3" s="6">
        <v>0.69874809672812277</v>
      </c>
      <c r="P3" s="6">
        <v>0.70279841001885701</v>
      </c>
      <c r="Q3" s="6">
        <v>0.6902828737485065</v>
      </c>
      <c r="R3" s="6">
        <v>0.70415535748464153</v>
      </c>
      <c r="S3" s="6">
        <v>0.67782690876603402</v>
      </c>
      <c r="T3" s="6">
        <v>0.67242506831731297</v>
      </c>
      <c r="U3" s="373">
        <v>0.66950505696408802</v>
      </c>
      <c r="V3" s="297">
        <v>0.68100000000000005</v>
      </c>
      <c r="W3" s="297">
        <v>0.67552195294741935</v>
      </c>
      <c r="X3" s="373">
        <v>0.67259085972478538</v>
      </c>
      <c r="Y3" s="6">
        <v>0.66802022833410823</v>
      </c>
      <c r="Z3" s="373">
        <v>0.65809106028707776</v>
      </c>
      <c r="AA3" s="373">
        <v>0.62705921638639883</v>
      </c>
      <c r="AB3" s="373">
        <v>0.61597641192042696</v>
      </c>
      <c r="AC3" s="297">
        <v>0.60831733095030605</v>
      </c>
      <c r="AD3" s="6">
        <v>0.58589999999999998</v>
      </c>
      <c r="AE3" s="297">
        <v>0.56220000000000003</v>
      </c>
      <c r="AF3" s="297">
        <v>0.5877</v>
      </c>
      <c r="AG3" s="297">
        <v>0.6</v>
      </c>
      <c r="AH3" s="297">
        <v>0.58450000000000002</v>
      </c>
      <c r="AI3" s="297">
        <v>0.57240000000000002</v>
      </c>
      <c r="AJ3" s="297">
        <v>0.58939999999999992</v>
      </c>
      <c r="AK3" s="297">
        <v>0.56820000000000004</v>
      </c>
    </row>
    <row r="4" spans="1:38" ht="16.5" x14ac:dyDescent="0.3">
      <c r="A4" s="370" t="s">
        <v>31</v>
      </c>
      <c r="B4" s="6">
        <v>2.3073567333060013E-2</v>
      </c>
      <c r="C4" s="6">
        <v>0.11645681632188012</v>
      </c>
      <c r="D4" s="6">
        <v>0.19683531084212669</v>
      </c>
      <c r="E4" s="6">
        <v>0.2434598202769907</v>
      </c>
      <c r="F4" s="6">
        <v>0.24075489618331788</v>
      </c>
      <c r="G4" s="6">
        <v>0.26833306324172201</v>
      </c>
      <c r="H4" s="6">
        <v>0.25937430353855917</v>
      </c>
      <c r="I4" s="6">
        <v>0.28560337746777764</v>
      </c>
      <c r="J4" s="6">
        <v>0.34746660870269308</v>
      </c>
      <c r="K4" s="6">
        <v>0.31462716185587802</v>
      </c>
      <c r="L4" s="6">
        <v>0.26128212835279546</v>
      </c>
      <c r="M4" s="6">
        <v>0.29052558688582114</v>
      </c>
      <c r="N4" s="6">
        <v>0.28459905591260998</v>
      </c>
      <c r="O4" s="6">
        <v>0.28367478362567011</v>
      </c>
      <c r="P4" s="6">
        <v>0.27729805880239811</v>
      </c>
      <c r="Q4" s="6">
        <v>0.27253144838372745</v>
      </c>
      <c r="R4" s="6">
        <v>0.26737949475751954</v>
      </c>
      <c r="S4" s="6">
        <v>0.27266637546447936</v>
      </c>
      <c r="T4" s="6">
        <v>0.27508496644618113</v>
      </c>
      <c r="U4" s="373">
        <v>0.28199252032832389</v>
      </c>
      <c r="V4" s="148">
        <v>0.2712</v>
      </c>
      <c r="W4" s="297">
        <v>0.27331681406296465</v>
      </c>
      <c r="X4" s="373">
        <v>0.2740929825029198</v>
      </c>
      <c r="Y4" s="6">
        <v>0.27377813278629748</v>
      </c>
      <c r="Z4" s="373">
        <v>0.28651468237516053</v>
      </c>
      <c r="AA4" s="373">
        <v>0.31245126615329133</v>
      </c>
      <c r="AB4" s="373">
        <v>0.31972728549787521</v>
      </c>
      <c r="AC4" s="297">
        <v>0.33326045138074573</v>
      </c>
      <c r="AD4" s="6">
        <v>0.34870000000000001</v>
      </c>
      <c r="AE4" s="297">
        <v>0.37940000000000002</v>
      </c>
      <c r="AF4" s="297">
        <v>0.34989999999999999</v>
      </c>
      <c r="AG4" s="297">
        <v>0.33899999999999997</v>
      </c>
      <c r="AH4" s="297">
        <v>0.35350000000000004</v>
      </c>
      <c r="AI4" s="297">
        <v>0.37229999999999996</v>
      </c>
      <c r="AJ4" s="297">
        <v>0.35770000000000002</v>
      </c>
      <c r="AK4" s="297">
        <v>0.37919999999999998</v>
      </c>
    </row>
    <row r="5" spans="1:38" ht="16.5" x14ac:dyDescent="0.3">
      <c r="A5" s="370" t="s">
        <v>21</v>
      </c>
      <c r="B5" s="6"/>
      <c r="C5" s="6"/>
      <c r="D5" s="6"/>
      <c r="E5" s="6"/>
      <c r="F5" s="6"/>
      <c r="G5" s="6"/>
      <c r="H5" s="6"/>
      <c r="I5" s="6">
        <v>1.1791831190712491E-3</v>
      </c>
      <c r="J5" s="6">
        <v>1.4085424804533907E-3</v>
      </c>
      <c r="K5" s="6">
        <v>8.0123568697381244E-4</v>
      </c>
      <c r="L5" s="6">
        <v>1.1183586369592751E-3</v>
      </c>
      <c r="M5" s="6">
        <v>1.5138183723780788E-3</v>
      </c>
      <c r="N5" s="6">
        <v>1.8397968829197506E-3</v>
      </c>
      <c r="O5" s="6">
        <v>1.0132778407839428E-3</v>
      </c>
      <c r="P5" s="6">
        <v>8.7709312090403268E-4</v>
      </c>
      <c r="Q5" s="6">
        <v>7.0307466344734647E-4</v>
      </c>
      <c r="R5" s="6">
        <v>4.2421945622139745E-4</v>
      </c>
      <c r="S5" s="6">
        <v>6.8881407030247494E-4</v>
      </c>
      <c r="T5" s="6">
        <v>4.0831731235287978E-4</v>
      </c>
      <c r="U5" s="373">
        <v>2.8806273828331616E-4</v>
      </c>
      <c r="V5" s="148">
        <v>2.9999999999999997E-4</v>
      </c>
      <c r="W5" s="297">
        <v>2.9989790985935147E-4</v>
      </c>
      <c r="X5" s="373">
        <v>2.3576583517043189E-4</v>
      </c>
      <c r="Y5" s="224">
        <v>2.9499997730769408E-4</v>
      </c>
      <c r="Z5" s="373">
        <v>4.0936885001137955E-4</v>
      </c>
      <c r="AA5" s="373">
        <v>2.0860898144554066E-4</v>
      </c>
      <c r="AB5" s="373">
        <v>1.5595430208084653E-4</v>
      </c>
      <c r="AC5" s="297">
        <v>2.1361310891527814E-4</v>
      </c>
      <c r="AD5" s="224">
        <v>1.8E-3</v>
      </c>
      <c r="AE5" s="297">
        <v>2.1000000000000001E-4</v>
      </c>
      <c r="AF5" s="297">
        <v>5.7000000000000002E-3</v>
      </c>
      <c r="AG5" s="297">
        <v>8.0000000000000002E-3</v>
      </c>
      <c r="AH5" s="297">
        <v>8.0000000000000002E-3</v>
      </c>
      <c r="AI5" s="297">
        <v>4.8799999999999996E-2</v>
      </c>
      <c r="AJ5" s="297">
        <v>4.58E-2</v>
      </c>
      <c r="AK5" s="297">
        <v>4.5199999999999997E-2</v>
      </c>
    </row>
    <row r="6" spans="1:38" ht="16.5" x14ac:dyDescent="0.3">
      <c r="A6" s="370" t="s">
        <v>36</v>
      </c>
      <c r="B6" s="6"/>
      <c r="C6" s="6"/>
      <c r="D6" s="6"/>
      <c r="E6" s="6"/>
      <c r="F6" s="6"/>
      <c r="G6" s="6"/>
      <c r="H6" s="6"/>
      <c r="I6" s="6"/>
      <c r="J6" s="6"/>
      <c r="K6" s="6">
        <v>5.0069476542118369E-3</v>
      </c>
      <c r="L6" s="6">
        <v>1.1521525175108707E-2</v>
      </c>
      <c r="M6" s="6">
        <v>1.2992174614852661E-2</v>
      </c>
      <c r="N6" s="6">
        <v>2.1113859465888566E-2</v>
      </c>
      <c r="O6" s="6">
        <v>1.6563841805423044E-2</v>
      </c>
      <c r="P6" s="6">
        <v>1.9026438057840857E-2</v>
      </c>
      <c r="Q6" s="6">
        <v>3.6482603204318613E-2</v>
      </c>
      <c r="R6" s="6">
        <v>2.8040928301617498E-2</v>
      </c>
      <c r="S6" s="6">
        <v>4.8817901699184194E-2</v>
      </c>
      <c r="T6" s="6">
        <v>5.2081647924152749E-2</v>
      </c>
      <c r="U6" s="373">
        <v>4.8214359969304323E-2</v>
      </c>
      <c r="V6" s="148">
        <v>4.7500000000000001E-2</v>
      </c>
      <c r="W6" s="297">
        <v>5.0861335079756667E-2</v>
      </c>
      <c r="X6" s="373">
        <v>5.308039193712439E-2</v>
      </c>
      <c r="Y6" s="6">
        <v>5.7906638902286513E-2</v>
      </c>
      <c r="Z6" s="373">
        <v>5.4984888487750204E-2</v>
      </c>
      <c r="AA6" s="373">
        <v>6.0280908478864283E-2</v>
      </c>
      <c r="AB6" s="373">
        <v>6.4140348279617398E-2</v>
      </c>
      <c r="AC6" s="297">
        <v>5.8208604560032844E-2</v>
      </c>
      <c r="AD6" s="6">
        <v>6.3600000000000004E-2</v>
      </c>
      <c r="AE6" s="297">
        <v>5.8099999999999999E-2</v>
      </c>
      <c r="AF6" s="297">
        <v>5.67E-2</v>
      </c>
      <c r="AG6" s="297">
        <v>5.2999999999999999E-2</v>
      </c>
      <c r="AH6" s="297">
        <v>5.3800000000000001E-2</v>
      </c>
      <c r="AI6" s="297">
        <v>6.4999999999999997E-3</v>
      </c>
      <c r="AJ6" s="297">
        <v>7.1000000000000004E-3</v>
      </c>
      <c r="AK6" s="297">
        <v>0.74</v>
      </c>
    </row>
    <row r="7" spans="1:38" x14ac:dyDescent="0.25">
      <c r="AE7" s="297">
        <f>AE3+AE4+AE5+AE6</f>
        <v>0.99991000000000008</v>
      </c>
      <c r="AF7" s="297">
        <f>AF3+AF4+AF5+AF6</f>
        <v>1</v>
      </c>
      <c r="AG7" s="297">
        <f>AG3+AG4+AG5+AG6</f>
        <v>1</v>
      </c>
    </row>
  </sheetData>
  <mergeCells count="9">
    <mergeCell ref="AI1:AL1"/>
    <mergeCell ref="AE1:AH1"/>
    <mergeCell ref="AA1:AC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10"/>
  <sheetViews>
    <sheetView zoomScaleNormal="100" workbookViewId="0">
      <pane xSplit="2" ySplit="4" topLeftCell="BC80" activePane="bottomRight" state="frozen"/>
      <selection pane="topRight" activeCell="C1" sqref="C1"/>
      <selection pane="bottomLeft" activeCell="A5" sqref="A5"/>
      <selection pane="bottomRight" activeCell="BE115" sqref="BE115"/>
    </sheetView>
  </sheetViews>
  <sheetFormatPr defaultRowHeight="16.5" x14ac:dyDescent="0.3"/>
  <cols>
    <col min="1" max="1" width="43" style="2" customWidth="1"/>
    <col min="2" max="2" width="26.85546875" style="2" bestFit="1" customWidth="1"/>
    <col min="3" max="11" width="11.140625" style="2" customWidth="1"/>
    <col min="12" max="12" width="11.140625" style="2" customWidth="1" collapsed="1"/>
    <col min="13" max="21" width="11.140625" style="2" customWidth="1"/>
    <col min="22" max="22" width="18.5703125" style="2" bestFit="1" customWidth="1"/>
    <col min="23" max="23" width="17.28515625" style="191" customWidth="1"/>
    <col min="24" max="24" width="17.28515625" style="198" customWidth="1"/>
    <col min="25" max="25" width="19.5703125" style="389" customWidth="1"/>
    <col min="26" max="26" width="22.140625" style="2" customWidth="1"/>
    <col min="27" max="27" width="19.7109375" style="2" customWidth="1"/>
    <col min="28" max="28" width="22.7109375" style="2" customWidth="1"/>
    <col min="29" max="29" width="19.28515625" style="2" customWidth="1"/>
    <col min="30" max="30" width="16.42578125" style="2" customWidth="1"/>
    <col min="31" max="31" width="16.42578125" style="321" customWidth="1"/>
    <col min="32" max="33" width="16.42578125" style="338" customWidth="1"/>
    <col min="34" max="34" width="16.42578125" style="369" customWidth="1"/>
    <col min="35" max="35" width="16.42578125" style="379" customWidth="1"/>
    <col min="36" max="36" width="12.42578125" style="2" customWidth="1"/>
    <col min="37" max="37" width="11.140625" style="2" customWidth="1"/>
    <col min="38" max="38" width="13" style="2" customWidth="1"/>
    <col min="39" max="39" width="18.140625" style="2" customWidth="1"/>
    <col min="40" max="40" width="14.28515625" style="2" customWidth="1"/>
    <col min="41" max="41" width="19.140625" style="2" customWidth="1"/>
    <col min="42" max="42" width="16.42578125" style="2" customWidth="1"/>
    <col min="43" max="43" width="19.28515625" style="2" customWidth="1"/>
    <col min="44" max="44" width="18.85546875" style="2" customWidth="1"/>
    <col min="45" max="45" width="18.85546875" style="544" customWidth="1"/>
    <col min="46" max="46" width="18.85546875" style="541" customWidth="1"/>
    <col min="47" max="47" width="18.7109375" style="566" customWidth="1"/>
    <col min="48" max="49" width="18.7109375" style="578" customWidth="1"/>
    <col min="50" max="50" width="18.7109375" style="584" customWidth="1"/>
    <col min="51" max="51" width="18.7109375" style="590" customWidth="1"/>
    <col min="52" max="52" width="18.7109375" style="601" customWidth="1"/>
    <col min="53" max="53" width="18.7109375" style="614" customWidth="1"/>
    <col min="54" max="62" width="18.7109375" style="572" customWidth="1"/>
    <col min="63" max="63" width="15.7109375" style="2" customWidth="1"/>
    <col min="64" max="64" width="9.85546875" style="2" bestFit="1" customWidth="1"/>
    <col min="65" max="16384" width="9.140625" style="2"/>
  </cols>
  <sheetData>
    <row r="1" spans="1:64" x14ac:dyDescent="0.3">
      <c r="A1" s="77" t="s">
        <v>0</v>
      </c>
      <c r="C1" s="116" t="s">
        <v>7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</row>
    <row r="2" spans="1:64" x14ac:dyDescent="0.3">
      <c r="A2" s="7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16"/>
      <c r="V2" s="116"/>
      <c r="W2" s="116"/>
      <c r="X2" s="116"/>
    </row>
    <row r="3" spans="1:64" x14ac:dyDescent="0.3">
      <c r="A3" s="79" t="s">
        <v>7</v>
      </c>
      <c r="B3" s="80"/>
      <c r="C3" s="81">
        <v>2007</v>
      </c>
      <c r="D3" s="722">
        <v>2008</v>
      </c>
      <c r="E3" s="722"/>
      <c r="F3" s="722"/>
      <c r="G3" s="722"/>
      <c r="H3" s="722">
        <v>2009</v>
      </c>
      <c r="I3" s="722"/>
      <c r="J3" s="722"/>
      <c r="K3" s="722"/>
      <c r="L3" s="722">
        <v>2010</v>
      </c>
      <c r="M3" s="722"/>
      <c r="N3" s="722"/>
      <c r="O3" s="722"/>
      <c r="P3" s="722">
        <v>2011</v>
      </c>
      <c r="Q3" s="722"/>
      <c r="R3" s="722"/>
      <c r="S3" s="722"/>
      <c r="T3" s="732">
        <v>2012</v>
      </c>
      <c r="U3" s="732"/>
      <c r="V3" s="732"/>
      <c r="W3" s="732"/>
      <c r="X3" s="732" t="s">
        <v>109</v>
      </c>
      <c r="Y3" s="732"/>
      <c r="Z3" s="732"/>
      <c r="AB3" s="722">
        <v>2014</v>
      </c>
      <c r="AC3" s="722"/>
      <c r="AD3" s="722"/>
      <c r="AE3" s="722"/>
      <c r="AF3" s="722">
        <v>2015</v>
      </c>
      <c r="AG3" s="722"/>
      <c r="AH3" s="722"/>
      <c r="AI3" s="722"/>
      <c r="AJ3" s="722">
        <v>2016</v>
      </c>
      <c r="AK3" s="722"/>
      <c r="AL3" s="722"/>
      <c r="AM3" s="722"/>
      <c r="AN3" s="2">
        <v>2017</v>
      </c>
      <c r="AR3" s="722">
        <v>2018</v>
      </c>
      <c r="AS3" s="722"/>
      <c r="AT3" s="722"/>
      <c r="AU3" s="565"/>
      <c r="AV3" s="577">
        <v>2019</v>
      </c>
      <c r="AW3" s="577"/>
      <c r="AX3" s="583"/>
      <c r="AY3" s="589"/>
      <c r="AZ3" s="722">
        <v>2020</v>
      </c>
      <c r="BA3" s="722"/>
      <c r="BB3" s="573"/>
      <c r="BC3" s="573"/>
      <c r="BD3" s="573">
        <v>2021</v>
      </c>
      <c r="BE3" s="573"/>
      <c r="BF3" s="676"/>
      <c r="BG3" s="680"/>
      <c r="BH3" s="689">
        <v>2022</v>
      </c>
      <c r="BI3" s="696"/>
      <c r="BJ3" s="686"/>
    </row>
    <row r="4" spans="1:64" ht="18" customHeight="1" x14ac:dyDescent="0.3">
      <c r="C4" s="80" t="s">
        <v>47</v>
      </c>
      <c r="D4" s="80" t="s">
        <v>43</v>
      </c>
      <c r="E4" s="80" t="s">
        <v>46</v>
      </c>
      <c r="F4" s="80" t="s">
        <v>45</v>
      </c>
      <c r="G4" s="80" t="s">
        <v>44</v>
      </c>
      <c r="H4" s="80" t="s">
        <v>43</v>
      </c>
      <c r="I4" s="80" t="s">
        <v>46</v>
      </c>
      <c r="J4" s="80" t="s">
        <v>45</v>
      </c>
      <c r="K4" s="80" t="s">
        <v>44</v>
      </c>
      <c r="L4" s="80" t="s">
        <v>43</v>
      </c>
      <c r="M4" s="80" t="s">
        <v>46</v>
      </c>
      <c r="N4" s="80" t="s">
        <v>45</v>
      </c>
      <c r="O4" s="80" t="s">
        <v>44</v>
      </c>
      <c r="P4" s="80" t="s">
        <v>48</v>
      </c>
      <c r="Q4" s="80" t="s">
        <v>49</v>
      </c>
      <c r="R4" s="80" t="s">
        <v>45</v>
      </c>
      <c r="S4" s="80" t="s">
        <v>47</v>
      </c>
      <c r="T4" s="80" t="s">
        <v>48</v>
      </c>
      <c r="U4" s="80" t="s">
        <v>49</v>
      </c>
      <c r="V4" s="77" t="s">
        <v>45</v>
      </c>
      <c r="W4" s="77" t="s">
        <v>47</v>
      </c>
      <c r="X4" s="80" t="s">
        <v>48</v>
      </c>
      <c r="Y4" s="213" t="s">
        <v>49</v>
      </c>
      <c r="Z4" s="235" t="s">
        <v>45</v>
      </c>
      <c r="AA4" s="235" t="s">
        <v>47</v>
      </c>
      <c r="AB4" s="117" t="s">
        <v>48</v>
      </c>
      <c r="AC4" s="117" t="s">
        <v>49</v>
      </c>
      <c r="AD4" s="117" t="s">
        <v>45</v>
      </c>
      <c r="AE4" s="117" t="s">
        <v>47</v>
      </c>
      <c r="AF4" s="117" t="s">
        <v>48</v>
      </c>
      <c r="AG4" s="117" t="s">
        <v>49</v>
      </c>
      <c r="AH4" s="117" t="s">
        <v>45</v>
      </c>
      <c r="AI4" s="117" t="s">
        <v>47</v>
      </c>
      <c r="AJ4" s="117" t="s">
        <v>48</v>
      </c>
      <c r="AK4" s="117" t="s">
        <v>49</v>
      </c>
      <c r="AL4" s="235" t="s">
        <v>45</v>
      </c>
      <c r="AM4" s="235" t="s">
        <v>47</v>
      </c>
      <c r="AN4" s="235" t="s">
        <v>48</v>
      </c>
      <c r="AO4" s="235" t="s">
        <v>49</v>
      </c>
      <c r="AP4" s="500" t="s">
        <v>45</v>
      </c>
      <c r="AQ4" s="500" t="s">
        <v>47</v>
      </c>
      <c r="AR4" s="500" t="s">
        <v>48</v>
      </c>
      <c r="AS4" s="500" t="s">
        <v>49</v>
      </c>
      <c r="AT4" s="500" t="s">
        <v>45</v>
      </c>
      <c r="AU4" s="500" t="s">
        <v>47</v>
      </c>
      <c r="AV4" s="500" t="s">
        <v>48</v>
      </c>
      <c r="AW4" s="500" t="s">
        <v>49</v>
      </c>
      <c r="AX4" s="500" t="s">
        <v>45</v>
      </c>
      <c r="AY4" s="500" t="s">
        <v>47</v>
      </c>
      <c r="AZ4" s="602" t="s">
        <v>147</v>
      </c>
      <c r="BA4" s="613" t="s">
        <v>150</v>
      </c>
      <c r="BB4" s="617" t="s">
        <v>166</v>
      </c>
      <c r="BC4" s="620" t="s">
        <v>167</v>
      </c>
      <c r="BD4" s="621" t="s">
        <v>147</v>
      </c>
      <c r="BE4" s="627" t="s">
        <v>49</v>
      </c>
      <c r="BF4" s="675" t="s">
        <v>45</v>
      </c>
      <c r="BG4" s="681" t="s">
        <v>47</v>
      </c>
      <c r="BH4" s="690" t="s">
        <v>48</v>
      </c>
      <c r="BI4" s="695" t="s">
        <v>49</v>
      </c>
      <c r="BJ4" s="685"/>
    </row>
    <row r="5" spans="1:64" ht="16.5" customHeight="1" x14ac:dyDescent="0.3">
      <c r="A5" s="464" t="s">
        <v>2</v>
      </c>
      <c r="B5" s="82" t="s">
        <v>3</v>
      </c>
      <c r="C5" s="82"/>
      <c r="D5" s="82"/>
      <c r="E5" s="82"/>
      <c r="F5" s="82"/>
      <c r="G5" s="82"/>
      <c r="H5" s="82"/>
      <c r="I5" s="82"/>
      <c r="J5" s="82"/>
      <c r="K5" s="82"/>
      <c r="L5" s="83">
        <v>18253</v>
      </c>
      <c r="M5" s="46">
        <v>20435</v>
      </c>
      <c r="N5" s="46">
        <v>33366</v>
      </c>
      <c r="O5" s="46"/>
      <c r="P5" s="46">
        <v>48804</v>
      </c>
      <c r="Q5" s="46">
        <v>38471</v>
      </c>
      <c r="R5" s="46">
        <v>37301</v>
      </c>
      <c r="S5" s="46">
        <v>23447</v>
      </c>
      <c r="T5" s="84">
        <v>13818</v>
      </c>
      <c r="U5" s="45">
        <v>14464</v>
      </c>
      <c r="V5" s="2">
        <v>13693</v>
      </c>
      <c r="W5" s="191">
        <v>13680</v>
      </c>
      <c r="X5" s="198">
        <f>13727</f>
        <v>13727</v>
      </c>
      <c r="Y5" s="265">
        <v>13451</v>
      </c>
      <c r="Z5" s="176">
        <v>11921</v>
      </c>
      <c r="AA5" s="176">
        <v>11770</v>
      </c>
      <c r="AB5" s="2">
        <v>9156</v>
      </c>
      <c r="AC5" s="2">
        <v>10633</v>
      </c>
      <c r="AD5" s="2">
        <f>10513</f>
        <v>10513</v>
      </c>
      <c r="AE5" s="176">
        <v>10435</v>
      </c>
      <c r="AF5" s="176">
        <v>14511</v>
      </c>
      <c r="AG5" s="176">
        <v>11810</v>
      </c>
      <c r="AH5" s="176">
        <v>11503</v>
      </c>
      <c r="AI5" s="176">
        <v>11697</v>
      </c>
      <c r="AJ5" s="108">
        <v>11977</v>
      </c>
      <c r="AK5" s="2">
        <v>12220</v>
      </c>
      <c r="AL5" s="176">
        <v>12808</v>
      </c>
      <c r="AM5" s="176">
        <v>13744</v>
      </c>
      <c r="AN5" s="5">
        <v>14802</v>
      </c>
      <c r="AO5" s="176">
        <v>13969</v>
      </c>
      <c r="AP5" s="2">
        <v>14010</v>
      </c>
      <c r="AQ5" s="176">
        <v>14807</v>
      </c>
      <c r="AR5" s="2">
        <v>13130</v>
      </c>
      <c r="AS5" s="176">
        <v>12819</v>
      </c>
      <c r="AT5" s="541">
        <v>11939</v>
      </c>
      <c r="AU5" s="566">
        <v>10931</v>
      </c>
      <c r="AV5" s="578">
        <v>10880</v>
      </c>
      <c r="AW5" s="578">
        <v>9780</v>
      </c>
      <c r="AX5" s="584">
        <v>9462</v>
      </c>
      <c r="AY5" s="590">
        <v>9177</v>
      </c>
      <c r="AZ5" s="601">
        <v>8748</v>
      </c>
      <c r="BA5" s="176">
        <v>8384</v>
      </c>
      <c r="BB5" s="572">
        <v>7932</v>
      </c>
      <c r="BC5" s="683">
        <v>7575</v>
      </c>
      <c r="BD5" s="684">
        <v>7242</v>
      </c>
      <c r="BE5" s="684">
        <v>6867</v>
      </c>
      <c r="BF5" s="684">
        <v>6589</v>
      </c>
      <c r="BG5" s="684">
        <v>6486</v>
      </c>
      <c r="BH5" s="684">
        <v>6382</v>
      </c>
      <c r="BI5" s="684">
        <v>6301</v>
      </c>
      <c r="BJ5" s="684"/>
      <c r="BL5" s="2">
        <v>6589</v>
      </c>
    </row>
    <row r="6" spans="1:64" ht="16.5" customHeight="1" thickBot="1" x14ac:dyDescent="0.35">
      <c r="B6" s="82" t="s">
        <v>4</v>
      </c>
      <c r="C6" s="82"/>
      <c r="D6" s="82"/>
      <c r="E6" s="82"/>
      <c r="F6" s="82"/>
      <c r="G6" s="82"/>
      <c r="H6" s="82"/>
      <c r="I6" s="82"/>
      <c r="J6" s="82"/>
      <c r="K6" s="82"/>
      <c r="L6" s="83">
        <v>20916</v>
      </c>
      <c r="M6" s="46">
        <v>19369</v>
      </c>
      <c r="N6" s="46">
        <v>16230</v>
      </c>
      <c r="O6" s="46"/>
      <c r="P6" s="46"/>
      <c r="Q6" s="46">
        <v>11194</v>
      </c>
      <c r="R6" s="46">
        <v>8466</v>
      </c>
      <c r="S6" s="46">
        <v>12761</v>
      </c>
      <c r="T6" s="84">
        <v>21846</v>
      </c>
      <c r="U6" s="45">
        <v>35506</v>
      </c>
      <c r="V6" s="2">
        <v>38939</v>
      </c>
      <c r="W6" s="191">
        <v>40168</v>
      </c>
      <c r="X6" s="198">
        <f>40789</f>
        <v>40789</v>
      </c>
      <c r="Y6" s="265">
        <v>42257</v>
      </c>
      <c r="Z6" s="176">
        <v>18281</v>
      </c>
      <c r="AA6" s="176">
        <v>19744</v>
      </c>
      <c r="AB6" s="2">
        <v>18530</v>
      </c>
      <c r="AC6" s="2">
        <v>15683</v>
      </c>
      <c r="AD6" s="325">
        <v>14950</v>
      </c>
      <c r="AE6" s="324">
        <v>15524</v>
      </c>
      <c r="AF6" s="366">
        <v>22658</v>
      </c>
      <c r="AG6" s="366">
        <v>17036</v>
      </c>
      <c r="AH6" s="366">
        <v>19178</v>
      </c>
      <c r="AI6" s="366">
        <v>24054</v>
      </c>
      <c r="AJ6" s="108">
        <v>12706</v>
      </c>
      <c r="AK6" s="2">
        <v>27566</v>
      </c>
      <c r="AL6" s="176">
        <v>28882</v>
      </c>
      <c r="AM6" s="176">
        <v>29907</v>
      </c>
      <c r="AN6" s="5">
        <v>31150</v>
      </c>
      <c r="AO6" s="2">
        <v>30335</v>
      </c>
      <c r="AP6" s="2">
        <v>31452</v>
      </c>
      <c r="AQ6" s="176">
        <v>30054</v>
      </c>
      <c r="AR6" s="2">
        <v>30937</v>
      </c>
      <c r="AS6" s="176">
        <v>31417</v>
      </c>
      <c r="AT6" s="541">
        <v>31417</v>
      </c>
      <c r="AU6" s="566">
        <v>33252</v>
      </c>
      <c r="AV6" s="578">
        <v>34274</v>
      </c>
      <c r="AW6" s="578">
        <v>34645</v>
      </c>
      <c r="AX6" s="584">
        <v>35239</v>
      </c>
      <c r="AY6" s="590">
        <v>36491</v>
      </c>
      <c r="AZ6" s="601">
        <v>37139</v>
      </c>
      <c r="BA6" s="176">
        <v>37052</v>
      </c>
      <c r="BB6" s="572">
        <v>37190</v>
      </c>
      <c r="BC6" s="683">
        <v>36737</v>
      </c>
      <c r="BD6" s="683">
        <v>35815</v>
      </c>
      <c r="BE6" s="683">
        <v>35378</v>
      </c>
      <c r="BF6" s="683">
        <v>35491</v>
      </c>
      <c r="BG6" s="683">
        <v>35417</v>
      </c>
      <c r="BH6" s="683">
        <v>35211</v>
      </c>
      <c r="BI6" s="683">
        <v>35555</v>
      </c>
      <c r="BJ6" s="683"/>
      <c r="BL6" s="2">
        <v>35491</v>
      </c>
    </row>
    <row r="7" spans="1:64" ht="20.25" customHeight="1" x14ac:dyDescent="0.3">
      <c r="B7" s="85" t="s">
        <v>5</v>
      </c>
      <c r="C7" s="85">
        <v>15000</v>
      </c>
      <c r="D7" s="85">
        <v>16010</v>
      </c>
      <c r="E7" s="85">
        <v>28150</v>
      </c>
      <c r="F7" s="85">
        <v>33000</v>
      </c>
      <c r="G7" s="85">
        <v>36820</v>
      </c>
      <c r="H7" s="85">
        <v>36970</v>
      </c>
      <c r="I7" s="85">
        <v>40300</v>
      </c>
      <c r="J7" s="86">
        <v>41850</v>
      </c>
      <c r="K7" s="86">
        <v>41650</v>
      </c>
      <c r="L7" s="87">
        <f>SUM(L5:L6)</f>
        <v>39169</v>
      </c>
      <c r="M7" s="88">
        <f>M6+M5</f>
        <v>39804</v>
      </c>
      <c r="N7" s="88">
        <v>49596</v>
      </c>
      <c r="O7" s="88">
        <v>49831</v>
      </c>
      <c r="P7" s="88">
        <f>P5+P6</f>
        <v>48804</v>
      </c>
      <c r="Q7" s="88">
        <f>Q5+Q6</f>
        <v>49665</v>
      </c>
      <c r="R7" s="88">
        <f>R5+R6</f>
        <v>45767</v>
      </c>
      <c r="S7" s="88">
        <f t="shared" ref="S7:Z7" si="0">S6+S5</f>
        <v>36208</v>
      </c>
      <c r="T7" s="89">
        <f t="shared" si="0"/>
        <v>35664</v>
      </c>
      <c r="U7" s="89">
        <f t="shared" si="0"/>
        <v>49970</v>
      </c>
      <c r="V7" s="89">
        <f t="shared" si="0"/>
        <v>52632</v>
      </c>
      <c r="W7" s="89">
        <f t="shared" si="0"/>
        <v>53848</v>
      </c>
      <c r="X7" s="89">
        <f t="shared" si="0"/>
        <v>54516</v>
      </c>
      <c r="Y7" s="89">
        <f t="shared" si="0"/>
        <v>55708</v>
      </c>
      <c r="Z7" s="89">
        <f t="shared" si="0"/>
        <v>30202</v>
      </c>
      <c r="AA7" s="89">
        <f t="shared" ref="AA7:AZ7" si="1">AA6+AA5</f>
        <v>31514</v>
      </c>
      <c r="AB7" s="89">
        <f t="shared" si="1"/>
        <v>27686</v>
      </c>
      <c r="AC7" s="89">
        <f t="shared" si="1"/>
        <v>26316</v>
      </c>
      <c r="AD7" s="89">
        <f t="shared" si="1"/>
        <v>25463</v>
      </c>
      <c r="AE7" s="367">
        <f t="shared" si="1"/>
        <v>25959</v>
      </c>
      <c r="AF7" s="367">
        <f t="shared" si="1"/>
        <v>37169</v>
      </c>
      <c r="AG7" s="367">
        <f t="shared" si="1"/>
        <v>28846</v>
      </c>
      <c r="AH7" s="367">
        <f t="shared" si="1"/>
        <v>30681</v>
      </c>
      <c r="AI7" s="367">
        <f t="shared" si="1"/>
        <v>35751</v>
      </c>
      <c r="AJ7" s="367">
        <f t="shared" si="1"/>
        <v>24683</v>
      </c>
      <c r="AK7" s="367">
        <f t="shared" si="1"/>
        <v>39786</v>
      </c>
      <c r="AL7" s="367">
        <f t="shared" si="1"/>
        <v>41690</v>
      </c>
      <c r="AM7" s="367">
        <f t="shared" si="1"/>
        <v>43651</v>
      </c>
      <c r="AN7" s="367">
        <f t="shared" si="1"/>
        <v>45952</v>
      </c>
      <c r="AO7" s="367">
        <f t="shared" si="1"/>
        <v>44304</v>
      </c>
      <c r="AP7" s="367">
        <f t="shared" si="1"/>
        <v>45462</v>
      </c>
      <c r="AQ7" s="367">
        <f t="shared" si="1"/>
        <v>44861</v>
      </c>
      <c r="AR7" s="367">
        <f t="shared" si="1"/>
        <v>44067</v>
      </c>
      <c r="AS7" s="367">
        <f t="shared" si="1"/>
        <v>44236</v>
      </c>
      <c r="AT7" s="367">
        <f t="shared" si="1"/>
        <v>43356</v>
      </c>
      <c r="AU7" s="367">
        <f t="shared" si="1"/>
        <v>44183</v>
      </c>
      <c r="AV7" s="367">
        <f t="shared" si="1"/>
        <v>45154</v>
      </c>
      <c r="AW7" s="367">
        <f t="shared" si="1"/>
        <v>44425</v>
      </c>
      <c r="AX7" s="367">
        <f t="shared" si="1"/>
        <v>44701</v>
      </c>
      <c r="AY7" s="367">
        <f t="shared" si="1"/>
        <v>45668</v>
      </c>
      <c r="AZ7" s="367">
        <f t="shared" si="1"/>
        <v>45887</v>
      </c>
      <c r="BA7" s="367">
        <f t="shared" ref="BA7:BI7" si="2">BA6+BA5</f>
        <v>45436</v>
      </c>
      <c r="BB7" s="367">
        <f t="shared" si="2"/>
        <v>45122</v>
      </c>
      <c r="BC7" s="367">
        <f t="shared" si="2"/>
        <v>44312</v>
      </c>
      <c r="BD7" s="367">
        <f t="shared" si="2"/>
        <v>43057</v>
      </c>
      <c r="BE7" s="367">
        <f t="shared" si="2"/>
        <v>42245</v>
      </c>
      <c r="BF7" s="367">
        <f t="shared" si="2"/>
        <v>42080</v>
      </c>
      <c r="BG7" s="367">
        <f t="shared" si="2"/>
        <v>41903</v>
      </c>
      <c r="BH7" s="367">
        <f t="shared" si="2"/>
        <v>41593</v>
      </c>
      <c r="BI7" s="367">
        <f t="shared" si="2"/>
        <v>41856</v>
      </c>
      <c r="BJ7" s="367"/>
    </row>
    <row r="8" spans="1:64" ht="16.5" customHeight="1" x14ac:dyDescent="0.3">
      <c r="A8" s="90" t="s">
        <v>6</v>
      </c>
      <c r="B8" s="82" t="s">
        <v>3</v>
      </c>
      <c r="C8" s="82"/>
      <c r="D8" s="82"/>
      <c r="E8" s="82"/>
      <c r="F8" s="82"/>
      <c r="G8" s="82"/>
      <c r="H8" s="82"/>
      <c r="I8" s="82"/>
      <c r="J8" s="82"/>
      <c r="K8" s="82"/>
      <c r="L8" s="83">
        <v>990734</v>
      </c>
      <c r="M8" s="46">
        <v>948520</v>
      </c>
      <c r="N8" s="46">
        <v>976307</v>
      </c>
      <c r="O8" s="46"/>
      <c r="P8" s="46">
        <v>987359</v>
      </c>
      <c r="Q8" s="46">
        <v>939100</v>
      </c>
      <c r="R8" s="46">
        <v>987358</v>
      </c>
      <c r="S8" s="46">
        <v>947663</v>
      </c>
      <c r="T8" s="84">
        <v>897731</v>
      </c>
      <c r="U8" s="45">
        <v>939377</v>
      </c>
      <c r="V8" s="195">
        <v>1024143</v>
      </c>
      <c r="W8" s="195">
        <v>1011307</v>
      </c>
      <c r="X8" s="195">
        <f>979250</f>
        <v>979250</v>
      </c>
      <c r="Y8" s="265">
        <v>932876</v>
      </c>
      <c r="Z8" s="176">
        <v>937803</v>
      </c>
      <c r="AA8" s="176">
        <v>844724</v>
      </c>
      <c r="AB8" s="296">
        <f>819206</f>
        <v>819206</v>
      </c>
      <c r="AC8" s="2">
        <v>801719</v>
      </c>
      <c r="AD8" s="324">
        <v>883586</v>
      </c>
      <c r="AE8" s="324">
        <v>866614</v>
      </c>
      <c r="AF8" s="366">
        <v>811768</v>
      </c>
      <c r="AG8" s="366">
        <v>806219</v>
      </c>
      <c r="AH8" s="366">
        <v>856279</v>
      </c>
      <c r="AI8" s="366">
        <v>892061</v>
      </c>
      <c r="AJ8" s="108">
        <v>925651</v>
      </c>
      <c r="AK8" s="2">
        <v>932068</v>
      </c>
      <c r="AL8" s="2">
        <v>906451</v>
      </c>
      <c r="AM8" s="176">
        <v>1085595</v>
      </c>
      <c r="AN8" s="5">
        <v>1077363</v>
      </c>
      <c r="AO8" s="176">
        <v>1080247</v>
      </c>
      <c r="AP8" s="495">
        <v>1108156</v>
      </c>
      <c r="AQ8" s="176">
        <v>1018380</v>
      </c>
      <c r="AR8" s="176">
        <v>874617</v>
      </c>
      <c r="AS8" s="176">
        <v>847845</v>
      </c>
      <c r="AT8" s="176">
        <v>906619</v>
      </c>
      <c r="AU8" s="176">
        <v>860885</v>
      </c>
      <c r="AV8" s="176">
        <v>840877</v>
      </c>
      <c r="AW8" s="176">
        <v>774964</v>
      </c>
      <c r="AX8" s="176">
        <v>885687</v>
      </c>
      <c r="AY8" s="176">
        <v>1092798</v>
      </c>
      <c r="AZ8" s="176">
        <v>1016104</v>
      </c>
      <c r="BA8" s="176">
        <v>980400</v>
      </c>
      <c r="BB8" s="574">
        <v>1045452</v>
      </c>
      <c r="BC8" s="684">
        <v>1051699</v>
      </c>
      <c r="BD8" s="684">
        <v>1012652</v>
      </c>
      <c r="BE8" s="684">
        <v>983954</v>
      </c>
      <c r="BF8" s="684">
        <v>852281</v>
      </c>
      <c r="BG8" s="684">
        <v>767471</v>
      </c>
      <c r="BH8" s="684">
        <v>745738</v>
      </c>
      <c r="BI8" s="684">
        <v>750430</v>
      </c>
      <c r="BJ8" s="684"/>
    </row>
    <row r="9" spans="1:64" ht="16.5" customHeight="1" x14ac:dyDescent="0.3">
      <c r="A9" s="91"/>
      <c r="B9" s="82" t="s">
        <v>4</v>
      </c>
      <c r="C9" s="82"/>
      <c r="D9" s="82"/>
      <c r="E9" s="82"/>
      <c r="F9" s="82"/>
      <c r="G9" s="82"/>
      <c r="H9" s="82"/>
      <c r="I9" s="82"/>
      <c r="J9" s="82"/>
      <c r="K9" s="82"/>
      <c r="L9" s="92"/>
      <c r="M9" s="46"/>
      <c r="N9" s="46"/>
      <c r="O9" s="46"/>
      <c r="P9" s="46"/>
      <c r="Q9" s="46">
        <v>8500</v>
      </c>
      <c r="R9" s="46">
        <v>9127</v>
      </c>
      <c r="S9" s="46">
        <v>9022</v>
      </c>
      <c r="T9" s="84">
        <v>10312</v>
      </c>
      <c r="U9" s="45"/>
      <c r="Y9" s="213"/>
      <c r="Z9" s="176">
        <v>16117</v>
      </c>
      <c r="AA9" s="176">
        <v>18594</v>
      </c>
      <c r="AB9" s="176">
        <v>18594</v>
      </c>
      <c r="AC9" s="176">
        <v>24638</v>
      </c>
      <c r="AD9" s="321">
        <v>29291</v>
      </c>
      <c r="AE9" s="324">
        <v>31646</v>
      </c>
      <c r="AF9" s="366">
        <v>39532</v>
      </c>
      <c r="AG9" s="366">
        <v>39334</v>
      </c>
      <c r="AH9" s="366">
        <v>39253</v>
      </c>
      <c r="AI9" s="366">
        <v>58479</v>
      </c>
      <c r="AJ9" s="108">
        <v>47147</v>
      </c>
      <c r="AK9" s="5">
        <v>40422</v>
      </c>
      <c r="AL9" s="2">
        <v>69024</v>
      </c>
      <c r="AM9" s="176">
        <v>72214</v>
      </c>
      <c r="AN9" s="5">
        <v>73849</v>
      </c>
      <c r="AO9" s="2">
        <v>75289</v>
      </c>
      <c r="AP9" s="495">
        <v>79145</v>
      </c>
      <c r="AQ9" s="176">
        <v>76668</v>
      </c>
      <c r="AR9" s="176">
        <v>78216</v>
      </c>
      <c r="AS9" s="176">
        <v>80417</v>
      </c>
      <c r="AT9" s="176">
        <v>80586</v>
      </c>
      <c r="AU9" s="176">
        <v>80169</v>
      </c>
      <c r="AV9" s="176">
        <v>81563</v>
      </c>
      <c r="AW9" s="176">
        <v>83231</v>
      </c>
      <c r="AX9" s="176">
        <v>84080</v>
      </c>
      <c r="AY9" s="176">
        <v>87231</v>
      </c>
      <c r="AZ9" s="176">
        <v>87429</v>
      </c>
      <c r="BA9" s="176">
        <v>87378</v>
      </c>
      <c r="BB9" s="574">
        <v>87241</v>
      </c>
      <c r="BC9" s="684">
        <v>86867</v>
      </c>
      <c r="BD9" s="684">
        <v>83675</v>
      </c>
      <c r="BE9" s="684">
        <v>82309</v>
      </c>
      <c r="BF9" s="684">
        <v>81408</v>
      </c>
      <c r="BG9" s="684">
        <v>81019</v>
      </c>
      <c r="BH9" s="684">
        <v>80442</v>
      </c>
      <c r="BI9" s="684">
        <v>80508</v>
      </c>
      <c r="BJ9" s="684"/>
    </row>
    <row r="10" spans="1:64" ht="22.5" customHeight="1" x14ac:dyDescent="0.3">
      <c r="A10" s="91"/>
      <c r="B10" s="85" t="s">
        <v>5</v>
      </c>
      <c r="C10" s="85">
        <v>750200</v>
      </c>
      <c r="D10" s="85">
        <v>748000</v>
      </c>
      <c r="E10" s="85">
        <v>718250</v>
      </c>
      <c r="F10" s="85">
        <v>771950</v>
      </c>
      <c r="G10" s="85">
        <v>769400</v>
      </c>
      <c r="H10" s="85">
        <v>768400</v>
      </c>
      <c r="I10" s="85">
        <v>777500</v>
      </c>
      <c r="J10" s="85">
        <v>839900</v>
      </c>
      <c r="K10" s="85">
        <v>917350</v>
      </c>
      <c r="L10" s="93">
        <f>L8</f>
        <v>990734</v>
      </c>
      <c r="M10" s="88">
        <v>948520</v>
      </c>
      <c r="N10" s="88">
        <f>N8</f>
        <v>976307</v>
      </c>
      <c r="O10" s="88">
        <v>968537</v>
      </c>
      <c r="P10" s="88">
        <f t="shared" ref="P10:Z10" si="3">P8+P9</f>
        <v>987359</v>
      </c>
      <c r="Q10" s="88">
        <f t="shared" si="3"/>
        <v>947600</v>
      </c>
      <c r="R10" s="88">
        <f t="shared" si="3"/>
        <v>996485</v>
      </c>
      <c r="S10" s="88">
        <f t="shared" si="3"/>
        <v>956685</v>
      </c>
      <c r="T10" s="89">
        <f t="shared" si="3"/>
        <v>908043</v>
      </c>
      <c r="U10" s="89">
        <f t="shared" si="3"/>
        <v>939377</v>
      </c>
      <c r="V10" s="89">
        <f t="shared" si="3"/>
        <v>1024143</v>
      </c>
      <c r="W10" s="89">
        <f t="shared" si="3"/>
        <v>1011307</v>
      </c>
      <c r="X10" s="89">
        <f t="shared" si="3"/>
        <v>979250</v>
      </c>
      <c r="Y10" s="89">
        <f t="shared" si="3"/>
        <v>932876</v>
      </c>
      <c r="Z10" s="89">
        <f t="shared" si="3"/>
        <v>953920</v>
      </c>
      <c r="AA10" s="89">
        <f t="shared" ref="AA10:BG10" si="4">AA8+AA9</f>
        <v>863318</v>
      </c>
      <c r="AB10" s="89">
        <f t="shared" si="4"/>
        <v>837800</v>
      </c>
      <c r="AC10" s="89">
        <f t="shared" si="4"/>
        <v>826357</v>
      </c>
      <c r="AD10" s="89">
        <f t="shared" si="4"/>
        <v>912877</v>
      </c>
      <c r="AE10" s="89">
        <f t="shared" si="4"/>
        <v>898260</v>
      </c>
      <c r="AF10" s="89">
        <f t="shared" si="4"/>
        <v>851300</v>
      </c>
      <c r="AG10" s="89">
        <f t="shared" si="4"/>
        <v>845553</v>
      </c>
      <c r="AH10" s="89">
        <f t="shared" si="4"/>
        <v>895532</v>
      </c>
      <c r="AI10" s="89">
        <f t="shared" si="4"/>
        <v>950540</v>
      </c>
      <c r="AJ10" s="89">
        <f t="shared" si="4"/>
        <v>972798</v>
      </c>
      <c r="AK10" s="89">
        <f t="shared" si="4"/>
        <v>972490</v>
      </c>
      <c r="AL10" s="89">
        <f t="shared" si="4"/>
        <v>975475</v>
      </c>
      <c r="AM10" s="89">
        <f t="shared" si="4"/>
        <v>1157809</v>
      </c>
      <c r="AN10" s="89">
        <f t="shared" si="4"/>
        <v>1151212</v>
      </c>
      <c r="AO10" s="89">
        <f t="shared" si="4"/>
        <v>1155536</v>
      </c>
      <c r="AP10" s="89">
        <f t="shared" si="4"/>
        <v>1187301</v>
      </c>
      <c r="AQ10" s="89">
        <f t="shared" si="4"/>
        <v>1095048</v>
      </c>
      <c r="AR10" s="89">
        <f t="shared" si="4"/>
        <v>952833</v>
      </c>
      <c r="AS10" s="89">
        <f t="shared" si="4"/>
        <v>928262</v>
      </c>
      <c r="AT10" s="89">
        <f t="shared" si="4"/>
        <v>987205</v>
      </c>
      <c r="AU10" s="89">
        <f t="shared" si="4"/>
        <v>941054</v>
      </c>
      <c r="AV10" s="89">
        <f t="shared" si="4"/>
        <v>922440</v>
      </c>
      <c r="AW10" s="89">
        <f t="shared" si="4"/>
        <v>858195</v>
      </c>
      <c r="AX10" s="89">
        <f t="shared" si="4"/>
        <v>969767</v>
      </c>
      <c r="AY10" s="89">
        <f t="shared" si="4"/>
        <v>1180029</v>
      </c>
      <c r="AZ10" s="89">
        <f t="shared" si="4"/>
        <v>1103533</v>
      </c>
      <c r="BA10" s="367">
        <f t="shared" si="4"/>
        <v>1067778</v>
      </c>
      <c r="BB10" s="367">
        <f t="shared" si="4"/>
        <v>1132693</v>
      </c>
      <c r="BC10" s="367">
        <f t="shared" si="4"/>
        <v>1138566</v>
      </c>
      <c r="BD10" s="367">
        <f t="shared" si="4"/>
        <v>1096327</v>
      </c>
      <c r="BE10" s="367">
        <f t="shared" si="4"/>
        <v>1066263</v>
      </c>
      <c r="BF10" s="367">
        <f t="shared" si="4"/>
        <v>933689</v>
      </c>
      <c r="BG10" s="367">
        <f t="shared" si="4"/>
        <v>848490</v>
      </c>
      <c r="BH10" s="367">
        <f>BH8+BH9</f>
        <v>826180</v>
      </c>
      <c r="BI10" s="367">
        <f>BI8+BI9</f>
        <v>830938</v>
      </c>
      <c r="BJ10" s="367"/>
    </row>
    <row r="11" spans="1:64" ht="24" customHeight="1" x14ac:dyDescent="0.3">
      <c r="A11" s="82"/>
      <c r="B11" s="94" t="s">
        <v>5</v>
      </c>
      <c r="C11" s="94">
        <f>C7+C10</f>
        <v>765200</v>
      </c>
      <c r="D11" s="94">
        <f t="shared" ref="D11:K11" si="5">D7+D10</f>
        <v>764010</v>
      </c>
      <c r="E11" s="94">
        <f t="shared" si="5"/>
        <v>746400</v>
      </c>
      <c r="F11" s="94">
        <f t="shared" si="5"/>
        <v>804950</v>
      </c>
      <c r="G11" s="94">
        <f t="shared" si="5"/>
        <v>806220</v>
      </c>
      <c r="H11" s="94">
        <f t="shared" si="5"/>
        <v>805370</v>
      </c>
      <c r="I11" s="94">
        <f t="shared" si="5"/>
        <v>817800</v>
      </c>
      <c r="J11" s="94">
        <f t="shared" si="5"/>
        <v>881750</v>
      </c>
      <c r="K11" s="94">
        <f t="shared" si="5"/>
        <v>959000</v>
      </c>
      <c r="L11" s="95">
        <f>L10+L7</f>
        <v>1029903</v>
      </c>
      <c r="M11" s="96">
        <f>M10+M7</f>
        <v>988324</v>
      </c>
      <c r="N11" s="96">
        <f t="shared" ref="N11:W11" si="6">N7+N10</f>
        <v>1025903</v>
      </c>
      <c r="O11" s="96">
        <f t="shared" si="6"/>
        <v>1018368</v>
      </c>
      <c r="P11" s="96">
        <f t="shared" si="6"/>
        <v>1036163</v>
      </c>
      <c r="Q11" s="96">
        <f t="shared" si="6"/>
        <v>997265</v>
      </c>
      <c r="R11" s="96">
        <f t="shared" si="6"/>
        <v>1042252</v>
      </c>
      <c r="S11" s="96">
        <f t="shared" si="6"/>
        <v>992893</v>
      </c>
      <c r="T11" s="180">
        <f t="shared" si="6"/>
        <v>943707</v>
      </c>
      <c r="U11" s="180">
        <f t="shared" si="6"/>
        <v>989347</v>
      </c>
      <c r="V11" s="180">
        <f t="shared" si="6"/>
        <v>1076775</v>
      </c>
      <c r="W11" s="180">
        <f t="shared" si="6"/>
        <v>1065155</v>
      </c>
      <c r="X11" s="180">
        <f t="shared" ref="X11:AI11" si="7">X7+X10</f>
        <v>1033766</v>
      </c>
      <c r="Y11" s="180">
        <f t="shared" si="7"/>
        <v>988584</v>
      </c>
      <c r="Z11" s="180">
        <f t="shared" si="7"/>
        <v>984122</v>
      </c>
      <c r="AA11" s="180">
        <f t="shared" si="7"/>
        <v>894832</v>
      </c>
      <c r="AB11" s="180">
        <f t="shared" si="7"/>
        <v>865486</v>
      </c>
      <c r="AC11" s="180">
        <f t="shared" si="7"/>
        <v>852673</v>
      </c>
      <c r="AD11" s="180">
        <f t="shared" si="7"/>
        <v>938340</v>
      </c>
      <c r="AE11" s="180">
        <f t="shared" si="7"/>
        <v>924219</v>
      </c>
      <c r="AF11" s="180">
        <f t="shared" si="7"/>
        <v>888469</v>
      </c>
      <c r="AG11" s="180">
        <f t="shared" si="7"/>
        <v>874399</v>
      </c>
      <c r="AH11" s="180">
        <f t="shared" si="7"/>
        <v>926213</v>
      </c>
      <c r="AI11" s="180">
        <f t="shared" si="7"/>
        <v>986291</v>
      </c>
      <c r="AJ11" s="180">
        <f t="shared" ref="AJ11:AQ11" si="8">AJ7+AJ10</f>
        <v>997481</v>
      </c>
      <c r="AK11" s="180">
        <f t="shared" si="8"/>
        <v>1012276</v>
      </c>
      <c r="AL11" s="180">
        <f t="shared" si="8"/>
        <v>1017165</v>
      </c>
      <c r="AM11" s="180">
        <f t="shared" si="8"/>
        <v>1201460</v>
      </c>
      <c r="AN11" s="180">
        <f t="shared" si="8"/>
        <v>1197164</v>
      </c>
      <c r="AO11" s="180">
        <f t="shared" si="8"/>
        <v>1199840</v>
      </c>
      <c r="AP11" s="180">
        <f t="shared" si="8"/>
        <v>1232763</v>
      </c>
      <c r="AQ11" s="180">
        <f t="shared" si="8"/>
        <v>1139909</v>
      </c>
      <c r="AR11" s="180">
        <f t="shared" ref="AR11:BC11" si="9">AR7+AR10</f>
        <v>996900</v>
      </c>
      <c r="AS11" s="180">
        <f t="shared" si="9"/>
        <v>972498</v>
      </c>
      <c r="AT11" s="180">
        <f t="shared" si="9"/>
        <v>1030561</v>
      </c>
      <c r="AU11" s="180">
        <f t="shared" si="9"/>
        <v>985237</v>
      </c>
      <c r="AV11" s="180">
        <f t="shared" si="9"/>
        <v>967594</v>
      </c>
      <c r="AW11" s="180">
        <f t="shared" si="9"/>
        <v>902620</v>
      </c>
      <c r="AX11" s="180">
        <f t="shared" si="9"/>
        <v>1014468</v>
      </c>
      <c r="AY11" s="180">
        <f t="shared" si="9"/>
        <v>1225697</v>
      </c>
      <c r="AZ11" s="180">
        <f t="shared" si="9"/>
        <v>1149420</v>
      </c>
      <c r="BA11" s="180">
        <f t="shared" si="9"/>
        <v>1113214</v>
      </c>
      <c r="BB11" s="180">
        <f t="shared" si="9"/>
        <v>1177815</v>
      </c>
      <c r="BC11" s="180">
        <f t="shared" si="9"/>
        <v>1182878</v>
      </c>
      <c r="BD11" s="180">
        <f t="shared" ref="BD11:BI11" si="10">BD7+BD10</f>
        <v>1139384</v>
      </c>
      <c r="BE11" s="180">
        <f t="shared" si="10"/>
        <v>1108508</v>
      </c>
      <c r="BF11" s="180">
        <f t="shared" si="10"/>
        <v>975769</v>
      </c>
      <c r="BG11" s="180">
        <f t="shared" si="10"/>
        <v>890393</v>
      </c>
      <c r="BH11" s="180">
        <f t="shared" si="10"/>
        <v>867773</v>
      </c>
      <c r="BI11" s="180">
        <f t="shared" si="10"/>
        <v>872794</v>
      </c>
      <c r="BJ11" s="180"/>
    </row>
    <row r="12" spans="1:64" s="356" customFormat="1" ht="24" customHeight="1" x14ac:dyDescent="0.3">
      <c r="A12" s="82" t="s">
        <v>128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M12" s="96"/>
      <c r="N12" s="96"/>
      <c r="O12" s="96"/>
      <c r="P12" s="96"/>
      <c r="Q12" s="96"/>
      <c r="R12" s="96"/>
      <c r="S12" s="96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>
        <v>5528</v>
      </c>
      <c r="AH12" s="180"/>
      <c r="AI12" s="180"/>
      <c r="AJ12" s="6"/>
      <c r="AS12" s="544"/>
      <c r="AT12" s="541"/>
      <c r="AU12" s="566"/>
      <c r="AV12" s="578"/>
      <c r="AW12" s="578"/>
      <c r="AX12" s="584"/>
      <c r="AY12" s="590"/>
      <c r="AZ12" s="601"/>
      <c r="BA12" s="614"/>
      <c r="BB12" s="572"/>
      <c r="BC12" s="683"/>
      <c r="BD12" s="683"/>
      <c r="BE12" s="683"/>
      <c r="BF12" s="683"/>
      <c r="BG12" s="572"/>
      <c r="BH12" s="572"/>
      <c r="BI12" s="572"/>
      <c r="BJ12" s="572"/>
    </row>
    <row r="13" spans="1:64" x14ac:dyDescent="0.3">
      <c r="B13" s="2" t="s">
        <v>91</v>
      </c>
      <c r="C13" s="65">
        <f>C11/L68</f>
        <v>0.49296913402485593</v>
      </c>
      <c r="D13" s="65">
        <f t="shared" ref="D13:AH13" si="11">D11/D68</f>
        <v>0.78882159443124023</v>
      </c>
      <c r="E13" s="65">
        <f t="shared" si="11"/>
        <v>0.73151513013207259</v>
      </c>
      <c r="F13" s="65">
        <f t="shared" si="11"/>
        <v>0.74849826114448303</v>
      </c>
      <c r="G13" s="65">
        <f t="shared" si="11"/>
        <v>0.69788700085697219</v>
      </c>
      <c r="H13" s="65">
        <f t="shared" si="11"/>
        <v>0.69786706757535455</v>
      </c>
      <c r="I13" s="65">
        <f t="shared" si="11"/>
        <v>0.66843980036715966</v>
      </c>
      <c r="J13" s="65">
        <f t="shared" si="11"/>
        <v>0.67962482089274989</v>
      </c>
      <c r="K13" s="65">
        <f t="shared" si="11"/>
        <v>0.70557766872429495</v>
      </c>
      <c r="L13" s="65">
        <f t="shared" si="11"/>
        <v>0.66350024835285049</v>
      </c>
      <c r="M13" s="65">
        <f t="shared" si="11"/>
        <v>0.67324431438104304</v>
      </c>
      <c r="N13" s="65">
        <f t="shared" si="11"/>
        <v>0.66739158577736024</v>
      </c>
      <c r="O13" s="65">
        <f t="shared" si="11"/>
        <v>0.70147759905823814</v>
      </c>
      <c r="P13" s="65">
        <f t="shared" si="11"/>
        <v>0.7085786070277752</v>
      </c>
      <c r="Q13" s="65">
        <f t="shared" si="11"/>
        <v>0.70695724789528758</v>
      </c>
      <c r="R13" s="65">
        <f t="shared" si="11"/>
        <v>0.68549277118101182</v>
      </c>
      <c r="S13" s="65">
        <f t="shared" si="11"/>
        <v>0.67135266784949266</v>
      </c>
      <c r="T13" s="142">
        <f t="shared" si="11"/>
        <v>0.64302826795893697</v>
      </c>
      <c r="U13" s="142">
        <f t="shared" si="11"/>
        <v>0.64967189614674148</v>
      </c>
      <c r="V13" s="142">
        <f t="shared" si="11"/>
        <v>0.64520236443874535</v>
      </c>
      <c r="W13" s="142">
        <f t="shared" si="11"/>
        <v>0.64017720411288559</v>
      </c>
      <c r="X13" s="142">
        <f t="shared" si="11"/>
        <v>0.62437774586059813</v>
      </c>
      <c r="Y13" s="229">
        <f t="shared" si="11"/>
        <v>0.58610576042316975</v>
      </c>
      <c r="Z13" s="229">
        <f t="shared" si="11"/>
        <v>0.55082832294687967</v>
      </c>
      <c r="AA13" s="229">
        <f t="shared" si="11"/>
        <v>0.54449081767450858</v>
      </c>
      <c r="AB13" s="229">
        <f t="shared" si="11"/>
        <v>0.54706891473172015</v>
      </c>
      <c r="AC13" s="229">
        <f t="shared" si="11"/>
        <v>0.53336998921591439</v>
      </c>
      <c r="AD13" s="229">
        <f t="shared" si="11"/>
        <v>0.53202081046510574</v>
      </c>
      <c r="AE13" s="229">
        <f t="shared" si="11"/>
        <v>0.53383226736579814</v>
      </c>
      <c r="AF13" s="229">
        <f t="shared" si="11"/>
        <v>0.53002200697135993</v>
      </c>
      <c r="AG13" s="229">
        <f t="shared" si="11"/>
        <v>0.5339674916994952</v>
      </c>
      <c r="AH13" s="229">
        <f t="shared" si="11"/>
        <v>0.52381480222620991</v>
      </c>
      <c r="AI13" s="229">
        <f t="shared" ref="AI13:AN13" si="12">AI11/AI68</f>
        <v>0.55601557060751861</v>
      </c>
      <c r="AJ13" s="229">
        <f t="shared" si="12"/>
        <v>0.56882029840396531</v>
      </c>
      <c r="AK13" s="229">
        <f t="shared" si="12"/>
        <v>0.57430482392314586</v>
      </c>
      <c r="AL13" s="229">
        <f t="shared" si="12"/>
        <v>0.54232949516621276</v>
      </c>
      <c r="AM13" s="229">
        <f t="shared" si="12"/>
        <v>0.59778649927755734</v>
      </c>
      <c r="AN13" s="229">
        <f t="shared" si="12"/>
        <v>0.60421174291460689</v>
      </c>
      <c r="AO13" s="229">
        <f t="shared" ref="AO13:AT13" si="13">AO11/AO68</f>
        <v>0.5893216396328429</v>
      </c>
      <c r="AP13" s="229">
        <f t="shared" si="13"/>
        <v>0.55826828385769167</v>
      </c>
      <c r="AQ13" s="229">
        <f t="shared" si="13"/>
        <v>0.56092859793069716</v>
      </c>
      <c r="AR13" s="229">
        <f t="shared" si="13"/>
        <v>0.53068457724896823</v>
      </c>
      <c r="AS13" s="229">
        <f t="shared" si="13"/>
        <v>0.51949290977524742</v>
      </c>
      <c r="AT13" s="229">
        <f t="shared" si="13"/>
        <v>0.50276958172827368</v>
      </c>
      <c r="AU13" s="229">
        <f t="shared" ref="AU13:BA13" si="14">AU11/AU68</f>
        <v>0.50111745198567703</v>
      </c>
      <c r="AV13" s="229">
        <f t="shared" si="14"/>
        <v>0.49977221897968566</v>
      </c>
      <c r="AW13" s="229">
        <f t="shared" si="14"/>
        <v>0.48118253345040107</v>
      </c>
      <c r="AX13" s="229">
        <f t="shared" si="14"/>
        <v>0.54011599150481759</v>
      </c>
      <c r="AY13" s="229">
        <f t="shared" si="14"/>
        <v>0.59084570149902693</v>
      </c>
      <c r="AZ13" s="229">
        <f t="shared" si="14"/>
        <v>0.57208014756165904</v>
      </c>
      <c r="BA13" s="229">
        <f t="shared" si="14"/>
        <v>0.60376005666552046</v>
      </c>
      <c r="BB13" s="229">
        <f t="shared" ref="BB13:BI13" si="15">BB11/BB68</f>
        <v>0.60625830969429595</v>
      </c>
      <c r="BC13" s="229">
        <f t="shared" si="15"/>
        <v>0.59479333702414772</v>
      </c>
      <c r="BD13" s="229">
        <f t="shared" si="15"/>
        <v>0.57686415200183883</v>
      </c>
      <c r="BE13" s="229">
        <f t="shared" si="15"/>
        <v>0.57096029832910977</v>
      </c>
      <c r="BF13" s="229">
        <f t="shared" si="15"/>
        <v>0.50156544999683872</v>
      </c>
      <c r="BG13" s="229">
        <f t="shared" si="15"/>
        <v>0.50082318114091162</v>
      </c>
      <c r="BH13" s="229">
        <f t="shared" si="15"/>
        <v>0.50098925073854628</v>
      </c>
      <c r="BI13" s="229">
        <f t="shared" si="15"/>
        <v>0.50508502824629897</v>
      </c>
      <c r="BJ13" s="229"/>
    </row>
    <row r="14" spans="1:64" x14ac:dyDescent="0.3"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"/>
      <c r="V14" s="66"/>
      <c r="W14" s="66"/>
      <c r="X14" s="66"/>
      <c r="Y14" s="388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</row>
    <row r="15" spans="1:64" x14ac:dyDescent="0.3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>
        <f>((N11/M11)*100)-100</f>
        <v>3.802295603466078</v>
      </c>
      <c r="O15" s="6"/>
      <c r="P15" s="6">
        <f>P13-O13</f>
        <v>7.1010079695370543E-3</v>
      </c>
      <c r="Q15" s="6"/>
      <c r="R15" s="6"/>
      <c r="S15" s="6"/>
      <c r="T15" s="6"/>
      <c r="U15" s="6"/>
      <c r="V15" s="6"/>
      <c r="W15" s="6"/>
      <c r="X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7"/>
    </row>
    <row r="16" spans="1:64" x14ac:dyDescent="0.3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7"/>
    </row>
    <row r="17" spans="1:66" x14ac:dyDescent="0.3">
      <c r="A17" s="120" t="s">
        <v>96</v>
      </c>
      <c r="C17" s="81">
        <v>2007</v>
      </c>
      <c r="D17" s="722">
        <v>2008</v>
      </c>
      <c r="E17" s="722"/>
      <c r="F17" s="722"/>
      <c r="G17" s="722"/>
      <c r="H17" s="722">
        <v>2009</v>
      </c>
      <c r="I17" s="722"/>
      <c r="J17" s="722"/>
      <c r="K17" s="722"/>
      <c r="L17" s="722">
        <v>2010</v>
      </c>
      <c r="M17" s="722"/>
      <c r="N17" s="722"/>
      <c r="O17" s="722"/>
      <c r="P17" s="722">
        <v>2011</v>
      </c>
      <c r="Q17" s="722"/>
      <c r="R17" s="722"/>
      <c r="S17" s="722"/>
      <c r="T17" s="722">
        <v>2012</v>
      </c>
      <c r="U17" s="722"/>
      <c r="V17" s="722"/>
      <c r="W17" s="722"/>
      <c r="X17" s="722">
        <v>2013</v>
      </c>
      <c r="Y17" s="722"/>
      <c r="Z17" s="722"/>
      <c r="AA17" s="6"/>
      <c r="AB17" s="733">
        <v>2014</v>
      </c>
      <c r="AC17" s="733"/>
      <c r="AD17" s="6"/>
      <c r="AE17" s="6"/>
      <c r="AF17" s="6"/>
      <c r="AG17" s="6"/>
      <c r="AH17" s="6"/>
      <c r="AI17" s="6"/>
      <c r="AJ17" s="731">
        <v>2016</v>
      </c>
      <c r="AK17" s="731"/>
      <c r="AL17" s="731"/>
      <c r="AM17" s="731"/>
      <c r="AN17" s="7"/>
      <c r="BD17" s="721">
        <v>2021</v>
      </c>
      <c r="BE17" s="721"/>
      <c r="BF17" s="721"/>
      <c r="BG17" s="721"/>
      <c r="BH17" s="721"/>
      <c r="BI17" s="721"/>
      <c r="BJ17" s="721"/>
      <c r="BK17" s="721"/>
      <c r="BL17" s="721"/>
    </row>
    <row r="18" spans="1:66" x14ac:dyDescent="0.3">
      <c r="A18" s="77" t="s">
        <v>0</v>
      </c>
      <c r="B18" s="80"/>
      <c r="C18" s="80" t="s">
        <v>47</v>
      </c>
      <c r="D18" s="80" t="s">
        <v>43</v>
      </c>
      <c r="E18" s="80" t="s">
        <v>46</v>
      </c>
      <c r="F18" s="80" t="s">
        <v>45</v>
      </c>
      <c r="G18" s="80" t="s">
        <v>44</v>
      </c>
      <c r="H18" s="80" t="s">
        <v>43</v>
      </c>
      <c r="I18" s="80" t="s">
        <v>46</v>
      </c>
      <c r="J18" s="80" t="s">
        <v>45</v>
      </c>
      <c r="K18" s="80" t="s">
        <v>44</v>
      </c>
      <c r="L18" s="80" t="s">
        <v>43</v>
      </c>
      <c r="M18" s="80" t="s">
        <v>46</v>
      </c>
      <c r="N18" s="80" t="s">
        <v>45</v>
      </c>
      <c r="O18" s="80" t="s">
        <v>44</v>
      </c>
      <c r="P18" s="3" t="s">
        <v>48</v>
      </c>
      <c r="Q18" s="3" t="s">
        <v>49</v>
      </c>
      <c r="R18" s="3" t="s">
        <v>45</v>
      </c>
      <c r="S18" s="3" t="s">
        <v>47</v>
      </c>
      <c r="T18" s="3" t="s">
        <v>48</v>
      </c>
      <c r="U18" s="3" t="s">
        <v>49</v>
      </c>
      <c r="V18" s="3" t="s">
        <v>45</v>
      </c>
      <c r="W18" s="3" t="s">
        <v>47</v>
      </c>
      <c r="X18" s="80" t="s">
        <v>48</v>
      </c>
      <c r="Y18" s="214" t="s">
        <v>49</v>
      </c>
      <c r="Z18" s="236" t="s">
        <v>45</v>
      </c>
      <c r="AA18" s="236" t="s">
        <v>47</v>
      </c>
      <c r="AB18" s="300" t="s">
        <v>48</v>
      </c>
      <c r="AC18" s="300" t="s">
        <v>49</v>
      </c>
      <c r="AD18" s="300" t="s">
        <v>45</v>
      </c>
      <c r="AE18" s="300" t="s">
        <v>47</v>
      </c>
      <c r="AF18" s="300" t="s">
        <v>48</v>
      </c>
      <c r="AG18" s="300" t="s">
        <v>49</v>
      </c>
      <c r="AH18" s="300" t="s">
        <v>45</v>
      </c>
      <c r="AI18" s="300" t="s">
        <v>47</v>
      </c>
      <c r="AJ18" s="300" t="s">
        <v>48</v>
      </c>
      <c r="AK18" s="300" t="s">
        <v>49</v>
      </c>
      <c r="AL18" s="235" t="s">
        <v>45</v>
      </c>
      <c r="AM18" s="235" t="s">
        <v>47</v>
      </c>
      <c r="AN18" s="235" t="s">
        <v>48</v>
      </c>
      <c r="AO18" s="235" t="s">
        <v>49</v>
      </c>
      <c r="AP18" s="500" t="s">
        <v>45</v>
      </c>
      <c r="AQ18" s="500" t="s">
        <v>47</v>
      </c>
      <c r="AR18" s="500" t="s">
        <v>48</v>
      </c>
      <c r="AS18" s="500" t="s">
        <v>49</v>
      </c>
      <c r="AT18" s="500" t="s">
        <v>45</v>
      </c>
      <c r="AU18" s="500" t="s">
        <v>47</v>
      </c>
      <c r="AV18" s="500" t="s">
        <v>48</v>
      </c>
      <c r="AW18" s="500" t="s">
        <v>49</v>
      </c>
      <c r="AX18" s="500" t="s">
        <v>45</v>
      </c>
      <c r="AY18" s="500" t="s">
        <v>47</v>
      </c>
      <c r="AZ18" s="500" t="s">
        <v>48</v>
      </c>
      <c r="BA18" s="500" t="s">
        <v>49</v>
      </c>
      <c r="BB18" s="500" t="s">
        <v>45</v>
      </c>
      <c r="BC18" s="500" t="s">
        <v>47</v>
      </c>
      <c r="BD18" s="621" t="s">
        <v>147</v>
      </c>
      <c r="BE18" s="627" t="s">
        <v>49</v>
      </c>
      <c r="BF18" s="675" t="s">
        <v>45</v>
      </c>
      <c r="BG18" s="681" t="s">
        <v>47</v>
      </c>
      <c r="BH18" s="690" t="s">
        <v>43</v>
      </c>
      <c r="BI18" s="695" t="s">
        <v>49</v>
      </c>
      <c r="BJ18" s="685"/>
      <c r="BM18" s="1"/>
      <c r="BN18" s="1"/>
    </row>
    <row r="19" spans="1:66" x14ac:dyDescent="0.3">
      <c r="A19" s="723" t="s">
        <v>2</v>
      </c>
      <c r="B19" s="82" t="s">
        <v>3</v>
      </c>
      <c r="C19" s="46"/>
      <c r="D19" s="46"/>
      <c r="E19" s="46"/>
      <c r="F19" s="46"/>
      <c r="G19" s="46"/>
      <c r="H19" s="46"/>
      <c r="I19" s="46"/>
      <c r="J19" s="5"/>
      <c r="K19" s="5"/>
      <c r="L19" s="97"/>
      <c r="M19" s="98">
        <v>1403</v>
      </c>
      <c r="N19" s="99">
        <v>870</v>
      </c>
      <c r="O19" s="46">
        <v>767</v>
      </c>
      <c r="P19" s="46">
        <v>691</v>
      </c>
      <c r="Q19" s="46">
        <v>639</v>
      </c>
      <c r="R19" s="46">
        <v>658</v>
      </c>
      <c r="S19" s="46">
        <v>858</v>
      </c>
      <c r="T19" s="46">
        <v>540</v>
      </c>
      <c r="U19" s="140">
        <v>502</v>
      </c>
      <c r="V19" s="7">
        <v>477</v>
      </c>
      <c r="W19" s="7">
        <v>437</v>
      </c>
      <c r="X19" s="7">
        <v>416</v>
      </c>
      <c r="Y19" s="213">
        <v>395</v>
      </c>
      <c r="Z19" s="237" t="s">
        <v>114</v>
      </c>
      <c r="AA19" s="108">
        <v>1545</v>
      </c>
      <c r="AB19" s="49">
        <v>2492</v>
      </c>
      <c r="AC19" s="108">
        <v>2907</v>
      </c>
      <c r="AD19" s="108">
        <v>4289</v>
      </c>
      <c r="AE19" s="1">
        <v>5370</v>
      </c>
      <c r="AF19" s="1">
        <v>5638</v>
      </c>
      <c r="AG19" s="175">
        <v>5614</v>
      </c>
      <c r="AH19" s="175">
        <v>5721</v>
      </c>
      <c r="AI19" s="175">
        <v>6199</v>
      </c>
      <c r="AJ19" s="108">
        <v>6327</v>
      </c>
      <c r="AK19" s="108">
        <v>6731</v>
      </c>
      <c r="AL19" s="2">
        <v>6965</v>
      </c>
      <c r="AM19" s="176">
        <v>6891</v>
      </c>
      <c r="AN19" s="5">
        <v>7979</v>
      </c>
      <c r="AO19" s="176">
        <v>7640</v>
      </c>
      <c r="AP19" s="2">
        <v>7131</v>
      </c>
      <c r="AQ19" s="2">
        <v>7012</v>
      </c>
      <c r="AR19" s="176">
        <v>6729</v>
      </c>
      <c r="AS19" s="176">
        <v>24364</v>
      </c>
      <c r="AT19" s="562">
        <v>35473</v>
      </c>
      <c r="AU19" s="176">
        <v>42965</v>
      </c>
      <c r="AV19" s="176">
        <v>47843</v>
      </c>
      <c r="AW19" s="578">
        <v>51800</v>
      </c>
      <c r="AX19" s="584">
        <v>50987</v>
      </c>
      <c r="AY19" s="590">
        <v>55806</v>
      </c>
      <c r="AZ19" s="601">
        <v>58262</v>
      </c>
      <c r="BA19" s="614">
        <v>57363</v>
      </c>
      <c r="BB19" s="572">
        <v>56955</v>
      </c>
      <c r="BC19" s="572">
        <v>59553</v>
      </c>
      <c r="BD19" s="574">
        <v>66379</v>
      </c>
      <c r="BE19" s="574">
        <v>70169</v>
      </c>
      <c r="BF19" s="574">
        <v>71229</v>
      </c>
      <c r="BG19" s="574">
        <v>81031</v>
      </c>
      <c r="BH19" s="574">
        <v>85863</v>
      </c>
      <c r="BI19" s="574">
        <v>86294</v>
      </c>
      <c r="BJ19" s="574"/>
      <c r="BK19" s="1"/>
      <c r="BL19" s="1"/>
    </row>
    <row r="20" spans="1:66" x14ac:dyDescent="0.3">
      <c r="A20" s="724"/>
      <c r="B20" s="82" t="s">
        <v>4</v>
      </c>
      <c r="C20" s="46"/>
      <c r="D20" s="46"/>
      <c r="E20" s="46"/>
      <c r="F20" s="46"/>
      <c r="G20" s="46"/>
      <c r="H20" s="46"/>
      <c r="I20" s="46"/>
      <c r="J20" s="5"/>
      <c r="K20" s="5"/>
      <c r="L20" s="97">
        <v>4649</v>
      </c>
      <c r="M20" s="98">
        <v>10818</v>
      </c>
      <c r="N20" s="99">
        <v>8808</v>
      </c>
      <c r="O20" s="46">
        <v>8899</v>
      </c>
      <c r="P20" s="46">
        <v>9644</v>
      </c>
      <c r="Q20" s="46">
        <v>8382</v>
      </c>
      <c r="R20" s="46">
        <v>10463</v>
      </c>
      <c r="S20" s="46">
        <v>23080</v>
      </c>
      <c r="T20" s="46">
        <v>24453</v>
      </c>
      <c r="U20" s="140">
        <v>25715</v>
      </c>
      <c r="V20" s="176">
        <v>26862</v>
      </c>
      <c r="W20" s="176">
        <v>28746</v>
      </c>
      <c r="X20" s="176">
        <v>29285</v>
      </c>
      <c r="Y20" s="215">
        <v>30241</v>
      </c>
      <c r="Z20" s="249">
        <v>31328</v>
      </c>
      <c r="AA20" s="108">
        <v>36299</v>
      </c>
      <c r="AB20" s="49">
        <v>36889</v>
      </c>
      <c r="AC20" s="108">
        <v>37055</v>
      </c>
      <c r="AD20" s="108">
        <v>37252</v>
      </c>
      <c r="AE20" s="1">
        <v>38465</v>
      </c>
      <c r="AF20" s="1">
        <v>38279</v>
      </c>
      <c r="AG20" s="175">
        <v>38760</v>
      </c>
      <c r="AH20" s="175">
        <v>40797</v>
      </c>
      <c r="AI20" s="175">
        <v>41819</v>
      </c>
      <c r="AJ20" s="346">
        <v>43033</v>
      </c>
      <c r="AK20" s="416">
        <v>43385</v>
      </c>
      <c r="AL20" s="2">
        <v>48564</v>
      </c>
      <c r="AM20" s="176">
        <v>49839</v>
      </c>
      <c r="AN20" s="5">
        <v>52104</v>
      </c>
      <c r="AO20" s="176">
        <v>55402</v>
      </c>
      <c r="AP20" s="2">
        <v>57220</v>
      </c>
      <c r="AQ20" s="2">
        <v>63419</v>
      </c>
      <c r="AR20" s="176">
        <v>66286</v>
      </c>
      <c r="AS20" s="176">
        <v>69765</v>
      </c>
      <c r="AT20" s="562">
        <v>73342</v>
      </c>
      <c r="AU20" s="176">
        <v>73121</v>
      </c>
      <c r="AV20" s="176">
        <v>76258</v>
      </c>
      <c r="AW20" s="578">
        <v>78612</v>
      </c>
      <c r="AX20" s="584">
        <v>84439</v>
      </c>
      <c r="AY20" s="590">
        <v>87532</v>
      </c>
      <c r="AZ20" s="601">
        <v>93919</v>
      </c>
      <c r="BA20" s="614">
        <v>94482</v>
      </c>
      <c r="BB20" s="572">
        <v>96503</v>
      </c>
      <c r="BC20" s="572">
        <v>99479</v>
      </c>
      <c r="BD20" s="574">
        <v>102319</v>
      </c>
      <c r="BE20" s="574">
        <v>106025</v>
      </c>
      <c r="BF20" s="574">
        <v>108461</v>
      </c>
      <c r="BG20" s="574">
        <v>111618</v>
      </c>
      <c r="BH20" s="574">
        <v>114711</v>
      </c>
      <c r="BI20" s="574">
        <v>116251</v>
      </c>
      <c r="BJ20" s="574"/>
      <c r="BK20" s="1"/>
      <c r="BL20" s="1"/>
    </row>
    <row r="21" spans="1:66" x14ac:dyDescent="0.3">
      <c r="A21" s="724"/>
      <c r="B21" s="85" t="s">
        <v>5</v>
      </c>
      <c r="C21" s="100">
        <v>0</v>
      </c>
      <c r="D21" s="100">
        <v>455</v>
      </c>
      <c r="E21" s="100">
        <v>759</v>
      </c>
      <c r="F21" s="100">
        <v>912</v>
      </c>
      <c r="G21" s="100">
        <v>2000</v>
      </c>
      <c r="H21" s="100">
        <v>7663</v>
      </c>
      <c r="I21" s="100">
        <v>9118</v>
      </c>
      <c r="J21" s="101">
        <v>10050</v>
      </c>
      <c r="K21" s="101">
        <v>11105</v>
      </c>
      <c r="L21" s="102">
        <f>SUM(L19:L20)</f>
        <v>4649</v>
      </c>
      <c r="M21" s="103">
        <f>M19+M20</f>
        <v>12221</v>
      </c>
      <c r="N21" s="104">
        <f>SUM(N19:N20)</f>
        <v>9678</v>
      </c>
      <c r="O21" s="88">
        <f t="shared" ref="O21:T21" si="16">O19+O20</f>
        <v>9666</v>
      </c>
      <c r="P21" s="88">
        <f t="shared" si="16"/>
        <v>10335</v>
      </c>
      <c r="Q21" s="88">
        <f t="shared" si="16"/>
        <v>9021</v>
      </c>
      <c r="R21" s="88">
        <f t="shared" si="16"/>
        <v>11121</v>
      </c>
      <c r="S21" s="88">
        <f t="shared" si="16"/>
        <v>23938</v>
      </c>
      <c r="T21" s="88">
        <f t="shared" si="16"/>
        <v>24993</v>
      </c>
      <c r="U21" s="88">
        <f t="shared" ref="U21:AB21" si="17">U19+U20</f>
        <v>26217</v>
      </c>
      <c r="V21" s="88">
        <f t="shared" si="17"/>
        <v>27339</v>
      </c>
      <c r="W21" s="88">
        <f t="shared" si="17"/>
        <v>29183</v>
      </c>
      <c r="X21" s="88">
        <f t="shared" si="17"/>
        <v>29701</v>
      </c>
      <c r="Y21" s="88">
        <f t="shared" si="17"/>
        <v>30636</v>
      </c>
      <c r="Z21" s="248">
        <f t="shared" si="17"/>
        <v>31707</v>
      </c>
      <c r="AA21" s="248">
        <f t="shared" si="17"/>
        <v>37844</v>
      </c>
      <c r="AB21" s="248">
        <f t="shared" si="17"/>
        <v>39381</v>
      </c>
      <c r="AC21" s="248">
        <f>AC19+AC20</f>
        <v>39962</v>
      </c>
      <c r="AD21" s="248">
        <f>AD19+AD20</f>
        <v>41541</v>
      </c>
      <c r="AE21" s="248">
        <f t="shared" ref="AE21:BA21" si="18">SUM(AE19:AE20)</f>
        <v>43835</v>
      </c>
      <c r="AF21" s="248">
        <f t="shared" si="18"/>
        <v>43917</v>
      </c>
      <c r="AG21" s="248">
        <f t="shared" si="18"/>
        <v>44374</v>
      </c>
      <c r="AH21" s="248">
        <f t="shared" si="18"/>
        <v>46518</v>
      </c>
      <c r="AI21" s="248">
        <f t="shared" si="18"/>
        <v>48018</v>
      </c>
      <c r="AJ21" s="248">
        <f t="shared" si="18"/>
        <v>49360</v>
      </c>
      <c r="AK21" s="248">
        <f t="shared" si="18"/>
        <v>50116</v>
      </c>
      <c r="AL21" s="248">
        <f t="shared" si="18"/>
        <v>55529</v>
      </c>
      <c r="AM21" s="248">
        <f t="shared" si="18"/>
        <v>56730</v>
      </c>
      <c r="AN21" s="248">
        <f t="shared" si="18"/>
        <v>60083</v>
      </c>
      <c r="AO21" s="248">
        <f t="shared" si="18"/>
        <v>63042</v>
      </c>
      <c r="AP21" s="248">
        <f t="shared" si="18"/>
        <v>64351</v>
      </c>
      <c r="AQ21" s="248">
        <f t="shared" si="18"/>
        <v>70431</v>
      </c>
      <c r="AR21" s="248">
        <f t="shared" si="18"/>
        <v>73015</v>
      </c>
      <c r="AS21" s="248">
        <f t="shared" si="18"/>
        <v>94129</v>
      </c>
      <c r="AT21" s="248">
        <f t="shared" si="18"/>
        <v>108815</v>
      </c>
      <c r="AU21" s="248">
        <f t="shared" si="18"/>
        <v>116086</v>
      </c>
      <c r="AV21" s="248">
        <f t="shared" si="18"/>
        <v>124101</v>
      </c>
      <c r="AW21" s="248">
        <f t="shared" si="18"/>
        <v>130412</v>
      </c>
      <c r="AX21" s="248">
        <f t="shared" si="18"/>
        <v>135426</v>
      </c>
      <c r="AY21" s="248">
        <f t="shared" si="18"/>
        <v>143338</v>
      </c>
      <c r="AZ21" s="248">
        <f t="shared" si="18"/>
        <v>152181</v>
      </c>
      <c r="BA21" s="248">
        <f t="shared" si="18"/>
        <v>151845</v>
      </c>
      <c r="BB21" s="248">
        <f t="shared" ref="BB21:BI21" si="19">SUM(BB19:BB20)</f>
        <v>153458</v>
      </c>
      <c r="BC21" s="248">
        <f t="shared" si="19"/>
        <v>159032</v>
      </c>
      <c r="BD21" s="248">
        <f t="shared" si="19"/>
        <v>168698</v>
      </c>
      <c r="BE21" s="248">
        <f t="shared" si="19"/>
        <v>176194</v>
      </c>
      <c r="BF21" s="248">
        <f t="shared" si="19"/>
        <v>179690</v>
      </c>
      <c r="BG21" s="248">
        <f t="shared" si="19"/>
        <v>192649</v>
      </c>
      <c r="BH21" s="248">
        <f t="shared" si="19"/>
        <v>200574</v>
      </c>
      <c r="BI21" s="248">
        <f t="shared" si="19"/>
        <v>202545</v>
      </c>
      <c r="BJ21" s="248"/>
      <c r="BK21" s="1"/>
      <c r="BL21" s="1"/>
    </row>
    <row r="22" spans="1:66" x14ac:dyDescent="0.3">
      <c r="A22" s="725" t="s">
        <v>6</v>
      </c>
      <c r="B22" s="82" t="s">
        <v>3</v>
      </c>
      <c r="C22" s="46"/>
      <c r="D22" s="46"/>
      <c r="E22" s="46"/>
      <c r="F22" s="46"/>
      <c r="G22" s="46"/>
      <c r="H22" s="46"/>
      <c r="I22" s="46"/>
      <c r="J22" s="5"/>
      <c r="K22" s="5"/>
      <c r="L22" s="97">
        <v>481935</v>
      </c>
      <c r="M22" s="98">
        <v>412711</v>
      </c>
      <c r="N22" s="99">
        <v>426401</v>
      </c>
      <c r="O22" s="46">
        <v>378186</v>
      </c>
      <c r="P22" s="46">
        <v>343367</v>
      </c>
      <c r="Q22" s="46">
        <v>313713</v>
      </c>
      <c r="R22" s="46">
        <v>345847</v>
      </c>
      <c r="S22" s="46">
        <v>331561</v>
      </c>
      <c r="T22" s="46">
        <v>326388</v>
      </c>
      <c r="U22" s="177">
        <v>331055</v>
      </c>
      <c r="V22" s="176">
        <v>385300</v>
      </c>
      <c r="W22" s="176">
        <v>379943</v>
      </c>
      <c r="X22" s="176">
        <v>391800</v>
      </c>
      <c r="Y22" s="215">
        <v>447480</v>
      </c>
      <c r="Z22" s="249">
        <v>535977</v>
      </c>
      <c r="AA22" s="176">
        <v>481517</v>
      </c>
      <c r="AB22" s="49">
        <v>465485</v>
      </c>
      <c r="AC22" s="108">
        <v>491150</v>
      </c>
      <c r="AD22" s="108">
        <v>564746</v>
      </c>
      <c r="AE22" s="1">
        <v>544189</v>
      </c>
      <c r="AF22" s="1">
        <v>526962</v>
      </c>
      <c r="AG22" s="1">
        <v>504351</v>
      </c>
      <c r="AH22" s="1">
        <v>568427</v>
      </c>
      <c r="AI22" s="1">
        <v>506477</v>
      </c>
      <c r="AJ22" s="108">
        <v>473964</v>
      </c>
      <c r="AK22" s="108">
        <v>470125</v>
      </c>
      <c r="AL22" s="176">
        <v>570383</v>
      </c>
      <c r="AM22" s="5">
        <v>521571</v>
      </c>
      <c r="AN22" s="5">
        <v>493167</v>
      </c>
      <c r="AO22" s="176">
        <v>513627</v>
      </c>
      <c r="AP22" s="176">
        <v>623872</v>
      </c>
      <c r="AQ22" s="2">
        <v>523872</v>
      </c>
      <c r="AR22" s="176">
        <v>501034</v>
      </c>
      <c r="AS22" s="176">
        <v>491906</v>
      </c>
      <c r="AT22" s="176">
        <v>573396</v>
      </c>
      <c r="AU22" s="176">
        <v>512516</v>
      </c>
      <c r="AV22" s="176">
        <v>484275</v>
      </c>
      <c r="AW22" s="176">
        <v>486550</v>
      </c>
      <c r="AX22" s="176">
        <v>605548</v>
      </c>
      <c r="AY22" s="176">
        <v>581950</v>
      </c>
      <c r="AZ22" s="176">
        <v>583296</v>
      </c>
      <c r="BA22" s="176">
        <v>453363</v>
      </c>
      <c r="BB22" s="574">
        <v>486111</v>
      </c>
      <c r="BC22" s="574">
        <v>520042</v>
      </c>
      <c r="BD22" s="574">
        <v>538799</v>
      </c>
      <c r="BE22" s="574">
        <v>526112</v>
      </c>
      <c r="BF22" s="574">
        <v>657241</v>
      </c>
      <c r="BG22" s="574">
        <v>561719</v>
      </c>
      <c r="BH22" s="574">
        <v>529588</v>
      </c>
      <c r="BI22" s="574">
        <v>521365</v>
      </c>
      <c r="BJ22" s="574"/>
      <c r="BK22" s="1"/>
      <c r="BL22" s="1"/>
    </row>
    <row r="23" spans="1:66" x14ac:dyDescent="0.3">
      <c r="A23" s="726"/>
      <c r="B23" s="82" t="s">
        <v>4</v>
      </c>
      <c r="C23" s="46"/>
      <c r="D23" s="46"/>
      <c r="E23" s="46"/>
      <c r="F23" s="46"/>
      <c r="G23" s="46"/>
      <c r="H23" s="46"/>
      <c r="I23" s="46"/>
      <c r="J23" s="5"/>
      <c r="K23" s="5"/>
      <c r="L23" s="97">
        <v>8063</v>
      </c>
      <c r="M23" s="98">
        <v>8333</v>
      </c>
      <c r="N23" s="99">
        <v>8580</v>
      </c>
      <c r="O23" s="46">
        <v>9376</v>
      </c>
      <c r="P23" s="46">
        <v>9394</v>
      </c>
      <c r="Q23" s="46">
        <v>13043</v>
      </c>
      <c r="R23" s="46">
        <v>17706</v>
      </c>
      <c r="S23" s="46">
        <v>18401</v>
      </c>
      <c r="T23" s="46">
        <v>19625</v>
      </c>
      <c r="U23" s="177">
        <v>21916</v>
      </c>
      <c r="V23" s="176">
        <v>23138</v>
      </c>
      <c r="W23" s="176">
        <v>24913</v>
      </c>
      <c r="X23" s="176">
        <v>26168</v>
      </c>
      <c r="Y23" s="215">
        <v>28547</v>
      </c>
      <c r="Z23" s="247" t="s">
        <v>115</v>
      </c>
      <c r="AA23" s="108">
        <v>34649</v>
      </c>
      <c r="AB23" s="49">
        <v>35721</v>
      </c>
      <c r="AC23" s="108">
        <v>40577</v>
      </c>
      <c r="AD23" s="108">
        <v>36503</v>
      </c>
      <c r="AE23" s="1">
        <v>38793</v>
      </c>
      <c r="AF23" s="1">
        <v>40258</v>
      </c>
      <c r="AG23" s="1">
        <v>43845</v>
      </c>
      <c r="AH23" s="1">
        <v>54506</v>
      </c>
      <c r="AI23" s="1">
        <v>65143</v>
      </c>
      <c r="AJ23" s="346">
        <v>69223</v>
      </c>
      <c r="AK23" s="416">
        <v>72635</v>
      </c>
      <c r="AL23" s="176">
        <v>75200</v>
      </c>
      <c r="AM23" s="176">
        <v>76892</v>
      </c>
      <c r="AN23" s="5">
        <v>80990</v>
      </c>
      <c r="AO23" s="176">
        <v>84042</v>
      </c>
      <c r="AP23" s="176">
        <v>86244</v>
      </c>
      <c r="AQ23" s="2">
        <v>88267</v>
      </c>
      <c r="AR23" s="176">
        <v>89983</v>
      </c>
      <c r="AS23" s="176">
        <v>89112</v>
      </c>
      <c r="AT23" s="176">
        <v>88370</v>
      </c>
      <c r="AU23" s="176">
        <v>91169</v>
      </c>
      <c r="AV23" s="176">
        <v>90461</v>
      </c>
      <c r="AW23" s="176">
        <v>90547</v>
      </c>
      <c r="AX23" s="176">
        <v>91397</v>
      </c>
      <c r="AY23" s="176">
        <v>91857</v>
      </c>
      <c r="AZ23" s="176">
        <v>92793</v>
      </c>
      <c r="BA23" s="176">
        <v>93955</v>
      </c>
      <c r="BB23" s="574">
        <v>94659</v>
      </c>
      <c r="BC23" s="574">
        <v>96074</v>
      </c>
      <c r="BD23" s="574">
        <v>97383</v>
      </c>
      <c r="BE23" s="574">
        <v>99624</v>
      </c>
      <c r="BF23" s="574">
        <v>101532</v>
      </c>
      <c r="BG23" s="574">
        <v>102243</v>
      </c>
      <c r="BH23" s="574">
        <v>103373</v>
      </c>
      <c r="BI23" s="574">
        <v>103239</v>
      </c>
      <c r="BJ23" s="574"/>
      <c r="BK23" s="1"/>
      <c r="BL23" s="1"/>
    </row>
    <row r="24" spans="1:66" x14ac:dyDescent="0.3">
      <c r="A24" s="726"/>
      <c r="B24" s="85" t="s">
        <v>5</v>
      </c>
      <c r="C24" s="100">
        <v>93631</v>
      </c>
      <c r="D24" s="100">
        <v>204081</v>
      </c>
      <c r="E24" s="100">
        <v>273189</v>
      </c>
      <c r="F24" s="100">
        <v>269558</v>
      </c>
      <c r="G24" s="100">
        <v>347010</v>
      </c>
      <c r="H24" s="100">
        <v>331324</v>
      </c>
      <c r="I24" s="100">
        <v>371479</v>
      </c>
      <c r="J24" s="101">
        <v>385850</v>
      </c>
      <c r="K24" s="101">
        <v>376571</v>
      </c>
      <c r="L24" s="102">
        <f>SUM(L22:L23)</f>
        <v>489998</v>
      </c>
      <c r="M24" s="103">
        <f>M22+M23</f>
        <v>421044</v>
      </c>
      <c r="N24" s="104">
        <f>SUM(N22:N23)</f>
        <v>434981</v>
      </c>
      <c r="O24" s="88">
        <f t="shared" ref="O24:U24" si="20">O22+O23</f>
        <v>387562</v>
      </c>
      <c r="P24" s="88">
        <f t="shared" si="20"/>
        <v>352761</v>
      </c>
      <c r="Q24" s="88">
        <f t="shared" si="20"/>
        <v>326756</v>
      </c>
      <c r="R24" s="88">
        <f t="shared" si="20"/>
        <v>363553</v>
      </c>
      <c r="S24" s="88">
        <f t="shared" si="20"/>
        <v>349962</v>
      </c>
      <c r="T24" s="88">
        <f t="shared" si="20"/>
        <v>346013</v>
      </c>
      <c r="U24" s="88">
        <f t="shared" si="20"/>
        <v>352971</v>
      </c>
      <c r="V24" s="88">
        <f t="shared" ref="V24:AD24" si="21">V22+V23</f>
        <v>408438</v>
      </c>
      <c r="W24" s="88">
        <f t="shared" si="21"/>
        <v>404856</v>
      </c>
      <c r="X24" s="88">
        <f t="shared" si="21"/>
        <v>417968</v>
      </c>
      <c r="Y24" s="88">
        <f t="shared" si="21"/>
        <v>476027</v>
      </c>
      <c r="Z24" s="88">
        <f t="shared" si="21"/>
        <v>566189</v>
      </c>
      <c r="AA24" s="88">
        <f t="shared" si="21"/>
        <v>516166</v>
      </c>
      <c r="AB24" s="88">
        <f t="shared" si="21"/>
        <v>501206</v>
      </c>
      <c r="AC24" s="88">
        <f t="shared" si="21"/>
        <v>531727</v>
      </c>
      <c r="AD24" s="88">
        <f t="shared" si="21"/>
        <v>601249</v>
      </c>
      <c r="AE24" s="88">
        <f t="shared" ref="AE24:BD24" si="22">SUM(AE22:AE23)</f>
        <v>582982</v>
      </c>
      <c r="AF24" s="88">
        <f t="shared" si="22"/>
        <v>567220</v>
      </c>
      <c r="AG24" s="88">
        <f t="shared" si="22"/>
        <v>548196</v>
      </c>
      <c r="AH24" s="88">
        <f t="shared" si="22"/>
        <v>622933</v>
      </c>
      <c r="AI24" s="88">
        <f t="shared" si="22"/>
        <v>571620</v>
      </c>
      <c r="AJ24" s="88">
        <f t="shared" si="22"/>
        <v>543187</v>
      </c>
      <c r="AK24" s="88">
        <f t="shared" si="22"/>
        <v>542760</v>
      </c>
      <c r="AL24" s="88">
        <f t="shared" si="22"/>
        <v>645583</v>
      </c>
      <c r="AM24" s="88">
        <f t="shared" si="22"/>
        <v>598463</v>
      </c>
      <c r="AN24" s="88">
        <f t="shared" si="22"/>
        <v>574157</v>
      </c>
      <c r="AO24" s="88">
        <f t="shared" si="22"/>
        <v>597669</v>
      </c>
      <c r="AP24" s="88">
        <f t="shared" si="22"/>
        <v>710116</v>
      </c>
      <c r="AQ24" s="88">
        <f t="shared" si="22"/>
        <v>612139</v>
      </c>
      <c r="AR24" s="88">
        <f t="shared" si="22"/>
        <v>591017</v>
      </c>
      <c r="AS24" s="88">
        <f t="shared" si="22"/>
        <v>581018</v>
      </c>
      <c r="AT24" s="88">
        <f t="shared" si="22"/>
        <v>661766</v>
      </c>
      <c r="AU24" s="88">
        <f t="shared" si="22"/>
        <v>603685</v>
      </c>
      <c r="AV24" s="88">
        <f t="shared" si="22"/>
        <v>574736</v>
      </c>
      <c r="AW24" s="88">
        <f t="shared" si="22"/>
        <v>577097</v>
      </c>
      <c r="AX24" s="88">
        <f t="shared" si="22"/>
        <v>696945</v>
      </c>
      <c r="AY24" s="88">
        <f t="shared" si="22"/>
        <v>673807</v>
      </c>
      <c r="AZ24" s="88">
        <f t="shared" si="22"/>
        <v>676089</v>
      </c>
      <c r="BA24" s="88">
        <f t="shared" si="22"/>
        <v>547318</v>
      </c>
      <c r="BB24" s="88">
        <f t="shared" si="22"/>
        <v>580770</v>
      </c>
      <c r="BC24" s="88">
        <f t="shared" si="22"/>
        <v>616116</v>
      </c>
      <c r="BD24" s="248">
        <f t="shared" si="22"/>
        <v>636182</v>
      </c>
      <c r="BE24" s="248">
        <f>SUM(BE22:BE23)</f>
        <v>625736</v>
      </c>
      <c r="BF24" s="248">
        <f>SUM(BF22:BF23)</f>
        <v>758773</v>
      </c>
      <c r="BG24" s="248">
        <f>SUM(BG22:BG23)</f>
        <v>663962</v>
      </c>
      <c r="BH24" s="248">
        <f>SUM(BH22:BH23)</f>
        <v>632961</v>
      </c>
      <c r="BI24" s="248">
        <f>SUM(BI22:BI23)</f>
        <v>624604</v>
      </c>
      <c r="BJ24" s="248"/>
      <c r="BK24" s="1"/>
      <c r="BL24" s="1"/>
    </row>
    <row r="25" spans="1:66" s="671" customFormat="1" x14ac:dyDescent="0.3">
      <c r="A25" s="672" t="s">
        <v>128</v>
      </c>
      <c r="B25" s="85"/>
      <c r="C25" s="100"/>
      <c r="D25" s="100"/>
      <c r="E25" s="100"/>
      <c r="F25" s="100"/>
      <c r="G25" s="100"/>
      <c r="H25" s="100"/>
      <c r="I25" s="100"/>
      <c r="J25" s="101"/>
      <c r="K25" s="101"/>
      <c r="L25" s="102"/>
      <c r="M25" s="103"/>
      <c r="N25" s="104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248"/>
      <c r="BE25" s="248"/>
      <c r="BF25" s="248"/>
      <c r="BG25" s="248"/>
      <c r="BH25" s="248"/>
      <c r="BI25" s="248"/>
      <c r="BJ25" s="248"/>
      <c r="BK25" s="1"/>
      <c r="BL25" s="1"/>
    </row>
    <row r="26" spans="1:66" x14ac:dyDescent="0.3">
      <c r="A26" s="82"/>
      <c r="B26" s="94" t="s">
        <v>5</v>
      </c>
      <c r="C26" s="96">
        <f>C21+C24</f>
        <v>93631</v>
      </c>
      <c r="D26" s="96">
        <f t="shared" ref="D26:K26" si="23">D21+D24</f>
        <v>204536</v>
      </c>
      <c r="E26" s="96">
        <f t="shared" si="23"/>
        <v>273948</v>
      </c>
      <c r="F26" s="96">
        <f t="shared" si="23"/>
        <v>270470</v>
      </c>
      <c r="G26" s="96">
        <f t="shared" si="23"/>
        <v>349010</v>
      </c>
      <c r="H26" s="96">
        <f t="shared" si="23"/>
        <v>338987</v>
      </c>
      <c r="I26" s="96">
        <f t="shared" si="23"/>
        <v>380597</v>
      </c>
      <c r="J26" s="96">
        <f t="shared" si="23"/>
        <v>395900</v>
      </c>
      <c r="K26" s="96">
        <f t="shared" si="23"/>
        <v>387676</v>
      </c>
      <c r="L26" s="105">
        <f t="shared" ref="L26:Q26" si="24">L21+L24</f>
        <v>494647</v>
      </c>
      <c r="M26" s="106">
        <f t="shared" si="24"/>
        <v>433265</v>
      </c>
      <c r="N26" s="106">
        <f t="shared" si="24"/>
        <v>444659</v>
      </c>
      <c r="O26" s="96">
        <f t="shared" si="24"/>
        <v>397228</v>
      </c>
      <c r="P26" s="96">
        <f t="shared" si="24"/>
        <v>363096</v>
      </c>
      <c r="Q26" s="96">
        <f t="shared" si="24"/>
        <v>335777</v>
      </c>
      <c r="R26" s="96">
        <f t="shared" ref="R26:W26" si="25">R21+R24</f>
        <v>374674</v>
      </c>
      <c r="S26" s="96">
        <f t="shared" si="25"/>
        <v>373900</v>
      </c>
      <c r="T26" s="96">
        <f t="shared" si="25"/>
        <v>371006</v>
      </c>
      <c r="U26" s="96">
        <f t="shared" si="25"/>
        <v>379188</v>
      </c>
      <c r="V26" s="96">
        <f t="shared" si="25"/>
        <v>435777</v>
      </c>
      <c r="W26" s="96">
        <f t="shared" si="25"/>
        <v>434039</v>
      </c>
      <c r="X26" s="96">
        <f t="shared" ref="X26:AG26" si="26">X21+X24</f>
        <v>447669</v>
      </c>
      <c r="Y26" s="96">
        <f t="shared" si="26"/>
        <v>506663</v>
      </c>
      <c r="Z26" s="96">
        <f t="shared" si="26"/>
        <v>597896</v>
      </c>
      <c r="AA26" s="96">
        <f t="shared" si="26"/>
        <v>554010</v>
      </c>
      <c r="AB26" s="96">
        <f t="shared" si="26"/>
        <v>540587</v>
      </c>
      <c r="AC26" s="96">
        <f t="shared" si="26"/>
        <v>571689</v>
      </c>
      <c r="AD26" s="96">
        <f t="shared" si="26"/>
        <v>642790</v>
      </c>
      <c r="AE26" s="96">
        <f t="shared" si="26"/>
        <v>626817</v>
      </c>
      <c r="AF26" s="96">
        <f t="shared" si="26"/>
        <v>611137</v>
      </c>
      <c r="AG26" s="96">
        <f t="shared" si="26"/>
        <v>592570</v>
      </c>
      <c r="AH26" s="96">
        <f t="shared" ref="AH26:AP26" si="27">AH21+AH24</f>
        <v>669451</v>
      </c>
      <c r="AI26" s="96">
        <f t="shared" si="27"/>
        <v>619638</v>
      </c>
      <c r="AJ26" s="96">
        <f t="shared" si="27"/>
        <v>592547</v>
      </c>
      <c r="AK26" s="96">
        <f t="shared" si="27"/>
        <v>592876</v>
      </c>
      <c r="AL26" s="96">
        <f t="shared" si="27"/>
        <v>701112</v>
      </c>
      <c r="AM26" s="96">
        <f t="shared" si="27"/>
        <v>655193</v>
      </c>
      <c r="AN26" s="96">
        <f t="shared" si="27"/>
        <v>634240</v>
      </c>
      <c r="AO26" s="96">
        <f t="shared" si="27"/>
        <v>660711</v>
      </c>
      <c r="AP26" s="96">
        <f t="shared" si="27"/>
        <v>774467</v>
      </c>
      <c r="AQ26" s="96">
        <f t="shared" ref="AQ26:BB26" si="28">AQ21+AQ24</f>
        <v>682570</v>
      </c>
      <c r="AR26" s="96">
        <f t="shared" si="28"/>
        <v>664032</v>
      </c>
      <c r="AS26" s="96">
        <f t="shared" si="28"/>
        <v>675147</v>
      </c>
      <c r="AT26" s="96">
        <f t="shared" si="28"/>
        <v>770581</v>
      </c>
      <c r="AU26" s="96">
        <f t="shared" si="28"/>
        <v>719771</v>
      </c>
      <c r="AV26" s="96">
        <f t="shared" si="28"/>
        <v>698837</v>
      </c>
      <c r="AW26" s="96">
        <f t="shared" si="28"/>
        <v>707509</v>
      </c>
      <c r="AX26" s="96">
        <f t="shared" si="28"/>
        <v>832371</v>
      </c>
      <c r="AY26" s="96">
        <f t="shared" si="28"/>
        <v>817145</v>
      </c>
      <c r="AZ26" s="96">
        <f t="shared" si="28"/>
        <v>828270</v>
      </c>
      <c r="BA26" s="96">
        <f t="shared" si="28"/>
        <v>699163</v>
      </c>
      <c r="BB26" s="96">
        <f t="shared" si="28"/>
        <v>734228</v>
      </c>
      <c r="BC26" s="96">
        <f>BC21+BC24</f>
        <v>775148</v>
      </c>
      <c r="BD26" s="628">
        <f>BD21+BD24</f>
        <v>804880</v>
      </c>
      <c r="BE26" s="628">
        <f>BE21+BE24+BE25</f>
        <v>801930</v>
      </c>
      <c r="BF26" s="628">
        <f>BF21+BF24+BF25</f>
        <v>938463</v>
      </c>
      <c r="BG26" s="628">
        <f>BG21+BG24+BG25</f>
        <v>856611</v>
      </c>
      <c r="BH26" s="628">
        <f>BH21+BH24+BH25</f>
        <v>833535</v>
      </c>
      <c r="BI26" s="628">
        <f>BI21+BI24+BI25</f>
        <v>827149</v>
      </c>
      <c r="BJ26" s="628"/>
      <c r="BM26" s="1"/>
      <c r="BN26" s="1"/>
    </row>
    <row r="27" spans="1:66" x14ac:dyDescent="0.3">
      <c r="B27" s="2" t="s">
        <v>91</v>
      </c>
      <c r="C27" s="66">
        <f t="shared" ref="C27:AF27" si="29">C26/C68</f>
        <v>0.1090214489230128</v>
      </c>
      <c r="D27" s="66">
        <f t="shared" si="29"/>
        <v>0.21117840556875977</v>
      </c>
      <c r="E27" s="66">
        <f t="shared" si="29"/>
        <v>0.26848486986792741</v>
      </c>
      <c r="F27" s="66">
        <f t="shared" si="29"/>
        <v>0.25150173885551691</v>
      </c>
      <c r="G27" s="66">
        <f t="shared" si="29"/>
        <v>0.30211299914302781</v>
      </c>
      <c r="H27" s="66">
        <f t="shared" si="29"/>
        <v>0.29373811246528514</v>
      </c>
      <c r="I27" s="66">
        <f t="shared" si="29"/>
        <v>0.31108606346336498</v>
      </c>
      <c r="J27" s="66">
        <f t="shared" si="29"/>
        <v>0.305147112663952</v>
      </c>
      <c r="K27" s="66">
        <f t="shared" si="29"/>
        <v>0.2852299565175806</v>
      </c>
      <c r="L27" s="66">
        <f t="shared" si="29"/>
        <v>0.31866924103240052</v>
      </c>
      <c r="M27" s="66">
        <f t="shared" si="29"/>
        <v>0.2951392436795045</v>
      </c>
      <c r="N27" s="66">
        <f t="shared" si="29"/>
        <v>0.28926874679202152</v>
      </c>
      <c r="O27" s="66">
        <f t="shared" si="29"/>
        <v>0.2736206790852676</v>
      </c>
      <c r="P27" s="66">
        <f t="shared" si="29"/>
        <v>0.2483026877984999</v>
      </c>
      <c r="Q27" s="66">
        <f t="shared" si="29"/>
        <v>0.23803099860772811</v>
      </c>
      <c r="R27" s="66">
        <f t="shared" si="29"/>
        <v>0.24642439501145061</v>
      </c>
      <c r="S27" s="66">
        <f t="shared" si="29"/>
        <v>0.25281552242681266</v>
      </c>
      <c r="T27" s="66">
        <f t="shared" si="29"/>
        <v>0.25279810956406318</v>
      </c>
      <c r="U27" s="66">
        <f t="shared" si="29"/>
        <v>0.24900038809041786</v>
      </c>
      <c r="V27" s="66">
        <f t="shared" si="29"/>
        <v>0.2611170864554091</v>
      </c>
      <c r="W27" s="66">
        <f t="shared" si="29"/>
        <v>0.26086520130493002</v>
      </c>
      <c r="X27" s="66">
        <f t="shared" si="29"/>
        <v>0.27038474965482334</v>
      </c>
      <c r="Y27" s="66">
        <f t="shared" si="29"/>
        <v>0.30038732459081319</v>
      </c>
      <c r="Z27" s="66">
        <f t="shared" si="29"/>
        <v>0.3346516498733364</v>
      </c>
      <c r="AA27" s="66">
        <f t="shared" si="29"/>
        <v>0.33710613601196038</v>
      </c>
      <c r="AB27" s="66">
        <f t="shared" si="29"/>
        <v>0.34170205342209625</v>
      </c>
      <c r="AC27" s="66">
        <f t="shared" si="29"/>
        <v>0.35760690882068141</v>
      </c>
      <c r="AD27" s="66">
        <f t="shared" si="29"/>
        <v>0.36444962034962308</v>
      </c>
      <c r="AE27" s="66">
        <f t="shared" si="29"/>
        <v>0.36205178678800964</v>
      </c>
      <c r="AF27" s="66">
        <f t="shared" si="29"/>
        <v>0.36457778411453406</v>
      </c>
      <c r="AG27" s="66">
        <f t="shared" ref="AG27:AN27" si="30">AG26/AG68</f>
        <v>0.36186353890657452</v>
      </c>
      <c r="AH27" s="66">
        <f t="shared" si="30"/>
        <v>0.378604428101461</v>
      </c>
      <c r="AI27" s="66">
        <f t="shared" si="30"/>
        <v>0.34931716515724226</v>
      </c>
      <c r="AJ27" s="66">
        <f t="shared" si="30"/>
        <v>0.33790394138672764</v>
      </c>
      <c r="AK27" s="66">
        <f t="shared" si="30"/>
        <v>0.33636236242710388</v>
      </c>
      <c r="AL27" s="66">
        <f t="shared" si="30"/>
        <v>0.3738171457088808</v>
      </c>
      <c r="AM27" s="66">
        <f t="shared" si="30"/>
        <v>0.32599131874649229</v>
      </c>
      <c r="AN27" s="66">
        <f t="shared" si="30"/>
        <v>0.32010255556144374</v>
      </c>
      <c r="AO27" s="66">
        <f t="shared" ref="AO27:AU27" si="31">AO26/AO68</f>
        <v>0.32451934411542815</v>
      </c>
      <c r="AP27" s="66">
        <f t="shared" si="31"/>
        <v>0.35072464293170291</v>
      </c>
      <c r="AQ27" s="534">
        <f t="shared" si="31"/>
        <v>0.33588034929942301</v>
      </c>
      <c r="AR27" s="66">
        <f t="shared" si="31"/>
        <v>0.35348735199095882</v>
      </c>
      <c r="AS27" s="66">
        <f t="shared" si="31"/>
        <v>0.36065275152856763</v>
      </c>
      <c r="AT27" s="66">
        <f t="shared" si="31"/>
        <v>0.37593571565172251</v>
      </c>
      <c r="AU27" s="66">
        <f t="shared" si="31"/>
        <v>0.36609446207682289</v>
      </c>
      <c r="AV27" s="66">
        <f t="shared" ref="AV27:BB27" si="32">AV26/AV68</f>
        <v>0.36095647368122019</v>
      </c>
      <c r="AW27" s="66">
        <f t="shared" si="32"/>
        <v>0.3771697647503488</v>
      </c>
      <c r="AX27" s="66">
        <f t="shared" si="32"/>
        <v>0.443165174224181</v>
      </c>
      <c r="AY27" s="66">
        <f t="shared" si="32"/>
        <v>0.39390372233220966</v>
      </c>
      <c r="AZ27" s="66">
        <f t="shared" si="32"/>
        <v>0.41223993302787088</v>
      </c>
      <c r="BA27" s="66">
        <f t="shared" si="32"/>
        <v>0.37919635622480069</v>
      </c>
      <c r="BB27" s="66">
        <f t="shared" si="32"/>
        <v>0.37793017257398104</v>
      </c>
      <c r="BC27" s="66">
        <f>BC26/BC68</f>
        <v>0.38977211987000693</v>
      </c>
      <c r="BD27" s="66">
        <f t="shared" ref="BD27:BI27" si="33">BD26/BD68</f>
        <v>0.40750652867096609</v>
      </c>
      <c r="BE27" s="66">
        <f t="shared" si="33"/>
        <v>0.41305086840966687</v>
      </c>
      <c r="BF27" s="66">
        <f t="shared" si="33"/>
        <v>0.48238939431400596</v>
      </c>
      <c r="BG27" s="66">
        <f t="shared" si="33"/>
        <v>0.48182167427225669</v>
      </c>
      <c r="BH27" s="66">
        <f t="shared" si="33"/>
        <v>0.48122271044887793</v>
      </c>
      <c r="BI27" s="66">
        <f t="shared" si="33"/>
        <v>0.47867031169886354</v>
      </c>
      <c r="BJ27" s="66"/>
      <c r="BM27" s="1"/>
      <c r="BN27" s="1"/>
    </row>
    <row r="28" spans="1:66" x14ac:dyDescent="0.3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6"/>
      <c r="P28" s="6"/>
      <c r="Q28" s="6"/>
      <c r="R28" s="6"/>
      <c r="S28" s="6"/>
      <c r="T28" s="6"/>
      <c r="U28" s="6"/>
      <c r="V28" s="7"/>
      <c r="W28" s="7"/>
      <c r="X28" s="7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576"/>
      <c r="BC28" s="576"/>
      <c r="BD28" s="576"/>
      <c r="BE28" s="576"/>
      <c r="BF28" s="576"/>
      <c r="BG28" s="576"/>
      <c r="BH28" s="576"/>
      <c r="BI28" s="576"/>
      <c r="BJ28" s="576"/>
      <c r="BK28" s="1"/>
      <c r="BL28" s="1"/>
      <c r="BM28" s="1"/>
      <c r="BN28" s="1"/>
    </row>
    <row r="29" spans="1:66" x14ac:dyDescent="0.3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576"/>
      <c r="BC29" s="576"/>
      <c r="BD29" s="576"/>
      <c r="BE29" s="576"/>
      <c r="BF29" s="576"/>
      <c r="BG29" s="576"/>
      <c r="BH29" s="576"/>
      <c r="BI29" s="576"/>
      <c r="BJ29" s="576"/>
      <c r="BK29" s="1"/>
      <c r="BL29" s="1"/>
      <c r="BM29" s="1"/>
      <c r="BN29" s="1"/>
    </row>
    <row r="30" spans="1:66" x14ac:dyDescent="0.3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576"/>
      <c r="BC30" s="576"/>
      <c r="BD30" s="576"/>
      <c r="BE30" s="576"/>
      <c r="BF30" s="576"/>
      <c r="BG30" s="576"/>
      <c r="BH30" s="576"/>
      <c r="BI30" s="576"/>
      <c r="BJ30" s="576"/>
      <c r="BK30" s="1"/>
      <c r="BL30" s="1"/>
      <c r="BM30" s="1"/>
      <c r="BN30" s="1"/>
    </row>
    <row r="31" spans="1:66" x14ac:dyDescent="0.3">
      <c r="A31" s="120" t="s">
        <v>97</v>
      </c>
      <c r="C31" s="81">
        <v>2007</v>
      </c>
      <c r="D31" s="722">
        <v>2008</v>
      </c>
      <c r="E31" s="722"/>
      <c r="F31" s="722"/>
      <c r="G31" s="722"/>
      <c r="H31" s="722">
        <v>2009</v>
      </c>
      <c r="I31" s="722"/>
      <c r="J31" s="722"/>
      <c r="K31" s="722"/>
      <c r="L31" s="722">
        <v>2010</v>
      </c>
      <c r="M31" s="722"/>
      <c r="N31" s="722"/>
      <c r="O31" s="722"/>
      <c r="P31" s="722">
        <v>2011</v>
      </c>
      <c r="Q31" s="722"/>
      <c r="R31" s="722"/>
      <c r="S31" s="722"/>
      <c r="T31" s="722">
        <v>2012</v>
      </c>
      <c r="U31" s="722"/>
      <c r="V31" s="722"/>
      <c r="W31" s="722"/>
      <c r="X31" s="731">
        <v>20.13</v>
      </c>
      <c r="Y31" s="731"/>
      <c r="Z31" s="731"/>
      <c r="AA31" s="731"/>
      <c r="AB31" s="733">
        <v>2014</v>
      </c>
      <c r="AC31" s="733"/>
      <c r="AD31" s="6"/>
      <c r="AE31" s="6"/>
      <c r="AF31" s="734">
        <v>2015</v>
      </c>
      <c r="AG31" s="734"/>
      <c r="AH31" s="734"/>
      <c r="AI31" s="734"/>
      <c r="AJ31" s="734">
        <v>2016</v>
      </c>
      <c r="AK31" s="734"/>
      <c r="AL31" s="734"/>
      <c r="AM31" s="734"/>
      <c r="AN31" s="108">
        <v>2017</v>
      </c>
      <c r="BH31" s="572">
        <v>2022</v>
      </c>
    </row>
    <row r="32" spans="1:66" x14ac:dyDescent="0.3">
      <c r="A32" s="77" t="s">
        <v>0</v>
      </c>
      <c r="B32" s="80"/>
      <c r="C32" s="80" t="s">
        <v>47</v>
      </c>
      <c r="D32" s="80" t="s">
        <v>43</v>
      </c>
      <c r="E32" s="80" t="s">
        <v>46</v>
      </c>
      <c r="F32" s="80" t="s">
        <v>45</v>
      </c>
      <c r="G32" s="80" t="s">
        <v>44</v>
      </c>
      <c r="H32" s="80" t="s">
        <v>43</v>
      </c>
      <c r="I32" s="80" t="s">
        <v>46</v>
      </c>
      <c r="J32" s="80" t="s">
        <v>45</v>
      </c>
      <c r="K32" s="80" t="s">
        <v>44</v>
      </c>
      <c r="L32" s="80" t="s">
        <v>43</v>
      </c>
      <c r="M32" s="80" t="s">
        <v>46</v>
      </c>
      <c r="N32" s="80" t="s">
        <v>45</v>
      </c>
      <c r="O32" s="80" t="s">
        <v>44</v>
      </c>
      <c r="P32" s="3" t="s">
        <v>48</v>
      </c>
      <c r="Q32" s="3" t="s">
        <v>49</v>
      </c>
      <c r="R32" s="3" t="s">
        <v>45</v>
      </c>
      <c r="S32" s="3" t="s">
        <v>47</v>
      </c>
      <c r="T32" s="3" t="s">
        <v>48</v>
      </c>
      <c r="U32" s="3" t="s">
        <v>49</v>
      </c>
      <c r="V32" s="3" t="s">
        <v>45</v>
      </c>
      <c r="W32" s="3" t="s">
        <v>47</v>
      </c>
      <c r="X32" s="80" t="s">
        <v>48</v>
      </c>
      <c r="Y32" s="213" t="s">
        <v>49</v>
      </c>
      <c r="Z32" s="236" t="s">
        <v>45</v>
      </c>
      <c r="AA32" s="236" t="s">
        <v>47</v>
      </c>
      <c r="AB32" s="300" t="s">
        <v>48</v>
      </c>
      <c r="AC32" s="300" t="s">
        <v>49</v>
      </c>
      <c r="AD32" s="236" t="s">
        <v>45</v>
      </c>
      <c r="AE32" s="236" t="s">
        <v>47</v>
      </c>
      <c r="AF32" s="236" t="s">
        <v>48</v>
      </c>
      <c r="AG32" s="300" t="s">
        <v>49</v>
      </c>
      <c r="AH32" s="300" t="s">
        <v>130</v>
      </c>
      <c r="AI32" s="300" t="s">
        <v>47</v>
      </c>
      <c r="AJ32" s="300" t="s">
        <v>48</v>
      </c>
      <c r="AK32" s="300" t="s">
        <v>49</v>
      </c>
      <c r="AL32" s="236" t="s">
        <v>45</v>
      </c>
      <c r="AM32" s="236" t="s">
        <v>47</v>
      </c>
      <c r="AN32" s="453" t="s">
        <v>48</v>
      </c>
      <c r="AO32" s="235" t="s">
        <v>49</v>
      </c>
      <c r="AP32" s="235" t="s">
        <v>45</v>
      </c>
      <c r="AQ32" s="500" t="s">
        <v>47</v>
      </c>
      <c r="AR32" s="500" t="s">
        <v>48</v>
      </c>
      <c r="AS32" s="500" t="s">
        <v>49</v>
      </c>
      <c r="AT32" s="500" t="s">
        <v>45</v>
      </c>
      <c r="AU32" s="500" t="s">
        <v>47</v>
      </c>
      <c r="AV32" s="500" t="s">
        <v>48</v>
      </c>
      <c r="AW32" s="500" t="s">
        <v>49</v>
      </c>
      <c r="AX32" s="500" t="s">
        <v>45</v>
      </c>
      <c r="AY32" s="500" t="s">
        <v>47</v>
      </c>
      <c r="AZ32" s="500" t="s">
        <v>48</v>
      </c>
      <c r="BA32" s="500" t="s">
        <v>49</v>
      </c>
      <c r="BD32" s="621" t="s">
        <v>147</v>
      </c>
      <c r="BE32" s="627" t="s">
        <v>49</v>
      </c>
      <c r="BF32" s="675" t="s">
        <v>45</v>
      </c>
      <c r="BG32" s="681" t="s">
        <v>47</v>
      </c>
      <c r="BH32" s="690" t="s">
        <v>48</v>
      </c>
      <c r="BI32" s="695" t="s">
        <v>49</v>
      </c>
      <c r="BJ32" s="685"/>
    </row>
    <row r="33" spans="1:62" x14ac:dyDescent="0.3">
      <c r="A33" s="723" t="s">
        <v>2</v>
      </c>
      <c r="B33" s="82" t="s">
        <v>3</v>
      </c>
      <c r="C33" s="46"/>
      <c r="D33" s="46"/>
      <c r="E33" s="46"/>
      <c r="F33" s="46"/>
      <c r="G33" s="46"/>
      <c r="H33" s="46"/>
      <c r="I33" s="46"/>
      <c r="J33" s="46"/>
      <c r="L33" s="83"/>
      <c r="M33" s="46">
        <v>0</v>
      </c>
      <c r="N33" s="46">
        <v>0</v>
      </c>
      <c r="O33" s="46">
        <v>0</v>
      </c>
      <c r="P33" s="46"/>
      <c r="Q33" s="46"/>
      <c r="R33" s="46"/>
      <c r="S33" s="46"/>
      <c r="T33" s="46"/>
      <c r="U33" s="108"/>
      <c r="V33" s="108"/>
      <c r="W33" s="108"/>
      <c r="X33" s="108"/>
      <c r="Z33" s="6"/>
      <c r="AA33" s="6"/>
      <c r="AB33" s="6"/>
      <c r="AC33" s="6"/>
      <c r="AD33" s="6"/>
      <c r="AE33" s="6"/>
      <c r="AF33" s="6"/>
      <c r="AG33" s="6"/>
      <c r="AH33" s="49">
        <v>0</v>
      </c>
      <c r="AI33" s="49"/>
      <c r="AJ33" s="6"/>
      <c r="AK33" s="6"/>
      <c r="AL33" s="6"/>
      <c r="AM33" s="6"/>
      <c r="AN33" s="7"/>
    </row>
    <row r="34" spans="1:62" x14ac:dyDescent="0.3">
      <c r="A34" s="724"/>
      <c r="B34" s="82" t="s">
        <v>4</v>
      </c>
      <c r="C34" s="46"/>
      <c r="D34" s="46"/>
      <c r="E34" s="46"/>
      <c r="F34" s="46"/>
      <c r="G34" s="46"/>
      <c r="H34" s="46"/>
      <c r="I34" s="46"/>
      <c r="J34" s="46"/>
      <c r="L34" s="83"/>
      <c r="M34" s="46">
        <v>0</v>
      </c>
      <c r="N34" s="46">
        <v>0</v>
      </c>
      <c r="O34" s="46">
        <v>0</v>
      </c>
      <c r="P34" s="46"/>
      <c r="Q34" s="46"/>
      <c r="R34" s="46"/>
      <c r="S34" s="46"/>
      <c r="T34" s="46"/>
      <c r="U34" s="108"/>
      <c r="V34" s="108"/>
      <c r="W34" s="108"/>
      <c r="X34" s="108"/>
      <c r="Z34" s="6"/>
      <c r="AA34" s="6"/>
      <c r="AB34" s="6"/>
      <c r="AC34" s="6"/>
      <c r="AD34" s="6"/>
      <c r="AE34" s="6"/>
      <c r="AF34" s="6"/>
      <c r="AG34" s="6"/>
      <c r="AH34" s="49">
        <v>0</v>
      </c>
      <c r="AI34" s="49"/>
      <c r="AJ34" s="6"/>
      <c r="AK34" s="6"/>
      <c r="AL34" s="6"/>
      <c r="AM34" s="6"/>
      <c r="AN34" s="7"/>
    </row>
    <row r="35" spans="1:62" x14ac:dyDescent="0.3">
      <c r="A35" s="724"/>
      <c r="B35" s="85" t="s">
        <v>5</v>
      </c>
      <c r="C35" s="88">
        <v>0</v>
      </c>
      <c r="D35" s="88">
        <v>0</v>
      </c>
      <c r="E35" s="88">
        <v>0</v>
      </c>
      <c r="F35" s="88">
        <v>0</v>
      </c>
      <c r="G35" s="88">
        <v>0</v>
      </c>
      <c r="H35" s="88">
        <v>0</v>
      </c>
      <c r="I35" s="88">
        <v>0</v>
      </c>
      <c r="J35" s="88">
        <v>0</v>
      </c>
      <c r="K35" s="2">
        <v>0</v>
      </c>
      <c r="L35" s="87">
        <v>0</v>
      </c>
      <c r="M35" s="88">
        <v>0</v>
      </c>
      <c r="N35" s="88">
        <v>0</v>
      </c>
      <c r="O35" s="88">
        <v>0</v>
      </c>
      <c r="P35" s="88"/>
      <c r="Q35" s="88"/>
      <c r="R35" s="88"/>
      <c r="S35" s="88"/>
      <c r="T35" s="88"/>
      <c r="U35" s="88"/>
      <c r="V35" s="108"/>
      <c r="W35" s="108"/>
      <c r="X35" s="108"/>
      <c r="Z35" s="6"/>
      <c r="AA35" s="6"/>
      <c r="AB35" s="6"/>
      <c r="AC35" s="49"/>
      <c r="AD35" s="6"/>
      <c r="AE35" s="6"/>
      <c r="AF35" s="6"/>
      <c r="AG35" s="6"/>
      <c r="AH35" s="49"/>
      <c r="AI35" s="49"/>
      <c r="AJ35" s="6"/>
      <c r="AK35" s="6"/>
      <c r="AL35" s="6"/>
      <c r="AM35" s="6"/>
      <c r="AN35" s="7"/>
    </row>
    <row r="36" spans="1:62" x14ac:dyDescent="0.3">
      <c r="A36" s="725" t="s">
        <v>6</v>
      </c>
      <c r="B36" s="82" t="s">
        <v>3</v>
      </c>
      <c r="C36" s="46"/>
      <c r="D36" s="46"/>
      <c r="E36" s="46"/>
      <c r="F36" s="46"/>
      <c r="G36" s="46"/>
      <c r="H36" s="46"/>
      <c r="I36" s="46"/>
      <c r="J36" s="46"/>
      <c r="L36" s="83">
        <v>10802</v>
      </c>
      <c r="M36" s="46">
        <v>7125</v>
      </c>
      <c r="N36" s="46">
        <v>8209</v>
      </c>
      <c r="O36" s="46">
        <v>10103</v>
      </c>
      <c r="P36" s="46">
        <v>9128</v>
      </c>
      <c r="Q36" s="46">
        <v>11576</v>
      </c>
      <c r="R36" s="46">
        <v>11920</v>
      </c>
      <c r="S36" s="46">
        <v>8884</v>
      </c>
      <c r="T36" s="46">
        <v>12056</v>
      </c>
      <c r="U36" s="108">
        <v>13301</v>
      </c>
      <c r="V36" s="176">
        <v>13946</v>
      </c>
      <c r="W36" s="176">
        <v>14928</v>
      </c>
      <c r="X36" s="176">
        <f>295+17004</f>
        <v>17299</v>
      </c>
      <c r="Y36" s="215">
        <v>20527</v>
      </c>
      <c r="Z36" s="176">
        <v>22378</v>
      </c>
      <c r="AA36" s="108">
        <v>22537</v>
      </c>
      <c r="AB36" s="7">
        <v>213</v>
      </c>
      <c r="AC36" s="141">
        <v>169</v>
      </c>
      <c r="AD36" s="108">
        <v>148</v>
      </c>
      <c r="AE36" s="322">
        <v>133</v>
      </c>
      <c r="AF36" s="343">
        <v>203</v>
      </c>
      <c r="AG36" s="343">
        <v>192</v>
      </c>
      <c r="AH36" s="343">
        <v>143</v>
      </c>
      <c r="AI36" s="343">
        <v>97</v>
      </c>
      <c r="AJ36" s="323">
        <v>112</v>
      </c>
      <c r="AK36" s="108">
        <v>119</v>
      </c>
      <c r="AL36" s="421">
        <v>108</v>
      </c>
      <c r="AM36" s="141">
        <v>56</v>
      </c>
      <c r="AN36" s="49">
        <v>127</v>
      </c>
      <c r="AO36" s="2">
        <v>108</v>
      </c>
      <c r="AP36" s="2">
        <v>92</v>
      </c>
      <c r="AQ36" s="2">
        <v>70</v>
      </c>
      <c r="AR36" s="2">
        <v>61</v>
      </c>
      <c r="AS36" s="544">
        <v>76</v>
      </c>
      <c r="AT36" s="541">
        <v>71</v>
      </c>
      <c r="AU36" s="566">
        <v>59</v>
      </c>
      <c r="AV36" s="578">
        <v>67</v>
      </c>
      <c r="AW36" s="578">
        <v>71</v>
      </c>
      <c r="AX36" s="584">
        <v>60</v>
      </c>
      <c r="AY36" s="590">
        <v>77</v>
      </c>
      <c r="AZ36" s="601">
        <v>65</v>
      </c>
      <c r="BA36" s="614">
        <v>52</v>
      </c>
      <c r="BE36" s="572">
        <v>56</v>
      </c>
      <c r="BF36" s="572">
        <v>62</v>
      </c>
      <c r="BG36" s="572">
        <v>41</v>
      </c>
      <c r="BH36" s="572">
        <v>45</v>
      </c>
      <c r="BI36" s="572">
        <v>28</v>
      </c>
    </row>
    <row r="37" spans="1:62" x14ac:dyDescent="0.3">
      <c r="A37" s="726"/>
      <c r="B37" s="82" t="s">
        <v>4</v>
      </c>
      <c r="I37" s="46"/>
      <c r="J37" s="46"/>
      <c r="L37" s="83">
        <v>0</v>
      </c>
      <c r="M37" s="46">
        <v>0</v>
      </c>
      <c r="N37" s="46">
        <v>0</v>
      </c>
      <c r="O37" s="46">
        <v>0</v>
      </c>
      <c r="P37" s="46"/>
      <c r="Q37" s="46"/>
      <c r="R37" s="46"/>
      <c r="S37" s="46"/>
      <c r="T37" s="46"/>
      <c r="U37" s="108"/>
      <c r="V37" s="108"/>
      <c r="W37" s="108"/>
      <c r="X37" s="108"/>
      <c r="Y37" s="213">
        <v>541</v>
      </c>
      <c r="Z37" s="108">
        <v>420</v>
      </c>
      <c r="AA37" s="108">
        <v>266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7"/>
    </row>
    <row r="38" spans="1:62" x14ac:dyDescent="0.3">
      <c r="A38" s="726"/>
      <c r="B38" s="85" t="s">
        <v>5</v>
      </c>
      <c r="C38" s="88">
        <v>0</v>
      </c>
      <c r="D38" s="88">
        <v>0</v>
      </c>
      <c r="E38" s="88">
        <v>0</v>
      </c>
      <c r="F38" s="88">
        <v>0</v>
      </c>
      <c r="G38" s="88">
        <v>0</v>
      </c>
      <c r="H38" s="107">
        <v>9688</v>
      </c>
      <c r="I38" s="107">
        <v>25049</v>
      </c>
      <c r="J38" s="107">
        <v>19757</v>
      </c>
      <c r="K38" s="107">
        <v>12494</v>
      </c>
      <c r="L38" s="87">
        <f>L36+L37</f>
        <v>10802</v>
      </c>
      <c r="M38" s="88">
        <f>+M36+M37</f>
        <v>7125</v>
      </c>
      <c r="N38" s="88">
        <f>+N36+N37</f>
        <v>8209</v>
      </c>
      <c r="O38" s="88">
        <v>10103</v>
      </c>
      <c r="P38" s="88">
        <f>P36</f>
        <v>9128</v>
      </c>
      <c r="Q38" s="88">
        <f>Q36</f>
        <v>11576</v>
      </c>
      <c r="R38" s="88">
        <f>R36</f>
        <v>11920</v>
      </c>
      <c r="S38" s="88">
        <v>8884</v>
      </c>
      <c r="T38" s="88">
        <f>T36</f>
        <v>12056</v>
      </c>
      <c r="U38" s="88">
        <f>U36</f>
        <v>13301</v>
      </c>
      <c r="V38" s="88">
        <f>V36</f>
        <v>13946</v>
      </c>
      <c r="W38" s="88">
        <f>W36</f>
        <v>14928</v>
      </c>
      <c r="X38" s="88">
        <f>X36</f>
        <v>17299</v>
      </c>
      <c r="Y38" s="88">
        <f>Y36+Y37</f>
        <v>21068</v>
      </c>
      <c r="Z38" s="88">
        <f>Z36+Z37</f>
        <v>22798</v>
      </c>
      <c r="AA38" s="88">
        <f>AA36+AA37</f>
        <v>22803</v>
      </c>
      <c r="AB38" s="88">
        <f t="shared" ref="AB38:AR38" si="34">AB36</f>
        <v>213</v>
      </c>
      <c r="AC38" s="88">
        <f t="shared" si="34"/>
        <v>169</v>
      </c>
      <c r="AD38" s="88">
        <f t="shared" si="34"/>
        <v>148</v>
      </c>
      <c r="AE38" s="88">
        <f t="shared" si="34"/>
        <v>133</v>
      </c>
      <c r="AF38" s="88">
        <f t="shared" si="34"/>
        <v>203</v>
      </c>
      <c r="AG38" s="88">
        <f t="shared" si="34"/>
        <v>192</v>
      </c>
      <c r="AH38" s="88">
        <f t="shared" si="34"/>
        <v>143</v>
      </c>
      <c r="AI38" s="88">
        <f t="shared" si="34"/>
        <v>97</v>
      </c>
      <c r="AJ38" s="88">
        <f t="shared" si="34"/>
        <v>112</v>
      </c>
      <c r="AK38" s="88">
        <f t="shared" si="34"/>
        <v>119</v>
      </c>
      <c r="AL38" s="88">
        <f t="shared" si="34"/>
        <v>108</v>
      </c>
      <c r="AM38" s="88">
        <f t="shared" si="34"/>
        <v>56</v>
      </c>
      <c r="AN38" s="88">
        <f t="shared" si="34"/>
        <v>127</v>
      </c>
      <c r="AO38" s="88">
        <f t="shared" si="34"/>
        <v>108</v>
      </c>
      <c r="AP38" s="88">
        <f t="shared" si="34"/>
        <v>92</v>
      </c>
      <c r="AQ38" s="88">
        <f t="shared" si="34"/>
        <v>70</v>
      </c>
      <c r="AR38" s="88">
        <f t="shared" si="34"/>
        <v>61</v>
      </c>
      <c r="AS38" s="88">
        <f t="shared" ref="AS38:BG38" si="35">AS36</f>
        <v>76</v>
      </c>
      <c r="AT38" s="88">
        <f t="shared" si="35"/>
        <v>71</v>
      </c>
      <c r="AU38" s="88">
        <f t="shared" si="35"/>
        <v>59</v>
      </c>
      <c r="AV38" s="88">
        <f t="shared" si="35"/>
        <v>67</v>
      </c>
      <c r="AW38" s="88">
        <f t="shared" si="35"/>
        <v>71</v>
      </c>
      <c r="AX38" s="88">
        <f t="shared" si="35"/>
        <v>60</v>
      </c>
      <c r="AY38" s="88">
        <f t="shared" si="35"/>
        <v>77</v>
      </c>
      <c r="AZ38" s="88">
        <f t="shared" si="35"/>
        <v>65</v>
      </c>
      <c r="BA38" s="88">
        <f t="shared" si="35"/>
        <v>52</v>
      </c>
      <c r="BB38" s="88">
        <f t="shared" si="35"/>
        <v>0</v>
      </c>
      <c r="BC38" s="88">
        <f t="shared" si="35"/>
        <v>0</v>
      </c>
      <c r="BD38" s="88">
        <f t="shared" si="35"/>
        <v>0</v>
      </c>
      <c r="BE38" s="88">
        <f t="shared" si="35"/>
        <v>56</v>
      </c>
      <c r="BF38" s="88">
        <f t="shared" si="35"/>
        <v>62</v>
      </c>
      <c r="BG38" s="88">
        <f t="shared" si="35"/>
        <v>41</v>
      </c>
      <c r="BH38" s="88">
        <v>45</v>
      </c>
      <c r="BI38" s="88">
        <v>45</v>
      </c>
      <c r="BJ38" s="88"/>
    </row>
    <row r="39" spans="1:62" x14ac:dyDescent="0.3">
      <c r="A39" s="82"/>
      <c r="B39" s="94" t="s">
        <v>5</v>
      </c>
      <c r="C39" s="96"/>
      <c r="D39" s="96"/>
      <c r="E39" s="96"/>
      <c r="F39" s="96"/>
      <c r="G39" s="96"/>
      <c r="H39" s="107">
        <v>9688</v>
      </c>
      <c r="I39" s="107">
        <v>25049</v>
      </c>
      <c r="J39" s="107">
        <v>19757</v>
      </c>
      <c r="K39" s="107">
        <v>12494</v>
      </c>
      <c r="L39" s="95">
        <f>L35+L38</f>
        <v>10802</v>
      </c>
      <c r="M39" s="96">
        <f>+M38</f>
        <v>7125</v>
      </c>
      <c r="N39" s="96">
        <f>+N35+N38</f>
        <v>8209</v>
      </c>
      <c r="O39" s="96">
        <v>10103</v>
      </c>
      <c r="P39" s="96">
        <f>P38+P35</f>
        <v>9128</v>
      </c>
      <c r="Q39" s="96">
        <f>Q38+Q35</f>
        <v>11576</v>
      </c>
      <c r="R39" s="96">
        <f>R38+R35</f>
        <v>11920</v>
      </c>
      <c r="S39" s="96">
        <f>S38+S35</f>
        <v>8884</v>
      </c>
      <c r="T39" s="96">
        <f t="shared" ref="T39:AB39" si="36">T38</f>
        <v>12056</v>
      </c>
      <c r="U39" s="96">
        <f t="shared" si="36"/>
        <v>13301</v>
      </c>
      <c r="V39" s="96">
        <f t="shared" si="36"/>
        <v>13946</v>
      </c>
      <c r="W39" s="96">
        <f t="shared" si="36"/>
        <v>14928</v>
      </c>
      <c r="X39" s="96">
        <f t="shared" si="36"/>
        <v>17299</v>
      </c>
      <c r="Y39" s="96">
        <f t="shared" si="36"/>
        <v>21068</v>
      </c>
      <c r="Z39" s="96">
        <f t="shared" si="36"/>
        <v>22798</v>
      </c>
      <c r="AA39" s="96">
        <f t="shared" si="36"/>
        <v>22803</v>
      </c>
      <c r="AB39" s="96">
        <f t="shared" si="36"/>
        <v>213</v>
      </c>
      <c r="AC39" s="96">
        <f t="shared" ref="AC39:AN39" si="37">AC38</f>
        <v>169</v>
      </c>
      <c r="AD39" s="96">
        <f t="shared" si="37"/>
        <v>148</v>
      </c>
      <c r="AE39" s="96">
        <f t="shared" si="37"/>
        <v>133</v>
      </c>
      <c r="AF39" s="96">
        <f t="shared" si="37"/>
        <v>203</v>
      </c>
      <c r="AG39" s="96">
        <f t="shared" si="37"/>
        <v>192</v>
      </c>
      <c r="AH39" s="96">
        <f t="shared" si="37"/>
        <v>143</v>
      </c>
      <c r="AI39" s="96">
        <f t="shared" si="37"/>
        <v>97</v>
      </c>
      <c r="AJ39" s="96">
        <f t="shared" si="37"/>
        <v>112</v>
      </c>
      <c r="AK39" s="96">
        <f t="shared" si="37"/>
        <v>119</v>
      </c>
      <c r="AL39" s="96">
        <f t="shared" si="37"/>
        <v>108</v>
      </c>
      <c r="AM39" s="96">
        <f t="shared" si="37"/>
        <v>56</v>
      </c>
      <c r="AN39" s="96">
        <f t="shared" si="37"/>
        <v>127</v>
      </c>
      <c r="AO39" s="96">
        <f t="shared" ref="AO39:BG39" si="38">AO38</f>
        <v>108</v>
      </c>
      <c r="AP39" s="96">
        <f t="shared" si="38"/>
        <v>92</v>
      </c>
      <c r="AQ39" s="96">
        <f t="shared" si="38"/>
        <v>70</v>
      </c>
      <c r="AR39" s="96">
        <f t="shared" si="38"/>
        <v>61</v>
      </c>
      <c r="AS39" s="96">
        <f t="shared" si="38"/>
        <v>76</v>
      </c>
      <c r="AT39" s="96">
        <f t="shared" si="38"/>
        <v>71</v>
      </c>
      <c r="AU39" s="96">
        <f t="shared" si="38"/>
        <v>59</v>
      </c>
      <c r="AV39" s="96">
        <f t="shared" si="38"/>
        <v>67</v>
      </c>
      <c r="AW39" s="96">
        <f t="shared" si="38"/>
        <v>71</v>
      </c>
      <c r="AX39" s="96">
        <f t="shared" si="38"/>
        <v>60</v>
      </c>
      <c r="AY39" s="96">
        <f t="shared" si="38"/>
        <v>77</v>
      </c>
      <c r="AZ39" s="96">
        <f t="shared" si="38"/>
        <v>65</v>
      </c>
      <c r="BA39" s="96">
        <f t="shared" si="38"/>
        <v>52</v>
      </c>
      <c r="BB39" s="96">
        <f t="shared" si="38"/>
        <v>0</v>
      </c>
      <c r="BC39" s="96">
        <f t="shared" si="38"/>
        <v>0</v>
      </c>
      <c r="BD39" s="96">
        <f t="shared" si="38"/>
        <v>0</v>
      </c>
      <c r="BE39" s="96">
        <f t="shared" si="38"/>
        <v>56</v>
      </c>
      <c r="BF39" s="96">
        <f t="shared" si="38"/>
        <v>62</v>
      </c>
      <c r="BG39" s="96">
        <f t="shared" si="38"/>
        <v>41</v>
      </c>
      <c r="BH39" s="96">
        <v>45</v>
      </c>
      <c r="BI39" s="96">
        <v>45</v>
      </c>
      <c r="BJ39" s="96"/>
    </row>
    <row r="40" spans="1:62" x14ac:dyDescent="0.3">
      <c r="B40" s="2" t="s">
        <v>91</v>
      </c>
      <c r="C40" s="96"/>
      <c r="D40" s="96"/>
      <c r="E40" s="96"/>
      <c r="F40" s="96"/>
      <c r="G40" s="96"/>
      <c r="H40" s="66">
        <f t="shared" ref="H40:AG40" si="39">H39/H68</f>
        <v>8.3948199593603372E-3</v>
      </c>
      <c r="I40" s="66">
        <f t="shared" si="39"/>
        <v>2.0474136169475399E-2</v>
      </c>
      <c r="J40" s="66">
        <f t="shared" si="39"/>
        <v>1.5228066443298055E-2</v>
      </c>
      <c r="K40" s="66">
        <f t="shared" si="39"/>
        <v>9.1923747581244431E-3</v>
      </c>
      <c r="L40" s="66">
        <f t="shared" si="39"/>
        <v>6.9590336980351461E-3</v>
      </c>
      <c r="M40" s="66">
        <f t="shared" si="39"/>
        <v>4.8535356218860739E-3</v>
      </c>
      <c r="N40" s="66">
        <f t="shared" si="39"/>
        <v>5.3402880463809446E-3</v>
      </c>
      <c r="O40" s="66">
        <f t="shared" si="39"/>
        <v>6.9592015688684046E-3</v>
      </c>
      <c r="P40" s="66">
        <f t="shared" si="39"/>
        <v>6.242169933639333E-3</v>
      </c>
      <c r="Q40" s="66">
        <f t="shared" si="39"/>
        <v>8.2061810066891439E-3</v>
      </c>
      <c r="R40" s="66">
        <f t="shared" si="39"/>
        <v>7.839825524419872E-3</v>
      </c>
      <c r="S40" s="66">
        <f t="shared" si="39"/>
        <v>6.0069887703658826E-3</v>
      </c>
      <c r="T40" s="66">
        <f t="shared" si="39"/>
        <v>8.2147836124061221E-3</v>
      </c>
      <c r="U40" s="66">
        <f t="shared" si="39"/>
        <v>8.7343327372982477E-3</v>
      </c>
      <c r="V40" s="66">
        <f t="shared" si="39"/>
        <v>8.3564274564906713E-3</v>
      </c>
      <c r="W40" s="66">
        <f t="shared" si="39"/>
        <v>8.9719949706823475E-3</v>
      </c>
      <c r="X40" s="66">
        <f t="shared" si="39"/>
        <v>1.0448312892513864E-2</v>
      </c>
      <c r="Y40" s="217">
        <f t="shared" si="39"/>
        <v>1.2490669645265693E-2</v>
      </c>
      <c r="Z40" s="217">
        <f t="shared" si="39"/>
        <v>1.2760393636706589E-2</v>
      </c>
      <c r="AA40" s="217">
        <f t="shared" si="39"/>
        <v>1.387525716048579E-2</v>
      </c>
      <c r="AB40" s="267">
        <f t="shared" si="39"/>
        <v>1.3463612217627598E-4</v>
      </c>
      <c r="AC40" s="267">
        <f t="shared" si="39"/>
        <v>1.0571406409900341E-4</v>
      </c>
      <c r="AD40" s="267">
        <f t="shared" si="39"/>
        <v>8.3913165748913666E-5</v>
      </c>
      <c r="AE40" s="267">
        <f t="shared" si="39"/>
        <v>7.6821285387609597E-5</v>
      </c>
      <c r="AF40" s="267">
        <f t="shared" si="39"/>
        <v>1.2110098091794544E-4</v>
      </c>
      <c r="AG40" s="267">
        <f t="shared" si="39"/>
        <v>1.1724825669551666E-4</v>
      </c>
      <c r="AH40" s="381">
        <f t="shared" ref="AH40:AN40" si="40">AH39/AH68</f>
        <v>8.0872884226790184E-5</v>
      </c>
      <c r="AI40" s="380">
        <f t="shared" si="40"/>
        <v>5.4683161814240736E-5</v>
      </c>
      <c r="AJ40" s="267">
        <f t="shared" si="40"/>
        <v>6.3868758824723603E-5</v>
      </c>
      <c r="AK40" s="267">
        <f t="shared" si="40"/>
        <v>6.7513478583760121E-5</v>
      </c>
      <c r="AL40" s="267">
        <f t="shared" si="40"/>
        <v>5.7583170358743152E-5</v>
      </c>
      <c r="AM40" s="267">
        <f t="shared" si="40"/>
        <v>2.7862803555293735E-5</v>
      </c>
      <c r="AN40" s="267">
        <f t="shared" si="40"/>
        <v>6.4097225902345095E-5</v>
      </c>
      <c r="AO40" s="267">
        <f t="shared" ref="AO40:BI40" si="41">AO39/AO68</f>
        <v>5.3046020369671824E-5</v>
      </c>
      <c r="AP40" s="380">
        <f t="shared" si="41"/>
        <v>4.1663062660793381E-5</v>
      </c>
      <c r="AQ40" s="380">
        <f t="shared" si="41"/>
        <v>3.4445733699048612E-5</v>
      </c>
      <c r="AR40" s="380">
        <f t="shared" si="41"/>
        <v>3.2472423725736847E-5</v>
      </c>
      <c r="AS40" s="380">
        <f t="shared" si="41"/>
        <v>4.0597986980866594E-5</v>
      </c>
      <c r="AT40" s="380">
        <f t="shared" si="41"/>
        <v>3.4638066356777938E-5</v>
      </c>
      <c r="AU40" s="380">
        <f t="shared" si="41"/>
        <v>3.0008951822916665E-5</v>
      </c>
      <c r="AV40" s="380">
        <f t="shared" si="41"/>
        <v>3.4606186759776251E-5</v>
      </c>
      <c r="AW40" s="380">
        <f t="shared" si="41"/>
        <v>3.7849770529102474E-5</v>
      </c>
      <c r="AX40" s="380">
        <f t="shared" si="41"/>
        <v>3.1944782378832108E-5</v>
      </c>
      <c r="AY40" s="380">
        <f t="shared" si="41"/>
        <v>3.7117753421461487E-5</v>
      </c>
      <c r="AZ40" s="380">
        <f t="shared" si="41"/>
        <v>3.2351281160505159E-5</v>
      </c>
      <c r="BA40" s="380">
        <f t="shared" si="41"/>
        <v>2.8202594421743766E-5</v>
      </c>
      <c r="BB40" s="380">
        <f t="shared" si="41"/>
        <v>0</v>
      </c>
      <c r="BC40" s="380">
        <f t="shared" si="41"/>
        <v>0</v>
      </c>
      <c r="BD40" s="380">
        <f t="shared" si="41"/>
        <v>0</v>
      </c>
      <c r="BE40" s="380">
        <f t="shared" si="41"/>
        <v>2.8843974699713622E-5</v>
      </c>
      <c r="BF40" s="380">
        <f t="shared" si="41"/>
        <v>3.1869282483665707E-5</v>
      </c>
      <c r="BG40" s="380">
        <f t="shared" si="41"/>
        <v>2.3061446380168507E-5</v>
      </c>
      <c r="BH40" s="380">
        <f t="shared" si="41"/>
        <v>2.5979739267336712E-5</v>
      </c>
      <c r="BI40" s="380">
        <f t="shared" si="41"/>
        <v>2.6041455682650718E-5</v>
      </c>
      <c r="BJ40" s="380"/>
    </row>
    <row r="41" spans="1:62" x14ac:dyDescent="0.3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7"/>
    </row>
    <row r="42" spans="1:62" x14ac:dyDescent="0.3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7"/>
    </row>
    <row r="43" spans="1:62" x14ac:dyDescent="0.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7"/>
    </row>
    <row r="44" spans="1:62" x14ac:dyDescent="0.3">
      <c r="A44" s="168" t="s">
        <v>11</v>
      </c>
      <c r="C44" s="81">
        <v>2007</v>
      </c>
      <c r="D44" s="722">
        <v>2008</v>
      </c>
      <c r="E44" s="722"/>
      <c r="F44" s="722"/>
      <c r="G44" s="722"/>
      <c r="H44" s="722">
        <v>2009</v>
      </c>
      <c r="I44" s="722"/>
      <c r="J44" s="722"/>
      <c r="K44" s="722"/>
      <c r="L44" s="722">
        <v>2010</v>
      </c>
      <c r="M44" s="722"/>
      <c r="N44" s="722"/>
      <c r="O44" s="722"/>
      <c r="P44" s="722">
        <v>2011</v>
      </c>
      <c r="Q44" s="722"/>
      <c r="R44" s="722"/>
      <c r="S44" s="722"/>
      <c r="T44" s="722">
        <v>2012</v>
      </c>
      <c r="U44" s="722"/>
      <c r="V44" s="722"/>
      <c r="W44" s="722"/>
      <c r="X44" s="731">
        <v>2013</v>
      </c>
      <c r="Y44" s="731"/>
      <c r="Z44" s="731"/>
      <c r="AA44" s="6"/>
      <c r="AB44" s="733">
        <v>2014</v>
      </c>
      <c r="AC44" s="733"/>
      <c r="AD44" s="6"/>
      <c r="AE44" s="6"/>
      <c r="AF44" s="731">
        <v>2015</v>
      </c>
      <c r="AG44" s="731"/>
      <c r="AH44" s="731"/>
      <c r="AI44" s="731"/>
      <c r="AJ44" s="731">
        <v>2016</v>
      </c>
      <c r="AK44" s="731"/>
      <c r="AL44" s="731"/>
      <c r="AM44" s="6"/>
      <c r="AN44" s="108">
        <v>2017</v>
      </c>
    </row>
    <row r="45" spans="1:62" x14ac:dyDescent="0.3">
      <c r="A45" s="77" t="s">
        <v>0</v>
      </c>
      <c r="B45" s="80"/>
      <c r="C45" s="80" t="s">
        <v>47</v>
      </c>
      <c r="D45" s="80" t="s">
        <v>43</v>
      </c>
      <c r="E45" s="80" t="s">
        <v>46</v>
      </c>
      <c r="F45" s="80" t="s">
        <v>45</v>
      </c>
      <c r="G45" s="80" t="s">
        <v>44</v>
      </c>
      <c r="H45" s="80" t="s">
        <v>43</v>
      </c>
      <c r="I45" s="80" t="s">
        <v>46</v>
      </c>
      <c r="J45" s="80" t="s">
        <v>45</v>
      </c>
      <c r="K45" s="80" t="s">
        <v>44</v>
      </c>
      <c r="L45" s="80" t="s">
        <v>43</v>
      </c>
      <c r="M45" s="80" t="s">
        <v>46</v>
      </c>
      <c r="N45" s="80" t="s">
        <v>45</v>
      </c>
      <c r="O45" s="80" t="s">
        <v>44</v>
      </c>
      <c r="P45" s="3" t="s">
        <v>48</v>
      </c>
      <c r="Q45" s="3" t="s">
        <v>49</v>
      </c>
      <c r="R45" s="3" t="s">
        <v>45</v>
      </c>
      <c r="S45" s="3" t="s">
        <v>47</v>
      </c>
      <c r="T45" s="3" t="s">
        <v>48</v>
      </c>
      <c r="U45" s="3" t="s">
        <v>49</v>
      </c>
      <c r="V45" s="3" t="s">
        <v>45</v>
      </c>
      <c r="W45" s="179" t="s">
        <v>47</v>
      </c>
      <c r="X45" s="80" t="s">
        <v>48</v>
      </c>
      <c r="Y45" s="213" t="s">
        <v>49</v>
      </c>
      <c r="Z45" s="236" t="s">
        <v>45</v>
      </c>
      <c r="AA45" s="236" t="s">
        <v>47</v>
      </c>
      <c r="AB45" s="300" t="s">
        <v>48</v>
      </c>
      <c r="AC45" s="300" t="s">
        <v>49</v>
      </c>
      <c r="AD45" s="300" t="s">
        <v>45</v>
      </c>
      <c r="AE45" s="300" t="s">
        <v>47</v>
      </c>
      <c r="AF45" s="300" t="s">
        <v>48</v>
      </c>
      <c r="AG45" s="300" t="s">
        <v>49</v>
      </c>
      <c r="AH45" s="300" t="s">
        <v>45</v>
      </c>
      <c r="AI45" s="300" t="s">
        <v>47</v>
      </c>
      <c r="AJ45" s="300" t="s">
        <v>48</v>
      </c>
      <c r="AK45" s="300" t="s">
        <v>49</v>
      </c>
      <c r="AL45" s="236" t="s">
        <v>45</v>
      </c>
      <c r="AM45" s="236" t="s">
        <v>47</v>
      </c>
      <c r="AN45" s="235" t="s">
        <v>48</v>
      </c>
      <c r="AO45" s="235" t="s">
        <v>49</v>
      </c>
      <c r="AP45" s="235" t="s">
        <v>45</v>
      </c>
      <c r="AQ45" s="500" t="s">
        <v>47</v>
      </c>
      <c r="AR45" s="500" t="s">
        <v>48</v>
      </c>
      <c r="AS45" s="500" t="s">
        <v>49</v>
      </c>
      <c r="AT45" s="500" t="s">
        <v>45</v>
      </c>
      <c r="AU45" s="500" t="s">
        <v>47</v>
      </c>
      <c r="AV45" s="500" t="s">
        <v>48</v>
      </c>
      <c r="AW45" s="500" t="s">
        <v>49</v>
      </c>
      <c r="AX45" s="500" t="s">
        <v>45</v>
      </c>
      <c r="AY45" s="235" t="s">
        <v>47</v>
      </c>
      <c r="AZ45" s="235"/>
      <c r="BA45" s="235"/>
    </row>
    <row r="46" spans="1:62" x14ac:dyDescent="0.3">
      <c r="A46" s="723" t="s">
        <v>2</v>
      </c>
      <c r="B46" s="82" t="s">
        <v>3</v>
      </c>
      <c r="C46" s="46"/>
      <c r="D46" s="46"/>
      <c r="E46" s="46"/>
      <c r="F46" s="46"/>
      <c r="G46" s="46"/>
      <c r="H46" s="46"/>
      <c r="I46" s="46"/>
      <c r="J46" s="46"/>
      <c r="K46" s="46"/>
      <c r="L46" s="83">
        <v>146</v>
      </c>
      <c r="M46" s="46">
        <v>280</v>
      </c>
      <c r="N46" s="46">
        <v>74</v>
      </c>
      <c r="O46" s="46">
        <v>76</v>
      </c>
      <c r="P46" s="46">
        <v>262</v>
      </c>
      <c r="Q46" s="46">
        <v>313</v>
      </c>
      <c r="R46" s="46">
        <v>325</v>
      </c>
      <c r="S46" s="4">
        <f>345</f>
        <v>345</v>
      </c>
      <c r="T46" s="46">
        <v>335</v>
      </c>
      <c r="U46" s="108">
        <v>396</v>
      </c>
      <c r="V46" s="141">
        <v>295</v>
      </c>
      <c r="W46" s="141">
        <v>309</v>
      </c>
      <c r="X46" s="141">
        <v>276</v>
      </c>
      <c r="Y46" s="213">
        <v>279</v>
      </c>
      <c r="Z46" s="49">
        <v>297</v>
      </c>
      <c r="AA46" s="108">
        <v>343</v>
      </c>
      <c r="AB46" s="49">
        <v>350</v>
      </c>
      <c r="AC46" s="108">
        <v>355</v>
      </c>
      <c r="AD46" s="108">
        <v>341</v>
      </c>
      <c r="AE46" s="322">
        <v>346</v>
      </c>
      <c r="AF46" s="343">
        <v>345</v>
      </c>
      <c r="AG46" s="343">
        <v>335</v>
      </c>
      <c r="AH46" s="343">
        <v>308</v>
      </c>
      <c r="AI46" s="343">
        <v>291</v>
      </c>
      <c r="AJ46" s="333">
        <v>250</v>
      </c>
      <c r="AK46" s="405">
        <v>242</v>
      </c>
      <c r="AL46" s="108">
        <v>228</v>
      </c>
      <c r="AM46" s="108">
        <v>219</v>
      </c>
      <c r="AN46" s="2">
        <v>209</v>
      </c>
      <c r="AO46" s="2">
        <v>208</v>
      </c>
      <c r="AP46" s="2">
        <v>202</v>
      </c>
      <c r="AQ46" s="2">
        <v>220</v>
      </c>
      <c r="AR46" s="2">
        <v>266</v>
      </c>
      <c r="AS46" s="544">
        <v>353</v>
      </c>
      <c r="AT46" s="541">
        <v>474</v>
      </c>
      <c r="AU46" s="566">
        <v>519</v>
      </c>
      <c r="AV46" s="578">
        <v>534</v>
      </c>
      <c r="AW46" s="578">
        <v>463</v>
      </c>
      <c r="AX46" s="584">
        <v>411</v>
      </c>
      <c r="AY46" s="235"/>
      <c r="AZ46" s="235"/>
      <c r="BA46" s="235"/>
    </row>
    <row r="47" spans="1:62" x14ac:dyDescent="0.3">
      <c r="A47" s="724"/>
      <c r="B47" s="82" t="s">
        <v>4</v>
      </c>
      <c r="C47" s="46"/>
      <c r="D47" s="46"/>
      <c r="E47" s="46"/>
      <c r="F47" s="46"/>
      <c r="G47" s="46"/>
      <c r="H47" s="46"/>
      <c r="I47" s="46"/>
      <c r="J47" s="46"/>
      <c r="K47" s="46"/>
      <c r="L47" s="83"/>
      <c r="M47" s="46">
        <v>188</v>
      </c>
      <c r="N47" s="46">
        <v>190</v>
      </c>
      <c r="O47" s="46">
        <v>15</v>
      </c>
      <c r="P47" s="46">
        <v>713</v>
      </c>
      <c r="Q47" s="46">
        <v>753</v>
      </c>
      <c r="R47" s="46">
        <v>1034</v>
      </c>
      <c r="S47" s="4">
        <v>1126</v>
      </c>
      <c r="T47" s="46">
        <v>1198</v>
      </c>
      <c r="U47" s="108">
        <v>1202</v>
      </c>
      <c r="V47" s="141">
        <v>1252</v>
      </c>
      <c r="W47" s="141">
        <v>1293</v>
      </c>
      <c r="X47" s="141">
        <v>1333</v>
      </c>
      <c r="Y47" s="213">
        <v>1373</v>
      </c>
      <c r="Z47" s="176">
        <v>1452</v>
      </c>
      <c r="AA47" s="108">
        <v>1518</v>
      </c>
      <c r="AB47" s="49">
        <v>1609</v>
      </c>
      <c r="AC47" s="108">
        <v>2175</v>
      </c>
      <c r="AD47" s="108">
        <v>2306</v>
      </c>
      <c r="AE47" s="322">
        <v>2350</v>
      </c>
      <c r="AF47" s="343">
        <v>2366</v>
      </c>
      <c r="AG47" s="343">
        <v>2308</v>
      </c>
      <c r="AH47" s="343">
        <v>2219</v>
      </c>
      <c r="AI47" s="343">
        <v>2074</v>
      </c>
      <c r="AJ47" s="323">
        <v>2060</v>
      </c>
      <c r="AK47" s="108">
        <v>2017</v>
      </c>
      <c r="AL47" s="49">
        <v>1404</v>
      </c>
      <c r="AM47" s="108">
        <v>1376</v>
      </c>
      <c r="AN47" s="2">
        <v>1214</v>
      </c>
      <c r="AO47" s="2">
        <v>1282</v>
      </c>
      <c r="AP47" s="2">
        <v>1243</v>
      </c>
      <c r="AQ47" s="2">
        <v>1422</v>
      </c>
      <c r="AR47" s="2">
        <v>1552</v>
      </c>
      <c r="AS47" s="544">
        <v>2417</v>
      </c>
      <c r="AT47" s="541">
        <v>2514</v>
      </c>
      <c r="AU47" s="566">
        <v>2502</v>
      </c>
      <c r="AV47" s="578">
        <v>3028</v>
      </c>
      <c r="AW47" s="578">
        <v>3191</v>
      </c>
      <c r="AX47" s="584">
        <v>2853</v>
      </c>
      <c r="AY47" s="235"/>
      <c r="AZ47" s="235"/>
      <c r="BA47" s="235"/>
    </row>
    <row r="48" spans="1:62" x14ac:dyDescent="0.3">
      <c r="A48" s="724"/>
      <c r="B48" s="85" t="s">
        <v>5</v>
      </c>
      <c r="C48" s="88">
        <v>0</v>
      </c>
      <c r="D48" s="88">
        <v>0</v>
      </c>
      <c r="E48" s="88">
        <v>0</v>
      </c>
      <c r="F48" s="88">
        <v>0</v>
      </c>
      <c r="G48" s="88">
        <v>0</v>
      </c>
      <c r="H48" s="88">
        <v>0</v>
      </c>
      <c r="I48" s="88">
        <v>0</v>
      </c>
      <c r="J48" s="88">
        <v>0</v>
      </c>
      <c r="K48" s="88">
        <v>0</v>
      </c>
      <c r="L48" s="87">
        <v>146</v>
      </c>
      <c r="M48" s="88">
        <v>468</v>
      </c>
      <c r="N48" s="88">
        <v>264</v>
      </c>
      <c r="O48" s="100">
        <v>91</v>
      </c>
      <c r="P48" s="100">
        <f t="shared" ref="P48:AX48" si="42">SUM(P46:P47)</f>
        <v>975</v>
      </c>
      <c r="Q48" s="100">
        <f t="shared" si="42"/>
        <v>1066</v>
      </c>
      <c r="R48" s="100">
        <f t="shared" si="42"/>
        <v>1359</v>
      </c>
      <c r="S48" s="100">
        <f t="shared" si="42"/>
        <v>1471</v>
      </c>
      <c r="T48" s="100">
        <f t="shared" si="42"/>
        <v>1533</v>
      </c>
      <c r="U48" s="100">
        <f t="shared" si="42"/>
        <v>1598</v>
      </c>
      <c r="V48" s="100">
        <f t="shared" si="42"/>
        <v>1547</v>
      </c>
      <c r="W48" s="100">
        <f t="shared" si="42"/>
        <v>1602</v>
      </c>
      <c r="X48" s="100">
        <f t="shared" si="42"/>
        <v>1609</v>
      </c>
      <c r="Y48" s="100">
        <f t="shared" si="42"/>
        <v>1652</v>
      </c>
      <c r="Z48" s="100">
        <f t="shared" si="42"/>
        <v>1749</v>
      </c>
      <c r="AA48" s="100">
        <f t="shared" si="42"/>
        <v>1861</v>
      </c>
      <c r="AB48" s="100">
        <f t="shared" si="42"/>
        <v>1959</v>
      </c>
      <c r="AC48" s="100">
        <f t="shared" si="42"/>
        <v>2530</v>
      </c>
      <c r="AD48" s="100">
        <f t="shared" si="42"/>
        <v>2647</v>
      </c>
      <c r="AE48" s="100">
        <f t="shared" si="42"/>
        <v>2696</v>
      </c>
      <c r="AF48" s="100">
        <f t="shared" si="42"/>
        <v>2711</v>
      </c>
      <c r="AG48" s="100">
        <f t="shared" si="42"/>
        <v>2643</v>
      </c>
      <c r="AH48" s="100">
        <f t="shared" si="42"/>
        <v>2527</v>
      </c>
      <c r="AI48" s="100">
        <f t="shared" si="42"/>
        <v>2365</v>
      </c>
      <c r="AJ48" s="100">
        <f t="shared" si="42"/>
        <v>2310</v>
      </c>
      <c r="AK48" s="100">
        <f t="shared" si="42"/>
        <v>2259</v>
      </c>
      <c r="AL48" s="100">
        <f t="shared" si="42"/>
        <v>1632</v>
      </c>
      <c r="AM48" s="100">
        <f t="shared" si="42"/>
        <v>1595</v>
      </c>
      <c r="AN48" s="100">
        <f t="shared" si="42"/>
        <v>1423</v>
      </c>
      <c r="AO48" s="100">
        <f t="shared" si="42"/>
        <v>1490</v>
      </c>
      <c r="AP48" s="100">
        <f t="shared" si="42"/>
        <v>1445</v>
      </c>
      <c r="AQ48" s="100">
        <f t="shared" si="42"/>
        <v>1642</v>
      </c>
      <c r="AR48" s="100">
        <f t="shared" si="42"/>
        <v>1818</v>
      </c>
      <c r="AS48" s="100">
        <f t="shared" si="42"/>
        <v>2770</v>
      </c>
      <c r="AT48" s="100">
        <f t="shared" si="42"/>
        <v>2988</v>
      </c>
      <c r="AU48" s="100">
        <f t="shared" si="42"/>
        <v>3021</v>
      </c>
      <c r="AV48" s="100">
        <f t="shared" si="42"/>
        <v>3562</v>
      </c>
      <c r="AW48" s="100">
        <f t="shared" si="42"/>
        <v>3654</v>
      </c>
      <c r="AX48" s="100">
        <f t="shared" si="42"/>
        <v>3264</v>
      </c>
      <c r="AY48" s="596"/>
      <c r="AZ48" s="596"/>
      <c r="BA48" s="596"/>
      <c r="BB48" s="45"/>
      <c r="BC48" s="45"/>
      <c r="BD48" s="45"/>
      <c r="BE48" s="45"/>
      <c r="BF48" s="45"/>
      <c r="BG48" s="45"/>
      <c r="BH48" s="45"/>
      <c r="BI48" s="45"/>
      <c r="BJ48" s="45"/>
    </row>
    <row r="49" spans="1:62" x14ac:dyDescent="0.3">
      <c r="A49" s="725" t="s">
        <v>6</v>
      </c>
      <c r="B49" s="82" t="s">
        <v>3</v>
      </c>
      <c r="C49" s="46"/>
      <c r="D49" s="46"/>
      <c r="E49" s="46"/>
      <c r="F49" s="46"/>
      <c r="G49" s="46"/>
      <c r="H49" s="46"/>
      <c r="I49" s="46"/>
      <c r="J49" s="46"/>
      <c r="K49" s="46"/>
      <c r="L49" s="83">
        <v>16729</v>
      </c>
      <c r="M49" s="46">
        <v>38628</v>
      </c>
      <c r="N49" s="46">
        <v>57714</v>
      </c>
      <c r="O49" s="46">
        <v>24674</v>
      </c>
      <c r="P49" s="46">
        <v>49986</v>
      </c>
      <c r="Q49" s="46">
        <v>61889</v>
      </c>
      <c r="R49" s="46">
        <v>86715</v>
      </c>
      <c r="S49" s="4">
        <v>97656</v>
      </c>
      <c r="T49" s="46">
        <v>134821</v>
      </c>
      <c r="U49" s="108">
        <v>134676</v>
      </c>
      <c r="V49" s="141">
        <v>136054</v>
      </c>
      <c r="W49" s="141">
        <v>142994</v>
      </c>
      <c r="X49" s="141">
        <v>149824</v>
      </c>
      <c r="Y49" s="265">
        <v>162990</v>
      </c>
      <c r="Z49" s="176">
        <v>173830</v>
      </c>
      <c r="AA49" s="108">
        <v>163635</v>
      </c>
      <c r="AB49" s="49">
        <v>166886</v>
      </c>
      <c r="AC49" s="108">
        <v>164525</v>
      </c>
      <c r="AD49" s="108">
        <v>172687</v>
      </c>
      <c r="AE49" s="322">
        <v>170216</v>
      </c>
      <c r="AF49" s="343">
        <v>166566</v>
      </c>
      <c r="AG49" s="343">
        <v>160877</v>
      </c>
      <c r="AH49" s="343">
        <v>163096</v>
      </c>
      <c r="AI49" s="343">
        <v>159031</v>
      </c>
      <c r="AJ49" s="333">
        <v>155452</v>
      </c>
      <c r="AK49" s="405">
        <v>149627</v>
      </c>
      <c r="AL49" s="176">
        <v>150107</v>
      </c>
      <c r="AM49" s="176">
        <v>146072</v>
      </c>
      <c r="AN49" s="5">
        <v>142930</v>
      </c>
      <c r="AO49" s="176">
        <v>140613</v>
      </c>
      <c r="AP49" s="176">
        <v>166198</v>
      </c>
      <c r="AQ49" s="2">
        <v>171884</v>
      </c>
      <c r="AR49" s="176">
        <v>179868</v>
      </c>
      <c r="AS49" s="176">
        <v>185124</v>
      </c>
      <c r="AT49" s="541">
        <v>209119</v>
      </c>
      <c r="AU49" s="176">
        <v>218429</v>
      </c>
      <c r="AV49" s="176">
        <v>225912</v>
      </c>
      <c r="AW49" s="176">
        <v>220523</v>
      </c>
      <c r="AX49" s="176">
        <v>209121</v>
      </c>
      <c r="AY49" s="265"/>
      <c r="AZ49" s="265"/>
      <c r="BA49" s="265"/>
    </row>
    <row r="50" spans="1:62" x14ac:dyDescent="0.3">
      <c r="A50" s="726"/>
      <c r="B50" s="82" t="s">
        <v>4</v>
      </c>
      <c r="C50" s="46"/>
      <c r="D50" s="46"/>
      <c r="E50" s="46"/>
      <c r="F50" s="46"/>
      <c r="G50" s="46"/>
      <c r="H50" s="46"/>
      <c r="I50" s="46"/>
      <c r="J50" s="46"/>
      <c r="K50" s="46"/>
      <c r="L50" s="83"/>
      <c r="M50" s="46">
        <v>192</v>
      </c>
      <c r="N50" s="46">
        <v>434</v>
      </c>
      <c r="O50" s="46">
        <v>1283</v>
      </c>
      <c r="P50" s="46">
        <v>2964</v>
      </c>
      <c r="Q50" s="46">
        <v>3071</v>
      </c>
      <c r="R50" s="46">
        <v>3522</v>
      </c>
      <c r="S50" s="4">
        <v>4140</v>
      </c>
      <c r="T50" s="46">
        <v>4475</v>
      </c>
      <c r="U50" s="108">
        <v>4731</v>
      </c>
      <c r="V50" s="141">
        <v>4796</v>
      </c>
      <c r="W50" s="141">
        <v>5126</v>
      </c>
      <c r="X50" s="141">
        <v>5507</v>
      </c>
      <c r="Y50" s="265">
        <v>5742</v>
      </c>
      <c r="Z50" s="176">
        <v>6227</v>
      </c>
      <c r="AA50" s="108">
        <v>6288</v>
      </c>
      <c r="AB50" s="49">
        <v>6911</v>
      </c>
      <c r="AC50" s="108">
        <v>7066</v>
      </c>
      <c r="AD50" s="108">
        <v>7116</v>
      </c>
      <c r="AE50" s="322">
        <v>7210</v>
      </c>
      <c r="AF50" s="343">
        <v>7201</v>
      </c>
      <c r="AG50" s="343">
        <v>6870</v>
      </c>
      <c r="AH50" s="343">
        <v>6777</v>
      </c>
      <c r="AI50" s="343">
        <v>6433</v>
      </c>
      <c r="AJ50" s="333">
        <v>5694</v>
      </c>
      <c r="AK50" s="405">
        <v>5454</v>
      </c>
      <c r="AL50" s="176">
        <v>5424</v>
      </c>
      <c r="AM50" s="176">
        <v>5472</v>
      </c>
      <c r="AN50" s="5">
        <v>5481</v>
      </c>
      <c r="AO50" s="176">
        <v>4725</v>
      </c>
      <c r="AP50" s="176">
        <v>4745</v>
      </c>
      <c r="AQ50" s="2">
        <v>4929</v>
      </c>
      <c r="AR50" s="2">
        <v>5126</v>
      </c>
      <c r="AS50" s="544">
        <v>5591</v>
      </c>
      <c r="AT50" s="541">
        <v>5726</v>
      </c>
      <c r="AU50" s="176">
        <v>8973</v>
      </c>
      <c r="AV50" s="578">
        <v>9822</v>
      </c>
      <c r="AW50" s="578">
        <v>9499</v>
      </c>
      <c r="AX50" s="584">
        <v>9532</v>
      </c>
      <c r="AY50" s="235"/>
      <c r="AZ50" s="235"/>
      <c r="BA50" s="235"/>
    </row>
    <row r="51" spans="1:62" x14ac:dyDescent="0.3">
      <c r="A51" s="726"/>
      <c r="B51" s="85" t="s">
        <v>5</v>
      </c>
      <c r="C51" s="88">
        <v>0</v>
      </c>
      <c r="D51" s="88">
        <v>0</v>
      </c>
      <c r="E51" s="88">
        <v>0</v>
      </c>
      <c r="F51" s="88">
        <v>0</v>
      </c>
      <c r="G51" s="88">
        <v>0</v>
      </c>
      <c r="H51" s="88">
        <v>0</v>
      </c>
      <c r="I51" s="88">
        <v>0</v>
      </c>
      <c r="J51" s="88">
        <v>0</v>
      </c>
      <c r="K51" s="88">
        <v>0</v>
      </c>
      <c r="L51" s="87">
        <v>16729</v>
      </c>
      <c r="M51" s="88">
        <v>38820</v>
      </c>
      <c r="N51" s="88">
        <v>58148</v>
      </c>
      <c r="O51" s="100">
        <v>25957</v>
      </c>
      <c r="P51" s="100">
        <f t="shared" ref="P51:AB51" si="43">SUM(P49:P50)</f>
        <v>52950</v>
      </c>
      <c r="Q51" s="100">
        <f t="shared" si="43"/>
        <v>64960</v>
      </c>
      <c r="R51" s="100">
        <f t="shared" si="43"/>
        <v>90237</v>
      </c>
      <c r="S51" s="100">
        <f t="shared" si="43"/>
        <v>101796</v>
      </c>
      <c r="T51" s="100">
        <f t="shared" si="43"/>
        <v>139296</v>
      </c>
      <c r="U51" s="100">
        <f t="shared" si="43"/>
        <v>139407</v>
      </c>
      <c r="V51" s="100">
        <f t="shared" si="43"/>
        <v>140850</v>
      </c>
      <c r="W51" s="100">
        <f t="shared" si="43"/>
        <v>148120</v>
      </c>
      <c r="X51" s="100">
        <f t="shared" si="43"/>
        <v>155331</v>
      </c>
      <c r="Y51" s="100">
        <f t="shared" si="43"/>
        <v>168732</v>
      </c>
      <c r="Z51" s="100">
        <f t="shared" si="43"/>
        <v>180057</v>
      </c>
      <c r="AA51" s="100">
        <f t="shared" si="43"/>
        <v>169923</v>
      </c>
      <c r="AB51" s="100">
        <f t="shared" si="43"/>
        <v>173797</v>
      </c>
      <c r="AC51" s="100">
        <f t="shared" ref="AC51:AJ51" si="44">SUM(AC49:AC50)</f>
        <v>171591</v>
      </c>
      <c r="AD51" s="100">
        <f t="shared" si="44"/>
        <v>179803</v>
      </c>
      <c r="AE51" s="100">
        <f t="shared" si="44"/>
        <v>177426</v>
      </c>
      <c r="AF51" s="100">
        <f t="shared" si="44"/>
        <v>173767</v>
      </c>
      <c r="AG51" s="100">
        <f t="shared" si="44"/>
        <v>167747</v>
      </c>
      <c r="AH51" s="100">
        <f t="shared" si="44"/>
        <v>169873</v>
      </c>
      <c r="AI51" s="100">
        <f t="shared" si="44"/>
        <v>165464</v>
      </c>
      <c r="AJ51" s="100">
        <f t="shared" si="44"/>
        <v>161146</v>
      </c>
      <c r="AK51" s="100">
        <f t="shared" ref="AK51:AX51" si="45">SUM(AK49:AK50)</f>
        <v>155081</v>
      </c>
      <c r="AL51" s="100">
        <f t="shared" si="45"/>
        <v>155531</v>
      </c>
      <c r="AM51" s="100">
        <f t="shared" si="45"/>
        <v>151544</v>
      </c>
      <c r="AN51" s="100">
        <f t="shared" si="45"/>
        <v>148411</v>
      </c>
      <c r="AO51" s="100">
        <f t="shared" si="45"/>
        <v>145338</v>
      </c>
      <c r="AP51" s="100">
        <f t="shared" si="45"/>
        <v>170943</v>
      </c>
      <c r="AQ51" s="100">
        <f t="shared" si="45"/>
        <v>176813</v>
      </c>
      <c r="AR51" s="100">
        <f t="shared" si="45"/>
        <v>184994</v>
      </c>
      <c r="AS51" s="100">
        <f t="shared" si="45"/>
        <v>190715</v>
      </c>
      <c r="AT51" s="100">
        <f t="shared" si="45"/>
        <v>214845</v>
      </c>
      <c r="AU51" s="100">
        <f t="shared" si="45"/>
        <v>227402</v>
      </c>
      <c r="AV51" s="100">
        <f t="shared" si="45"/>
        <v>235734</v>
      </c>
      <c r="AW51" s="100">
        <f t="shared" si="45"/>
        <v>230022</v>
      </c>
      <c r="AX51" s="100">
        <f t="shared" si="45"/>
        <v>218653</v>
      </c>
      <c r="AY51" s="596"/>
      <c r="AZ51" s="596"/>
      <c r="BA51" s="596"/>
      <c r="BB51" s="45"/>
      <c r="BC51" s="45"/>
      <c r="BD51" s="45"/>
      <c r="BE51" s="45"/>
      <c r="BF51" s="45"/>
      <c r="BG51" s="45"/>
      <c r="BH51" s="45"/>
      <c r="BI51" s="45"/>
      <c r="BJ51" s="45"/>
    </row>
    <row r="52" spans="1:62" x14ac:dyDescent="0.3">
      <c r="A52" s="82"/>
      <c r="B52" s="94" t="s">
        <v>5</v>
      </c>
      <c r="C52" s="96"/>
      <c r="D52" s="96"/>
      <c r="E52" s="96"/>
      <c r="F52" s="96"/>
      <c r="G52" s="96"/>
      <c r="H52" s="96"/>
      <c r="I52" s="96"/>
      <c r="J52" s="96"/>
      <c r="K52" s="96"/>
      <c r="L52" s="95">
        <v>16875</v>
      </c>
      <c r="M52" s="96">
        <f>M51+M48</f>
        <v>39288</v>
      </c>
      <c r="N52" s="96">
        <v>58412</v>
      </c>
      <c r="O52" s="96">
        <v>26048</v>
      </c>
      <c r="P52" s="96">
        <f t="shared" ref="P52:W52" si="46">P51+P48</f>
        <v>53925</v>
      </c>
      <c r="Q52" s="96">
        <f t="shared" si="46"/>
        <v>66026</v>
      </c>
      <c r="R52" s="96">
        <f t="shared" si="46"/>
        <v>91596</v>
      </c>
      <c r="S52" s="96">
        <f t="shared" si="46"/>
        <v>103267</v>
      </c>
      <c r="T52" s="96">
        <f t="shared" si="46"/>
        <v>140829</v>
      </c>
      <c r="U52" s="96">
        <f t="shared" si="46"/>
        <v>141005</v>
      </c>
      <c r="V52" s="96">
        <f t="shared" si="46"/>
        <v>142397</v>
      </c>
      <c r="W52" s="96">
        <f t="shared" si="46"/>
        <v>149722</v>
      </c>
      <c r="X52" s="96">
        <f>X51+X48</f>
        <v>156940</v>
      </c>
      <c r="Y52" s="215">
        <f t="shared" ref="Y52:AX52" si="47">Y48+Y51</f>
        <v>170384</v>
      </c>
      <c r="Z52" s="215">
        <f t="shared" si="47"/>
        <v>181806</v>
      </c>
      <c r="AA52" s="215">
        <f t="shared" si="47"/>
        <v>171784</v>
      </c>
      <c r="AB52" s="215">
        <f t="shared" si="47"/>
        <v>175756</v>
      </c>
      <c r="AC52" s="215">
        <f t="shared" si="47"/>
        <v>174121</v>
      </c>
      <c r="AD52" s="215">
        <f t="shared" si="47"/>
        <v>182450</v>
      </c>
      <c r="AE52" s="215">
        <f t="shared" si="47"/>
        <v>180122</v>
      </c>
      <c r="AF52" s="215">
        <f t="shared" si="47"/>
        <v>176478</v>
      </c>
      <c r="AG52" s="215">
        <f t="shared" si="47"/>
        <v>170390</v>
      </c>
      <c r="AH52" s="215">
        <f t="shared" si="47"/>
        <v>172400</v>
      </c>
      <c r="AI52" s="215">
        <f t="shared" si="47"/>
        <v>167829</v>
      </c>
      <c r="AJ52" s="215">
        <f t="shared" si="47"/>
        <v>163456</v>
      </c>
      <c r="AK52" s="215">
        <f t="shared" si="47"/>
        <v>157340</v>
      </c>
      <c r="AL52" s="215">
        <f t="shared" si="47"/>
        <v>157163</v>
      </c>
      <c r="AM52" s="215">
        <f t="shared" si="47"/>
        <v>153139</v>
      </c>
      <c r="AN52" s="215">
        <f t="shared" si="47"/>
        <v>149834</v>
      </c>
      <c r="AO52" s="215">
        <f t="shared" si="47"/>
        <v>146828</v>
      </c>
      <c r="AP52" s="215">
        <f t="shared" si="47"/>
        <v>172388</v>
      </c>
      <c r="AQ52" s="215">
        <f t="shared" si="47"/>
        <v>178455</v>
      </c>
      <c r="AR52" s="215">
        <f t="shared" si="47"/>
        <v>186812</v>
      </c>
      <c r="AS52" s="215">
        <f t="shared" si="47"/>
        <v>193485</v>
      </c>
      <c r="AT52" s="215">
        <f t="shared" si="47"/>
        <v>217833</v>
      </c>
      <c r="AU52" s="215">
        <f t="shared" si="47"/>
        <v>230423</v>
      </c>
      <c r="AV52" s="215">
        <f t="shared" si="47"/>
        <v>239296</v>
      </c>
      <c r="AW52" s="215">
        <f t="shared" si="47"/>
        <v>233676</v>
      </c>
      <c r="AX52" s="215">
        <f t="shared" si="47"/>
        <v>221917</v>
      </c>
      <c r="AY52" s="215"/>
      <c r="AZ52" s="215"/>
      <c r="BA52" s="215"/>
      <c r="BB52" s="266"/>
      <c r="BC52" s="266"/>
      <c r="BD52" s="266"/>
      <c r="BE52" s="266"/>
      <c r="BF52" s="266"/>
      <c r="BG52" s="266"/>
      <c r="BH52" s="266"/>
      <c r="BI52" s="266"/>
      <c r="BJ52" s="266"/>
    </row>
    <row r="53" spans="1:62" x14ac:dyDescent="0.3">
      <c r="B53" s="465" t="s">
        <v>91</v>
      </c>
      <c r="C53" s="96"/>
      <c r="D53" s="96"/>
      <c r="E53" s="96"/>
      <c r="F53" s="96"/>
      <c r="G53" s="96"/>
      <c r="H53" s="96"/>
      <c r="I53" s="96"/>
      <c r="J53" s="96"/>
      <c r="K53" s="96"/>
      <c r="L53" s="66">
        <f>L52/L68</f>
        <v>1.0871476916713857E-2</v>
      </c>
      <c r="M53" s="66">
        <f>M52/M68</f>
        <v>2.6762906317566323E-2</v>
      </c>
      <c r="N53" s="66">
        <f t="shared" ref="N53:T53" si="48">N52/N68</f>
        <v>3.7999379384237274E-2</v>
      </c>
      <c r="O53" s="66">
        <f t="shared" si="48"/>
        <v>1.7942520287625875E-2</v>
      </c>
      <c r="P53" s="66">
        <f t="shared" si="48"/>
        <v>3.6876535240085564E-2</v>
      </c>
      <c r="Q53" s="66">
        <f t="shared" si="48"/>
        <v>4.6805572490295211E-2</v>
      </c>
      <c r="R53" s="66">
        <f t="shared" si="48"/>
        <v>6.0243008283117676E-2</v>
      </c>
      <c r="S53" s="66">
        <f t="shared" si="48"/>
        <v>6.9824820953328856E-2</v>
      </c>
      <c r="T53" s="66">
        <f t="shared" si="48"/>
        <v>9.5958838864593707E-2</v>
      </c>
      <c r="U53" s="66">
        <f t="shared" ref="U53:AG53" si="49">U52/U68</f>
        <v>9.2593383025542389E-2</v>
      </c>
      <c r="V53" s="66">
        <f t="shared" si="49"/>
        <v>8.5324121649354809E-2</v>
      </c>
      <c r="W53" s="66">
        <f t="shared" si="49"/>
        <v>8.9985599611502043E-2</v>
      </c>
      <c r="X53" s="66">
        <f t="shared" si="49"/>
        <v>9.4789191592064628E-2</v>
      </c>
      <c r="Y53" s="217">
        <f t="shared" si="49"/>
        <v>0.10101624534075138</v>
      </c>
      <c r="Z53" s="267">
        <f t="shared" si="49"/>
        <v>0.10175963354307738</v>
      </c>
      <c r="AA53" s="267">
        <f t="shared" si="49"/>
        <v>0.10452778915304525</v>
      </c>
      <c r="AB53" s="267">
        <f t="shared" si="49"/>
        <v>0.11109439572400732</v>
      </c>
      <c r="AC53" s="267">
        <f t="shared" si="49"/>
        <v>0.10891738789930516</v>
      </c>
      <c r="AD53" s="267">
        <f t="shared" si="49"/>
        <v>0.10344565601952228</v>
      </c>
      <c r="AE53" s="267">
        <f t="shared" si="49"/>
        <v>0.10403912456080462</v>
      </c>
      <c r="AF53" s="267">
        <f t="shared" si="49"/>
        <v>0.10527910793318805</v>
      </c>
      <c r="AG53" s="267">
        <f t="shared" si="49"/>
        <v>0.10405172113723481</v>
      </c>
      <c r="AH53" s="267">
        <f t="shared" ref="AH53:AN53" si="50">AH52/AH68</f>
        <v>9.7499896788102294E-2</v>
      </c>
      <c r="AI53" s="267">
        <f t="shared" si="50"/>
        <v>9.4612581073424823E-2</v>
      </c>
      <c r="AJ53" s="267">
        <f t="shared" si="50"/>
        <v>9.3211891450482323E-2</v>
      </c>
      <c r="AK53" s="267">
        <f t="shared" si="50"/>
        <v>8.9265300171166531E-2</v>
      </c>
      <c r="AL53" s="267">
        <f t="shared" si="50"/>
        <v>8.379577595454768E-2</v>
      </c>
      <c r="AM53" s="267">
        <f t="shared" si="50"/>
        <v>7.6194319172395122E-2</v>
      </c>
      <c r="AN53" s="267">
        <f t="shared" si="50"/>
        <v>7.5621604298047054E-2</v>
      </c>
      <c r="AO53" s="267">
        <f t="shared" ref="AO53:AX53" si="51">AO52/AO68</f>
        <v>7.2117047026279385E-2</v>
      </c>
      <c r="AP53" s="267">
        <f t="shared" si="51"/>
        <v>7.8067522238791848E-2</v>
      </c>
      <c r="AQ53" s="267">
        <f t="shared" si="51"/>
        <v>8.781447724662457E-2</v>
      </c>
      <c r="AR53" s="267">
        <f t="shared" si="51"/>
        <v>9.94465314926615E-2</v>
      </c>
      <c r="AS53" s="267">
        <f t="shared" si="51"/>
        <v>0.10335659882885491</v>
      </c>
      <c r="AT53" s="267">
        <f t="shared" si="51"/>
        <v>0.10627202688304237</v>
      </c>
      <c r="AU53" s="267">
        <f t="shared" si="51"/>
        <v>0.11719919840494791</v>
      </c>
      <c r="AV53" s="267">
        <f t="shared" si="51"/>
        <v>0.12359883681891667</v>
      </c>
      <c r="AW53" s="267">
        <f t="shared" si="51"/>
        <v>0.12457159124166972</v>
      </c>
      <c r="AX53" s="267">
        <f t="shared" si="51"/>
        <v>0.11815150451938809</v>
      </c>
      <c r="AY53" s="229"/>
      <c r="AZ53" s="229"/>
      <c r="BA53" s="229"/>
      <c r="BB53" s="575"/>
      <c r="BC53" s="575"/>
      <c r="BD53" s="575"/>
      <c r="BE53" s="575"/>
      <c r="BF53" s="575"/>
      <c r="BG53" s="575"/>
      <c r="BH53" s="575"/>
      <c r="BI53" s="575"/>
      <c r="BJ53" s="575"/>
    </row>
    <row r="54" spans="1:62" x14ac:dyDescent="0.3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62" s="465" customFormat="1" x14ac:dyDescent="0.3">
      <c r="A55" s="112" t="s">
        <v>152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389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496">
        <v>2017</v>
      </c>
      <c r="AO55" s="496"/>
      <c r="AP55" s="495"/>
      <c r="AS55" s="544"/>
      <c r="AT55" s="541"/>
      <c r="AU55" s="566"/>
      <c r="AV55" s="578"/>
      <c r="AW55" s="578"/>
      <c r="AX55" s="584"/>
      <c r="AY55" s="590"/>
      <c r="AZ55" s="601"/>
      <c r="BA55" s="614"/>
      <c r="BB55" s="572"/>
      <c r="BC55" s="572"/>
      <c r="BD55" s="572"/>
      <c r="BE55" s="572"/>
      <c r="BF55" s="572"/>
      <c r="BG55" s="572"/>
      <c r="BH55" s="572">
        <v>2022</v>
      </c>
      <c r="BI55" s="572"/>
      <c r="BJ55" s="572"/>
    </row>
    <row r="56" spans="1:62" s="465" customFormat="1" x14ac:dyDescent="0.3">
      <c r="A56" s="727" t="s">
        <v>0</v>
      </c>
      <c r="B56" s="72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389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235" t="s">
        <v>48</v>
      </c>
      <c r="AO56" s="235" t="s">
        <v>49</v>
      </c>
      <c r="AP56" s="235" t="s">
        <v>45</v>
      </c>
      <c r="AQ56" s="500" t="s">
        <v>47</v>
      </c>
      <c r="AR56" s="500" t="s">
        <v>48</v>
      </c>
      <c r="AS56" s="500" t="s">
        <v>49</v>
      </c>
      <c r="AT56" s="500" t="s">
        <v>45</v>
      </c>
      <c r="AU56" s="500" t="s">
        <v>47</v>
      </c>
      <c r="AV56" s="500" t="s">
        <v>163</v>
      </c>
      <c r="AW56" s="500" t="s">
        <v>49</v>
      </c>
      <c r="AX56" s="500" t="s">
        <v>45</v>
      </c>
      <c r="AY56" s="500" t="s">
        <v>47</v>
      </c>
      <c r="AZ56" s="500" t="s">
        <v>48</v>
      </c>
      <c r="BA56" s="500" t="s">
        <v>49</v>
      </c>
      <c r="BB56" s="500" t="s">
        <v>45</v>
      </c>
      <c r="BC56" s="500" t="s">
        <v>47</v>
      </c>
      <c r="BD56" s="621" t="s">
        <v>147</v>
      </c>
      <c r="BE56" s="627" t="s">
        <v>49</v>
      </c>
      <c r="BF56" s="675" t="s">
        <v>45</v>
      </c>
      <c r="BG56" s="681" t="s">
        <v>47</v>
      </c>
      <c r="BH56" s="690" t="s">
        <v>48</v>
      </c>
      <c r="BI56" s="695" t="s">
        <v>49</v>
      </c>
      <c r="BJ56" s="685"/>
    </row>
    <row r="57" spans="1:62" s="465" customFormat="1" x14ac:dyDescent="0.3">
      <c r="A57" s="722" t="s">
        <v>2</v>
      </c>
      <c r="B57" s="465" t="s">
        <v>3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389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O57" s="465">
        <v>17036</v>
      </c>
      <c r="AP57" s="176">
        <v>17036</v>
      </c>
      <c r="AQ57" s="176">
        <v>16694</v>
      </c>
      <c r="AR57" s="465">
        <v>16939</v>
      </c>
      <c r="AS57" s="544">
        <v>17349</v>
      </c>
      <c r="AT57" s="541">
        <v>17497</v>
      </c>
      <c r="AU57" s="566">
        <v>17643</v>
      </c>
      <c r="AV57" s="578">
        <v>17751</v>
      </c>
      <c r="AW57" s="578">
        <v>17973</v>
      </c>
      <c r="AX57" s="584">
        <v>18297</v>
      </c>
      <c r="AY57" s="590">
        <v>23633</v>
      </c>
      <c r="AZ57" s="601">
        <v>23706</v>
      </c>
      <c r="BA57" s="615">
        <v>23721</v>
      </c>
      <c r="BB57" s="572">
        <v>23864</v>
      </c>
      <c r="BC57" s="572">
        <v>23892</v>
      </c>
      <c r="BD57" s="572">
        <v>23836</v>
      </c>
      <c r="BE57" s="572">
        <v>24176</v>
      </c>
      <c r="BF57" s="572">
        <v>24186</v>
      </c>
      <c r="BG57" s="572">
        <v>24186</v>
      </c>
      <c r="BH57" s="572">
        <v>24641</v>
      </c>
      <c r="BI57" s="572">
        <v>22181</v>
      </c>
      <c r="BJ57" s="572"/>
    </row>
    <row r="58" spans="1:62" s="465" customFormat="1" x14ac:dyDescent="0.3">
      <c r="A58" s="722"/>
      <c r="B58" s="465" t="s">
        <v>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389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O58" s="465">
        <v>6876</v>
      </c>
      <c r="AP58" s="176">
        <v>6876</v>
      </c>
      <c r="AQ58" s="176">
        <v>5970</v>
      </c>
      <c r="AR58" s="465">
        <v>5571</v>
      </c>
      <c r="AS58" s="544">
        <v>5403</v>
      </c>
      <c r="AT58" s="541">
        <v>5467</v>
      </c>
      <c r="AU58" s="566">
        <v>5166</v>
      </c>
      <c r="AV58" s="578">
        <v>5102</v>
      </c>
      <c r="AW58" s="578">
        <v>5104</v>
      </c>
      <c r="AX58" s="584">
        <v>5135</v>
      </c>
      <c r="AY58" s="590"/>
      <c r="AZ58" s="601"/>
      <c r="BA58" s="614">
        <v>186</v>
      </c>
      <c r="BB58" s="572"/>
      <c r="BC58" s="572"/>
      <c r="BD58" s="572">
        <v>297</v>
      </c>
      <c r="BE58" s="572">
        <v>293</v>
      </c>
      <c r="BF58" s="572">
        <v>293</v>
      </c>
      <c r="BG58" s="572">
        <v>293</v>
      </c>
      <c r="BH58" s="572">
        <v>340</v>
      </c>
      <c r="BI58" s="572">
        <v>217</v>
      </c>
      <c r="BJ58" s="572"/>
    </row>
    <row r="59" spans="1:62" s="465" customFormat="1" x14ac:dyDescent="0.3">
      <c r="A59" s="722"/>
      <c r="B59" s="466" t="s">
        <v>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389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466"/>
      <c r="AO59" s="466">
        <f t="shared" ref="AO59:BI59" si="52">AO57+AO58</f>
        <v>23912</v>
      </c>
      <c r="AP59" s="502">
        <f t="shared" si="52"/>
        <v>23912</v>
      </c>
      <c r="AQ59" s="502">
        <f t="shared" si="52"/>
        <v>22664</v>
      </c>
      <c r="AR59" s="502">
        <f t="shared" si="52"/>
        <v>22510</v>
      </c>
      <c r="AS59" s="502">
        <f t="shared" si="52"/>
        <v>22752</v>
      </c>
      <c r="AT59" s="502">
        <f t="shared" si="52"/>
        <v>22964</v>
      </c>
      <c r="AU59" s="502">
        <f t="shared" si="52"/>
        <v>22809</v>
      </c>
      <c r="AV59" s="502">
        <f t="shared" si="52"/>
        <v>22853</v>
      </c>
      <c r="AW59" s="502">
        <f t="shared" si="52"/>
        <v>23077</v>
      </c>
      <c r="AX59" s="502">
        <f t="shared" si="52"/>
        <v>23432</v>
      </c>
      <c r="AY59" s="502">
        <f t="shared" si="52"/>
        <v>23633</v>
      </c>
      <c r="AZ59" s="502">
        <f t="shared" si="52"/>
        <v>23706</v>
      </c>
      <c r="BA59" s="502">
        <f t="shared" si="52"/>
        <v>23907</v>
      </c>
      <c r="BB59" s="502">
        <f t="shared" si="52"/>
        <v>23864</v>
      </c>
      <c r="BC59" s="502">
        <f t="shared" si="52"/>
        <v>23892</v>
      </c>
      <c r="BD59" s="502">
        <f t="shared" si="52"/>
        <v>24133</v>
      </c>
      <c r="BE59" s="502">
        <f t="shared" si="52"/>
        <v>24469</v>
      </c>
      <c r="BF59" s="502">
        <f t="shared" si="52"/>
        <v>24479</v>
      </c>
      <c r="BG59" s="502">
        <f t="shared" si="52"/>
        <v>24479</v>
      </c>
      <c r="BH59" s="502">
        <f t="shared" si="52"/>
        <v>24981</v>
      </c>
      <c r="BI59" s="502">
        <f t="shared" si="52"/>
        <v>22398</v>
      </c>
      <c r="BJ59" s="502"/>
    </row>
    <row r="60" spans="1:62" s="465" customFormat="1" x14ac:dyDescent="0.3">
      <c r="A60" s="722" t="s">
        <v>6</v>
      </c>
      <c r="B60" s="465" t="s">
        <v>3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389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O60" s="465">
        <v>4569</v>
      </c>
      <c r="AP60" s="465">
        <v>4569</v>
      </c>
      <c r="AQ60" s="176">
        <v>8514</v>
      </c>
      <c r="AR60" s="465">
        <v>8202</v>
      </c>
      <c r="AS60" s="544">
        <v>8056</v>
      </c>
      <c r="AT60" s="541">
        <v>7758</v>
      </c>
      <c r="AU60" s="566">
        <v>7781</v>
      </c>
      <c r="AV60" s="578">
        <v>7423</v>
      </c>
      <c r="AW60" s="578">
        <v>8884</v>
      </c>
      <c r="AX60" s="584">
        <v>7970</v>
      </c>
      <c r="AY60" s="590">
        <v>8004</v>
      </c>
      <c r="AZ60" s="601">
        <v>7798</v>
      </c>
      <c r="BA60" s="615">
        <v>7518</v>
      </c>
      <c r="BB60" s="572">
        <v>6854</v>
      </c>
      <c r="BC60" s="572">
        <v>6803</v>
      </c>
      <c r="BD60" s="572">
        <v>6737</v>
      </c>
      <c r="BE60" s="572">
        <v>6573</v>
      </c>
      <c r="BF60" s="572">
        <v>6736</v>
      </c>
      <c r="BG60" s="572">
        <v>6376</v>
      </c>
      <c r="BH60" s="572">
        <v>5830</v>
      </c>
      <c r="BI60" s="572">
        <v>5673</v>
      </c>
      <c r="BJ60" s="572"/>
    </row>
    <row r="61" spans="1:62" s="465" customFormat="1" x14ac:dyDescent="0.3">
      <c r="A61" s="722"/>
      <c r="B61" s="465" t="s">
        <v>4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389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O61" s="465">
        <v>0</v>
      </c>
      <c r="AP61" s="465">
        <v>0</v>
      </c>
      <c r="AQ61" s="176"/>
      <c r="AR61" s="465">
        <v>0</v>
      </c>
      <c r="AS61" s="544">
        <v>0</v>
      </c>
      <c r="AT61" s="541">
        <v>0</v>
      </c>
      <c r="AU61" s="566">
        <v>0</v>
      </c>
      <c r="AV61" s="578"/>
      <c r="AW61" s="578"/>
      <c r="AX61" s="584"/>
      <c r="AY61" s="590"/>
      <c r="AZ61" s="601">
        <v>0</v>
      </c>
      <c r="BA61" s="614">
        <v>0</v>
      </c>
      <c r="BB61" s="572">
        <v>0</v>
      </c>
      <c r="BC61" s="572"/>
      <c r="BD61" s="572"/>
      <c r="BE61" s="572"/>
      <c r="BF61" s="572"/>
      <c r="BG61" s="572"/>
      <c r="BH61" s="572"/>
      <c r="BI61" s="572"/>
      <c r="BJ61" s="572"/>
    </row>
    <row r="62" spans="1:62" x14ac:dyDescent="0.3">
      <c r="A62" s="722"/>
      <c r="B62" s="466" t="s">
        <v>5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466"/>
      <c r="AO62" s="466">
        <f t="shared" ref="AO62:BI62" si="53">AO60+AO61</f>
        <v>4569</v>
      </c>
      <c r="AP62" s="466">
        <f t="shared" si="53"/>
        <v>4569</v>
      </c>
      <c r="AQ62" s="502">
        <f t="shared" si="53"/>
        <v>8514</v>
      </c>
      <c r="AR62" s="502">
        <f t="shared" si="53"/>
        <v>8202</v>
      </c>
      <c r="AS62" s="502">
        <f t="shared" si="53"/>
        <v>8056</v>
      </c>
      <c r="AT62" s="502">
        <f t="shared" si="53"/>
        <v>7758</v>
      </c>
      <c r="AU62" s="502">
        <f t="shared" si="53"/>
        <v>7781</v>
      </c>
      <c r="AV62" s="502">
        <f t="shared" si="53"/>
        <v>7423</v>
      </c>
      <c r="AW62" s="502">
        <f t="shared" si="53"/>
        <v>8884</v>
      </c>
      <c r="AX62" s="502">
        <f t="shared" si="53"/>
        <v>7970</v>
      </c>
      <c r="AY62" s="502">
        <f t="shared" si="53"/>
        <v>8004</v>
      </c>
      <c r="AZ62" s="502">
        <f t="shared" si="53"/>
        <v>7798</v>
      </c>
      <c r="BA62" s="502">
        <f t="shared" si="53"/>
        <v>7518</v>
      </c>
      <c r="BB62" s="502">
        <f t="shared" si="53"/>
        <v>6854</v>
      </c>
      <c r="BC62" s="502">
        <f t="shared" si="53"/>
        <v>6803</v>
      </c>
      <c r="BD62" s="502">
        <f t="shared" si="53"/>
        <v>6737</v>
      </c>
      <c r="BE62" s="502">
        <f t="shared" si="53"/>
        <v>6573</v>
      </c>
      <c r="BF62" s="502">
        <f t="shared" si="53"/>
        <v>6736</v>
      </c>
      <c r="BG62" s="502">
        <f t="shared" si="53"/>
        <v>6376</v>
      </c>
      <c r="BH62" s="502">
        <f t="shared" si="53"/>
        <v>5830</v>
      </c>
      <c r="BI62" s="502">
        <f t="shared" si="53"/>
        <v>5673</v>
      </c>
      <c r="BJ62" s="502"/>
    </row>
    <row r="63" spans="1:62" x14ac:dyDescent="0.3">
      <c r="B63" s="465" t="s">
        <v>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O63" s="2">
        <f t="shared" ref="AO63:AX63" si="54">AO59+AO62</f>
        <v>28481</v>
      </c>
      <c r="AP63" s="495">
        <f t="shared" si="54"/>
        <v>28481</v>
      </c>
      <c r="AQ63" s="176">
        <f t="shared" si="54"/>
        <v>31178</v>
      </c>
      <c r="AR63" s="176">
        <f t="shared" si="54"/>
        <v>30712</v>
      </c>
      <c r="AS63" s="176">
        <f t="shared" si="54"/>
        <v>30808</v>
      </c>
      <c r="AT63" s="176">
        <f t="shared" si="54"/>
        <v>30722</v>
      </c>
      <c r="AU63" s="176">
        <f t="shared" si="54"/>
        <v>30590</v>
      </c>
      <c r="AV63" s="176">
        <f t="shared" si="54"/>
        <v>30276</v>
      </c>
      <c r="AW63" s="176">
        <f t="shared" si="54"/>
        <v>31961</v>
      </c>
      <c r="AX63" s="176">
        <f t="shared" si="54"/>
        <v>31402</v>
      </c>
      <c r="AY63" s="176">
        <f t="shared" ref="AY63:BG63" si="55">AY59+AY62</f>
        <v>31637</v>
      </c>
      <c r="AZ63" s="176">
        <f t="shared" si="55"/>
        <v>31504</v>
      </c>
      <c r="BA63" s="176">
        <f t="shared" si="55"/>
        <v>31425</v>
      </c>
      <c r="BB63" s="176">
        <f t="shared" si="55"/>
        <v>30718</v>
      </c>
      <c r="BC63" s="176">
        <f t="shared" si="55"/>
        <v>30695</v>
      </c>
      <c r="BD63" s="176">
        <f t="shared" si="55"/>
        <v>30870</v>
      </c>
      <c r="BE63" s="176">
        <f t="shared" si="55"/>
        <v>31042</v>
      </c>
      <c r="BF63" s="176">
        <f t="shared" si="55"/>
        <v>31215</v>
      </c>
      <c r="BG63" s="176">
        <f t="shared" si="55"/>
        <v>30855</v>
      </c>
      <c r="BH63" s="176">
        <f>BH59+BH62</f>
        <v>30811</v>
      </c>
      <c r="BI63" s="176">
        <f>BI59+BI62</f>
        <v>28071</v>
      </c>
      <c r="BJ63" s="176"/>
    </row>
    <row r="64" spans="1:62" x14ac:dyDescent="0.3">
      <c r="B64" s="465" t="s">
        <v>91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7"/>
      <c r="AO64" s="493">
        <f t="shared" ref="AO64:AY64" si="56">AO63/AO68</f>
        <v>1.3988923205079844E-2</v>
      </c>
      <c r="AP64" s="493">
        <f t="shared" si="56"/>
        <v>1.2897887909152786E-2</v>
      </c>
      <c r="AQ64" s="493">
        <f t="shared" si="56"/>
        <v>1.534212978955625E-2</v>
      </c>
      <c r="AR64" s="493">
        <f t="shared" si="56"/>
        <v>1.6349066843685738E-2</v>
      </c>
      <c r="AS64" s="493">
        <f t="shared" si="56"/>
        <v>1.6457141880349184E-2</v>
      </c>
      <c r="AT64" s="493">
        <f t="shared" si="56"/>
        <v>1.4988037670604673E-2</v>
      </c>
      <c r="AU64" s="493">
        <f t="shared" si="56"/>
        <v>1.5558878580729166E-2</v>
      </c>
      <c r="AV64" s="493">
        <f t="shared" si="56"/>
        <v>1.5637864333417698E-2</v>
      </c>
      <c r="AW64" s="493">
        <f t="shared" si="56"/>
        <v>1.7038260787051326E-2</v>
      </c>
      <c r="AX64" s="493">
        <f t="shared" si="56"/>
        <v>1.6718834271001431E-2</v>
      </c>
      <c r="AY64" s="493">
        <f t="shared" si="56"/>
        <v>1.5250576168763338E-2</v>
      </c>
      <c r="AZ64" s="493">
        <f>AZ63/AZ68</f>
        <v>1.5679919410470068E-2</v>
      </c>
      <c r="BA64" s="493">
        <f>BA63/BA68</f>
        <v>1.7043587109678807E-2</v>
      </c>
      <c r="BB64" s="493">
        <f>BB63/BB68</f>
        <v>1.5811517731723047E-2</v>
      </c>
      <c r="BC64" s="493">
        <f>BC63/BC68</f>
        <v>1.5434543105845416E-2</v>
      </c>
      <c r="BD64" s="493">
        <f t="shared" ref="BD64:BI64" si="57">BD63/BD68</f>
        <v>1.5629319327195017E-2</v>
      </c>
      <c r="BE64" s="493">
        <f t="shared" si="57"/>
        <v>1.5988833261223398E-2</v>
      </c>
      <c r="BF64" s="493">
        <f t="shared" si="57"/>
        <v>1.6045155689155242E-2</v>
      </c>
      <c r="BG64" s="493">
        <f t="shared" si="57"/>
        <v>1.735514458683169E-2</v>
      </c>
      <c r="BH64" s="493">
        <f t="shared" si="57"/>
        <v>1.7788038812575811E-2</v>
      </c>
      <c r="BI64" s="493">
        <f t="shared" si="57"/>
        <v>1.6244660054837518E-2</v>
      </c>
      <c r="BJ64" s="493"/>
    </row>
    <row r="65" spans="1:62" x14ac:dyDescent="0.3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5"/>
      <c r="P65" s="108"/>
      <c r="Q65" s="6"/>
      <c r="R65" s="6"/>
      <c r="S65" s="6"/>
      <c r="T65" s="6"/>
      <c r="U65" s="6"/>
      <c r="V65" s="6"/>
      <c r="W65" s="6"/>
      <c r="X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92"/>
    </row>
    <row r="66" spans="1:62" ht="30.75" customHeight="1" x14ac:dyDescent="0.3">
      <c r="A66" s="730" t="s">
        <v>22</v>
      </c>
      <c r="B66" s="730"/>
      <c r="C66" s="81">
        <v>2007</v>
      </c>
      <c r="D66" s="722">
        <v>2008</v>
      </c>
      <c r="E66" s="722"/>
      <c r="F66" s="722"/>
      <c r="G66" s="722"/>
      <c r="H66" s="722">
        <v>2009</v>
      </c>
      <c r="I66" s="722"/>
      <c r="J66" s="722"/>
      <c r="K66" s="722"/>
      <c r="L66" s="722">
        <v>2010</v>
      </c>
      <c r="M66" s="722"/>
      <c r="N66" s="722"/>
      <c r="O66" s="722"/>
      <c r="P66" s="722">
        <v>2011</v>
      </c>
      <c r="Q66" s="722"/>
      <c r="R66" s="722"/>
      <c r="S66" s="722"/>
      <c r="T66" s="722">
        <v>2012</v>
      </c>
      <c r="U66" s="722"/>
      <c r="V66" s="722"/>
      <c r="W66" s="722"/>
      <c r="X66" s="722">
        <v>2013</v>
      </c>
      <c r="Y66" s="722"/>
      <c r="Z66" s="722"/>
      <c r="AB66" s="722">
        <v>2014</v>
      </c>
      <c r="AC66" s="722"/>
      <c r="AF66" s="722">
        <v>2015</v>
      </c>
      <c r="AG66" s="722"/>
      <c r="AH66" s="722"/>
      <c r="AI66" s="722"/>
      <c r="AJ66" s="722">
        <v>2016</v>
      </c>
      <c r="AK66" s="722"/>
      <c r="AN66" s="2">
        <v>2017</v>
      </c>
    </row>
    <row r="67" spans="1:62" x14ac:dyDescent="0.3">
      <c r="C67" s="80" t="s">
        <v>47</v>
      </c>
      <c r="D67" s="80" t="s">
        <v>43</v>
      </c>
      <c r="E67" s="80" t="s">
        <v>46</v>
      </c>
      <c r="F67" s="80" t="s">
        <v>45</v>
      </c>
      <c r="G67" s="80" t="s">
        <v>44</v>
      </c>
      <c r="H67" s="80" t="s">
        <v>43</v>
      </c>
      <c r="I67" s="80" t="s">
        <v>46</v>
      </c>
      <c r="J67" s="80" t="s">
        <v>45</v>
      </c>
      <c r="K67" s="80" t="s">
        <v>44</v>
      </c>
      <c r="L67" s="80" t="s">
        <v>43</v>
      </c>
      <c r="M67" s="80" t="s">
        <v>46</v>
      </c>
      <c r="N67" s="80" t="s">
        <v>45</v>
      </c>
      <c r="O67" s="80" t="s">
        <v>44</v>
      </c>
      <c r="P67" s="3" t="s">
        <v>48</v>
      </c>
      <c r="Q67" s="3" t="s">
        <v>49</v>
      </c>
      <c r="R67" s="3" t="s">
        <v>45</v>
      </c>
      <c r="S67" s="3" t="s">
        <v>47</v>
      </c>
      <c r="T67" s="3" t="s">
        <v>48</v>
      </c>
      <c r="U67" s="3" t="s">
        <v>49</v>
      </c>
      <c r="V67" s="3" t="s">
        <v>45</v>
      </c>
      <c r="W67" s="3" t="s">
        <v>47</v>
      </c>
      <c r="X67" s="80" t="s">
        <v>48</v>
      </c>
      <c r="Y67" s="213" t="s">
        <v>49</v>
      </c>
      <c r="Z67" s="235" t="s">
        <v>45</v>
      </c>
      <c r="AA67" s="235" t="s">
        <v>47</v>
      </c>
      <c r="AB67" s="117" t="s">
        <v>48</v>
      </c>
      <c r="AC67" s="117" t="s">
        <v>49</v>
      </c>
      <c r="AD67" s="117" t="s">
        <v>45</v>
      </c>
      <c r="AE67" s="117" t="s">
        <v>47</v>
      </c>
      <c r="AF67" s="117" t="s">
        <v>48</v>
      </c>
      <c r="AG67" s="117" t="s">
        <v>49</v>
      </c>
      <c r="AH67" s="117" t="s">
        <v>45</v>
      </c>
      <c r="AI67" s="117" t="s">
        <v>47</v>
      </c>
      <c r="AJ67" s="117" t="s">
        <v>48</v>
      </c>
      <c r="AK67" s="117" t="s">
        <v>49</v>
      </c>
      <c r="AL67" s="235" t="s">
        <v>45</v>
      </c>
      <c r="AM67" s="235" t="s">
        <v>47</v>
      </c>
      <c r="AN67" s="235" t="s">
        <v>48</v>
      </c>
      <c r="AO67" s="235" t="s">
        <v>49</v>
      </c>
      <c r="AP67" s="235" t="s">
        <v>45</v>
      </c>
      <c r="AQ67" s="500" t="s">
        <v>47</v>
      </c>
      <c r="AR67" s="500" t="s">
        <v>48</v>
      </c>
      <c r="AS67" s="500" t="s">
        <v>49</v>
      </c>
      <c r="AT67" s="500" t="s">
        <v>45</v>
      </c>
      <c r="AU67" s="500" t="s">
        <v>47</v>
      </c>
      <c r="AV67" s="500" t="s">
        <v>48</v>
      </c>
      <c r="AW67" s="500" t="s">
        <v>49</v>
      </c>
      <c r="AX67" s="500" t="s">
        <v>45</v>
      </c>
      <c r="AY67" s="500" t="s">
        <v>47</v>
      </c>
      <c r="AZ67" s="500" t="s">
        <v>48</v>
      </c>
      <c r="BA67" s="500"/>
    </row>
    <row r="68" spans="1:62" x14ac:dyDescent="0.3">
      <c r="B68" s="2" t="s">
        <v>25</v>
      </c>
      <c r="C68" s="5">
        <f t="shared" ref="C68:X68" si="58">C11+C26+C39+C52</f>
        <v>858831</v>
      </c>
      <c r="D68" s="5">
        <f t="shared" si="58"/>
        <v>968546</v>
      </c>
      <c r="E68" s="5">
        <f t="shared" si="58"/>
        <v>1020348</v>
      </c>
      <c r="F68" s="5">
        <f t="shared" si="58"/>
        <v>1075420</v>
      </c>
      <c r="G68" s="5">
        <f t="shared" si="58"/>
        <v>1155230</v>
      </c>
      <c r="H68" s="5">
        <f t="shared" si="58"/>
        <v>1154045</v>
      </c>
      <c r="I68" s="5">
        <f t="shared" si="58"/>
        <v>1223446</v>
      </c>
      <c r="J68" s="5">
        <f t="shared" si="58"/>
        <v>1297407</v>
      </c>
      <c r="K68" s="5">
        <f t="shared" si="58"/>
        <v>1359170</v>
      </c>
      <c r="L68" s="5">
        <f t="shared" si="58"/>
        <v>1552227</v>
      </c>
      <c r="M68" s="5">
        <f t="shared" si="58"/>
        <v>1468002</v>
      </c>
      <c r="N68" s="5">
        <f t="shared" si="58"/>
        <v>1537183</v>
      </c>
      <c r="O68" s="5">
        <f t="shared" si="58"/>
        <v>1451747</v>
      </c>
      <c r="P68" s="5">
        <f t="shared" si="58"/>
        <v>1462312</v>
      </c>
      <c r="Q68" s="5">
        <f t="shared" si="58"/>
        <v>1410644</v>
      </c>
      <c r="R68" s="5">
        <f t="shared" si="58"/>
        <v>1520442</v>
      </c>
      <c r="S68" s="5">
        <f t="shared" si="58"/>
        <v>1478944</v>
      </c>
      <c r="T68" s="5">
        <f t="shared" si="58"/>
        <v>1467598</v>
      </c>
      <c r="U68" s="5">
        <f t="shared" si="58"/>
        <v>1522841</v>
      </c>
      <c r="V68" s="5">
        <f t="shared" si="58"/>
        <v>1668895</v>
      </c>
      <c r="W68" s="5">
        <f t="shared" si="58"/>
        <v>1663844</v>
      </c>
      <c r="X68" s="5">
        <f t="shared" si="58"/>
        <v>1655674</v>
      </c>
      <c r="Y68" s="215">
        <f t="shared" ref="Y68:AH68" si="59">Y52+Y39+Y26+Y11</f>
        <v>1686699</v>
      </c>
      <c r="Z68" s="266">
        <f t="shared" si="59"/>
        <v>1786622</v>
      </c>
      <c r="AA68" s="266">
        <f t="shared" si="59"/>
        <v>1643429</v>
      </c>
      <c r="AB68" s="266">
        <f t="shared" si="59"/>
        <v>1582042</v>
      </c>
      <c r="AC68" s="266">
        <f t="shared" si="59"/>
        <v>1598652</v>
      </c>
      <c r="AD68" s="266">
        <f t="shared" si="59"/>
        <v>1763728</v>
      </c>
      <c r="AE68" s="266">
        <f t="shared" si="59"/>
        <v>1731291</v>
      </c>
      <c r="AF68" s="266">
        <f t="shared" si="59"/>
        <v>1676287</v>
      </c>
      <c r="AG68" s="266">
        <f t="shared" si="59"/>
        <v>1637551</v>
      </c>
      <c r="AH68" s="266">
        <f t="shared" si="59"/>
        <v>1768207</v>
      </c>
      <c r="AI68" s="266">
        <f t="shared" ref="AI68:AN68" si="60">AI52+AI39+AI26+AI11</f>
        <v>1773855</v>
      </c>
      <c r="AJ68" s="266">
        <f t="shared" si="60"/>
        <v>1753596</v>
      </c>
      <c r="AK68" s="266">
        <f t="shared" si="60"/>
        <v>1762611</v>
      </c>
      <c r="AL68" s="266">
        <f t="shared" si="60"/>
        <v>1875548</v>
      </c>
      <c r="AM68" s="266">
        <f t="shared" si="60"/>
        <v>2009848</v>
      </c>
      <c r="AN68" s="266">
        <f t="shared" si="60"/>
        <v>1981365</v>
      </c>
      <c r="AO68" s="266">
        <f t="shared" ref="AO68:AW68" si="61">AO52+AO39+AO26+AO11+AO63</f>
        <v>2035968</v>
      </c>
      <c r="AP68" s="266">
        <f t="shared" si="61"/>
        <v>2208191</v>
      </c>
      <c r="AQ68" s="266">
        <f t="shared" si="61"/>
        <v>2032182</v>
      </c>
      <c r="AR68" s="266">
        <f t="shared" si="61"/>
        <v>1878517</v>
      </c>
      <c r="AS68" s="266">
        <f t="shared" si="61"/>
        <v>1872014</v>
      </c>
      <c r="AT68" s="266">
        <f t="shared" si="61"/>
        <v>2049768</v>
      </c>
      <c r="AU68" s="266">
        <f t="shared" si="61"/>
        <v>1966080</v>
      </c>
      <c r="AV68" s="266">
        <f t="shared" si="61"/>
        <v>1936070</v>
      </c>
      <c r="AW68" s="266">
        <f t="shared" si="61"/>
        <v>1875837</v>
      </c>
      <c r="AX68" s="266">
        <f t="shared" ref="AX68:BF68" si="62">AX26+AX11+AX63</f>
        <v>1878241</v>
      </c>
      <c r="AY68" s="266">
        <f t="shared" si="62"/>
        <v>2074479</v>
      </c>
      <c r="AZ68" s="266">
        <f t="shared" si="62"/>
        <v>2009194</v>
      </c>
      <c r="BA68" s="266">
        <f t="shared" si="62"/>
        <v>1843802</v>
      </c>
      <c r="BB68" s="266">
        <f t="shared" si="62"/>
        <v>1942761</v>
      </c>
      <c r="BC68" s="266">
        <f t="shared" si="62"/>
        <v>1988721</v>
      </c>
      <c r="BD68" s="266">
        <f t="shared" si="62"/>
        <v>1975134</v>
      </c>
      <c r="BE68" s="266">
        <f t="shared" si="62"/>
        <v>1941480</v>
      </c>
      <c r="BF68" s="266">
        <f t="shared" si="62"/>
        <v>1945447</v>
      </c>
      <c r="BG68" s="266">
        <f>BG26+BG11+BG63</f>
        <v>1777859</v>
      </c>
      <c r="BH68" s="266">
        <f>BH26+BH11+BH63</f>
        <v>1732119</v>
      </c>
      <c r="BI68" s="266">
        <f>BI26+BI11+BI63</f>
        <v>1728014</v>
      </c>
      <c r="BJ68" s="266"/>
    </row>
    <row r="69" spans="1:62" x14ac:dyDescent="0.3">
      <c r="Q69" s="6"/>
      <c r="R69" s="6"/>
      <c r="S69" s="6"/>
      <c r="T69" s="6"/>
      <c r="U69" s="6"/>
      <c r="Y69" s="213"/>
      <c r="AC69" s="5"/>
    </row>
    <row r="70" spans="1:62" x14ac:dyDescent="0.3">
      <c r="B70" s="2" t="s">
        <v>26</v>
      </c>
      <c r="C70" s="48">
        <f>C68/2070000</f>
        <v>0.41489420289855072</v>
      </c>
      <c r="D70" s="48">
        <f t="shared" ref="D70:O70" si="63">D68/2070000</f>
        <v>0.46789661835748791</v>
      </c>
      <c r="E70" s="48">
        <f t="shared" si="63"/>
        <v>0.4929217391304348</v>
      </c>
      <c r="F70" s="48">
        <f t="shared" si="63"/>
        <v>0.51952657004830916</v>
      </c>
      <c r="G70" s="48">
        <f t="shared" si="63"/>
        <v>0.55808212560386472</v>
      </c>
      <c r="H70" s="48">
        <f t="shared" si="63"/>
        <v>0.55750966183574879</v>
      </c>
      <c r="I70" s="48">
        <f t="shared" si="63"/>
        <v>0.59103671497584542</v>
      </c>
      <c r="J70" s="48">
        <f t="shared" si="63"/>
        <v>0.62676666666666669</v>
      </c>
      <c r="K70" s="48">
        <f t="shared" si="63"/>
        <v>0.65660386473429955</v>
      </c>
      <c r="L70" s="48">
        <f t="shared" si="63"/>
        <v>0.74986811594202896</v>
      </c>
      <c r="M70" s="48">
        <f t="shared" si="63"/>
        <v>0.70917971014492753</v>
      </c>
      <c r="N70" s="48">
        <f t="shared" si="63"/>
        <v>0.74260048309178739</v>
      </c>
      <c r="O70" s="48">
        <f t="shared" si="63"/>
        <v>0.70132705314009658</v>
      </c>
      <c r="P70" s="109">
        <f>P68/1733872</f>
        <v>0.84337944208107629</v>
      </c>
      <c r="Q70" s="109">
        <f>Q68/1733872</f>
        <v>0.81358024121734474</v>
      </c>
      <c r="R70" s="109">
        <f>R68/1733872</f>
        <v>0.8769055616562238</v>
      </c>
      <c r="S70" s="109">
        <f>S68/1733872</f>
        <v>0.85297184567257556</v>
      </c>
      <c r="T70" s="109">
        <f>T68/1733872</f>
        <v>0.84642811003349727</v>
      </c>
      <c r="U70" s="109">
        <f>U68/1739825</f>
        <v>0.87528400844912568</v>
      </c>
      <c r="V70" s="109">
        <f>V68/1739825</f>
        <v>0.95923153190694466</v>
      </c>
      <c r="W70" s="109">
        <f>W68/1739825</f>
        <v>0.95632836635868546</v>
      </c>
      <c r="X70" s="109">
        <f>X68/1739825</f>
        <v>0.95163249177359788</v>
      </c>
      <c r="Y70" s="6">
        <f t="shared" ref="Y70:AF70" si="64">Y68/1815606</f>
        <v>0.92900056510057794</v>
      </c>
      <c r="Z70" s="6">
        <f t="shared" si="64"/>
        <v>0.98403618406196058</v>
      </c>
      <c r="AA70" s="6">
        <f t="shared" si="64"/>
        <v>0.90516830193334896</v>
      </c>
      <c r="AB70" s="6">
        <f t="shared" si="64"/>
        <v>0.87135755224426448</v>
      </c>
      <c r="AC70" s="6">
        <f t="shared" si="64"/>
        <v>0.88050601286843067</v>
      </c>
      <c r="AD70" s="6">
        <f t="shared" si="64"/>
        <v>0.97142662009268532</v>
      </c>
      <c r="AE70" s="6">
        <f t="shared" si="64"/>
        <v>0.95356095981176536</v>
      </c>
      <c r="AF70" s="6">
        <f t="shared" si="64"/>
        <v>0.92326584071654316</v>
      </c>
      <c r="AG70" s="6">
        <f t="shared" ref="AG70:AN70" si="65">AG68/1815606</f>
        <v>0.9019308153861576</v>
      </c>
      <c r="AH70" s="6">
        <f t="shared" si="65"/>
        <v>0.97389356501355473</v>
      </c>
      <c r="AI70" s="6">
        <f t="shared" si="65"/>
        <v>0.97700437209394553</v>
      </c>
      <c r="AJ70" s="6">
        <f t="shared" si="65"/>
        <v>0.9658461141899729</v>
      </c>
      <c r="AK70" s="6">
        <f t="shared" si="65"/>
        <v>0.9708113985082667</v>
      </c>
      <c r="AL70" s="6">
        <f t="shared" si="65"/>
        <v>1.0330148721694024</v>
      </c>
      <c r="AM70" s="6">
        <f t="shared" si="65"/>
        <v>1.1069846651751536</v>
      </c>
      <c r="AN70" s="6">
        <f t="shared" si="65"/>
        <v>1.0912967901626234</v>
      </c>
      <c r="AO70" s="491">
        <f t="shared" ref="AO70:AX70" si="66">AO68/1815606</f>
        <v>1.1213710463613802</v>
      </c>
      <c r="AP70" s="491">
        <f t="shared" si="66"/>
        <v>1.2162280803213914</v>
      </c>
      <c r="AQ70" s="491">
        <f t="shared" si="66"/>
        <v>1.119285792181784</v>
      </c>
      <c r="AR70" s="491">
        <f t="shared" si="66"/>
        <v>1.0346501388517113</v>
      </c>
      <c r="AS70" s="491">
        <f t="shared" si="66"/>
        <v>1.0310684146229965</v>
      </c>
      <c r="AT70" s="491">
        <f t="shared" si="66"/>
        <v>1.1289718143694172</v>
      </c>
      <c r="AU70" s="491">
        <f t="shared" si="66"/>
        <v>1.0828781134232868</v>
      </c>
      <c r="AV70" s="491">
        <f t="shared" si="66"/>
        <v>1.0663491969072585</v>
      </c>
      <c r="AW70" s="491">
        <f t="shared" si="66"/>
        <v>1.0331740476733389</v>
      </c>
      <c r="AX70" s="491">
        <f t="shared" si="66"/>
        <v>1.0344981234915505</v>
      </c>
      <c r="AY70" s="491">
        <f t="shared" ref="AY70:BI70" si="67">AY68/1815606</f>
        <v>1.1425821461264174</v>
      </c>
      <c r="AZ70" s="491">
        <f t="shared" si="67"/>
        <v>1.1066244548652076</v>
      </c>
      <c r="BA70" s="491">
        <f t="shared" si="67"/>
        <v>1.0155298010691747</v>
      </c>
      <c r="BB70" s="491">
        <f t="shared" si="67"/>
        <v>1.0700344678305755</v>
      </c>
      <c r="BC70" s="491">
        <f t="shared" si="67"/>
        <v>1.0953483299790814</v>
      </c>
      <c r="BD70" s="491">
        <f t="shared" si="67"/>
        <v>1.0878648781729077</v>
      </c>
      <c r="BE70" s="491">
        <f t="shared" si="67"/>
        <v>1.0693289182785253</v>
      </c>
      <c r="BF70" s="491">
        <f t="shared" si="67"/>
        <v>1.0715138636906907</v>
      </c>
      <c r="BG70" s="491">
        <f t="shared" si="67"/>
        <v>0.97920969637685706</v>
      </c>
      <c r="BH70" s="491">
        <f t="shared" si="67"/>
        <v>0.95401700589224758</v>
      </c>
      <c r="BI70" s="491">
        <f t="shared" si="67"/>
        <v>0.95175605280000175</v>
      </c>
      <c r="BJ70" s="491"/>
    </row>
    <row r="71" spans="1:62" x14ac:dyDescent="0.3">
      <c r="C71" s="48"/>
      <c r="D71" s="48"/>
      <c r="E71" s="48"/>
      <c r="F71" s="48"/>
      <c r="G71" s="48"/>
      <c r="H71" s="48"/>
      <c r="I71" s="48"/>
      <c r="J71" s="48"/>
      <c r="K71" s="7"/>
      <c r="L71" s="7"/>
      <c r="M71" s="50"/>
      <c r="N71" s="7"/>
      <c r="Q71" s="108"/>
      <c r="R71" s="108"/>
      <c r="S71" s="108"/>
      <c r="T71" s="108"/>
      <c r="U71" s="108"/>
      <c r="V71" s="6"/>
      <c r="W71" s="6"/>
      <c r="X71" s="6"/>
      <c r="Z71" s="108"/>
      <c r="AA71" s="108"/>
      <c r="AB71" s="108"/>
      <c r="AC71" s="7"/>
      <c r="AD71" s="6"/>
      <c r="AE71" s="6"/>
      <c r="AF71" s="6"/>
      <c r="AG71" s="6"/>
      <c r="AH71" s="6"/>
      <c r="AI71" s="6"/>
    </row>
    <row r="72" spans="1:62" x14ac:dyDescent="0.3">
      <c r="C72" s="48"/>
      <c r="D72" s="48"/>
      <c r="E72" s="48"/>
      <c r="F72" s="48"/>
      <c r="G72" s="48"/>
      <c r="H72" s="48"/>
      <c r="I72" s="48"/>
      <c r="J72" s="48"/>
      <c r="K72" s="7"/>
      <c r="L72" s="7"/>
      <c r="M72" s="7"/>
      <c r="N72" s="7"/>
      <c r="Q72" s="6"/>
      <c r="R72" s="6"/>
      <c r="S72" s="6"/>
      <c r="T72" s="6"/>
      <c r="U72" s="6"/>
      <c r="V72" s="108"/>
      <c r="W72" s="108"/>
      <c r="X72" s="108"/>
      <c r="Z72" s="108"/>
      <c r="AA72" s="108"/>
      <c r="AB72" s="108"/>
      <c r="AC72" s="7"/>
      <c r="AD72" s="6"/>
      <c r="AE72" s="6"/>
      <c r="AF72" s="6"/>
      <c r="AG72" s="6"/>
      <c r="AH72" s="6"/>
      <c r="AI72" s="6"/>
    </row>
    <row r="73" spans="1:62" x14ac:dyDescent="0.3">
      <c r="C73" s="48"/>
      <c r="D73" s="48"/>
      <c r="E73" s="48"/>
      <c r="F73" s="48"/>
      <c r="G73" s="48"/>
      <c r="H73" s="48"/>
      <c r="I73" s="48"/>
      <c r="J73" s="48"/>
      <c r="K73" s="7"/>
      <c r="L73" s="7"/>
      <c r="M73" s="7"/>
      <c r="N73" s="7"/>
      <c r="Q73" s="6"/>
      <c r="R73" s="6"/>
      <c r="S73" s="7"/>
      <c r="T73" s="7"/>
      <c r="U73" s="6"/>
      <c r="V73" s="6"/>
      <c r="W73" s="6"/>
      <c r="X73" s="6"/>
      <c r="Z73" s="108"/>
      <c r="AA73" s="108"/>
      <c r="AB73" s="108"/>
      <c r="AC73" s="7"/>
      <c r="AD73" s="6"/>
      <c r="AE73" s="6"/>
      <c r="AF73" s="6"/>
      <c r="AG73" s="6"/>
      <c r="AH73" s="6"/>
      <c r="AI73" s="6"/>
    </row>
    <row r="74" spans="1:62" x14ac:dyDescent="0.3">
      <c r="C74" s="48"/>
      <c r="D74" s="48"/>
      <c r="E74" s="48"/>
      <c r="F74" s="48"/>
      <c r="G74" s="48"/>
      <c r="H74" s="48"/>
      <c r="I74" s="48"/>
      <c r="J74" s="4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"/>
      <c r="W74" s="6"/>
      <c r="X74" s="6"/>
      <c r="Z74" s="108"/>
      <c r="AA74" s="108"/>
      <c r="AB74" s="108"/>
      <c r="AC74" s="7"/>
      <c r="AD74" s="6"/>
      <c r="AE74" s="6"/>
      <c r="AF74" s="6"/>
      <c r="AG74" s="6"/>
      <c r="AH74" s="6"/>
      <c r="AI74" s="6"/>
    </row>
    <row r="75" spans="1:62" x14ac:dyDescent="0.3"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147"/>
      <c r="Z75" s="110"/>
      <c r="AA75" s="110"/>
      <c r="AB75" s="110"/>
      <c r="AC75" s="5"/>
      <c r="AD75" s="6"/>
      <c r="AE75" s="6"/>
      <c r="AF75" s="6"/>
      <c r="AG75" s="6"/>
      <c r="AH75" s="6"/>
      <c r="AI75" s="6"/>
    </row>
    <row r="76" spans="1:62" x14ac:dyDescent="0.3">
      <c r="C76" s="111">
        <v>2007</v>
      </c>
      <c r="D76" s="729">
        <v>2008</v>
      </c>
      <c r="E76" s="729"/>
      <c r="F76" s="729"/>
      <c r="G76" s="729"/>
      <c r="H76" s="729">
        <v>2009</v>
      </c>
      <c r="I76" s="729"/>
      <c r="J76" s="729"/>
      <c r="K76" s="729"/>
      <c r="L76" s="729">
        <v>2010</v>
      </c>
      <c r="M76" s="729"/>
      <c r="N76" s="729"/>
      <c r="O76" s="729"/>
      <c r="P76" s="729">
        <v>2011</v>
      </c>
      <c r="Q76" s="729"/>
      <c r="R76" s="729"/>
      <c r="S76" s="729"/>
      <c r="T76" s="729">
        <v>2012</v>
      </c>
      <c r="U76" s="729"/>
      <c r="V76" s="729"/>
      <c r="W76" s="729"/>
      <c r="X76" s="729">
        <v>2013</v>
      </c>
      <c r="Y76" s="729"/>
      <c r="Z76" s="729"/>
      <c r="AA76" s="110"/>
      <c r="AB76" s="731">
        <v>2014</v>
      </c>
      <c r="AC76" s="731"/>
      <c r="AD76" s="731"/>
      <c r="AE76" s="731"/>
      <c r="AF76" s="722">
        <v>2015</v>
      </c>
      <c r="AG76" s="722"/>
      <c r="AH76" s="722"/>
      <c r="AI76" s="722"/>
      <c r="AJ76" s="722"/>
      <c r="AK76" s="722"/>
      <c r="AN76" s="2">
        <v>2017</v>
      </c>
      <c r="BH76" s="572">
        <v>2022</v>
      </c>
    </row>
    <row r="77" spans="1:62" x14ac:dyDescent="0.3">
      <c r="A77" s="112" t="s">
        <v>23</v>
      </c>
      <c r="B77" s="112"/>
      <c r="C77" s="80" t="s">
        <v>47</v>
      </c>
      <c r="D77" s="80" t="s">
        <v>43</v>
      </c>
      <c r="E77" s="80" t="s">
        <v>46</v>
      </c>
      <c r="F77" s="80" t="s">
        <v>45</v>
      </c>
      <c r="G77" s="80" t="s">
        <v>44</v>
      </c>
      <c r="H77" s="80" t="s">
        <v>43</v>
      </c>
      <c r="I77" s="80" t="s">
        <v>46</v>
      </c>
      <c r="J77" s="80" t="s">
        <v>45</v>
      </c>
      <c r="K77" s="80" t="s">
        <v>44</v>
      </c>
      <c r="L77" s="80" t="s">
        <v>43</v>
      </c>
      <c r="M77" s="80" t="s">
        <v>46</v>
      </c>
      <c r="N77" s="80" t="s">
        <v>45</v>
      </c>
      <c r="O77" s="80" t="s">
        <v>44</v>
      </c>
      <c r="P77" s="3" t="s">
        <v>48</v>
      </c>
      <c r="Q77" s="3" t="s">
        <v>49</v>
      </c>
      <c r="R77" s="3" t="s">
        <v>45</v>
      </c>
      <c r="S77" s="3" t="s">
        <v>47</v>
      </c>
      <c r="T77" s="3" t="s">
        <v>48</v>
      </c>
      <c r="U77" s="3" t="s">
        <v>49</v>
      </c>
      <c r="V77" s="3" t="s">
        <v>45</v>
      </c>
      <c r="W77" s="3" t="s">
        <v>47</v>
      </c>
      <c r="X77" s="80" t="s">
        <v>48</v>
      </c>
      <c r="Y77" s="216" t="s">
        <v>49</v>
      </c>
      <c r="Z77" s="216" t="s">
        <v>45</v>
      </c>
      <c r="AA77" s="216" t="s">
        <v>47</v>
      </c>
      <c r="AB77" s="216" t="s">
        <v>48</v>
      </c>
      <c r="AC77" s="216" t="s">
        <v>49</v>
      </c>
      <c r="AD77" s="216" t="s">
        <v>45</v>
      </c>
      <c r="AE77" s="216" t="s">
        <v>47</v>
      </c>
      <c r="AF77" s="216" t="s">
        <v>48</v>
      </c>
      <c r="AG77" s="216" t="s">
        <v>49</v>
      </c>
      <c r="AH77" s="216" t="s">
        <v>45</v>
      </c>
      <c r="AI77" s="216" t="s">
        <v>47</v>
      </c>
      <c r="AJ77" s="117" t="s">
        <v>48</v>
      </c>
      <c r="AK77" s="117" t="s">
        <v>49</v>
      </c>
      <c r="AL77" s="235" t="s">
        <v>45</v>
      </c>
      <c r="AM77" s="235" t="s">
        <v>47</v>
      </c>
      <c r="AN77" s="235" t="s">
        <v>48</v>
      </c>
      <c r="AO77" s="235" t="s">
        <v>49</v>
      </c>
      <c r="AP77" s="235" t="s">
        <v>45</v>
      </c>
      <c r="AQ77" s="500" t="s">
        <v>47</v>
      </c>
      <c r="AR77" s="500" t="s">
        <v>48</v>
      </c>
      <c r="AS77" s="500" t="s">
        <v>49</v>
      </c>
      <c r="AT77" s="500" t="s">
        <v>45</v>
      </c>
      <c r="AU77" s="500" t="s">
        <v>47</v>
      </c>
      <c r="AV77" s="500" t="s">
        <v>48</v>
      </c>
      <c r="AW77" s="500" t="s">
        <v>49</v>
      </c>
      <c r="AX77" s="500" t="s">
        <v>45</v>
      </c>
      <c r="AY77" s="500" t="s">
        <v>47</v>
      </c>
      <c r="AZ77" s="500"/>
      <c r="BA77" s="500"/>
      <c r="BD77" s="621" t="s">
        <v>147</v>
      </c>
      <c r="BE77" s="627" t="s">
        <v>49</v>
      </c>
      <c r="BF77" s="675" t="s">
        <v>45</v>
      </c>
      <c r="BG77" s="681" t="s">
        <v>47</v>
      </c>
      <c r="BH77" s="690" t="s">
        <v>48</v>
      </c>
      <c r="BI77" s="695" t="s">
        <v>49</v>
      </c>
      <c r="BJ77" s="685"/>
    </row>
    <row r="78" spans="1:62" x14ac:dyDescent="0.3">
      <c r="A78" s="725" t="s">
        <v>55</v>
      </c>
      <c r="B78" s="113" t="s">
        <v>3</v>
      </c>
      <c r="C78" s="5">
        <f t="shared" ref="C78:X78" si="68">C5+C19+C33+C46</f>
        <v>0</v>
      </c>
      <c r="D78" s="5">
        <f t="shared" si="68"/>
        <v>0</v>
      </c>
      <c r="E78" s="5">
        <f t="shared" si="68"/>
        <v>0</v>
      </c>
      <c r="F78" s="5">
        <f t="shared" si="68"/>
        <v>0</v>
      </c>
      <c r="G78" s="5">
        <f t="shared" si="68"/>
        <v>0</v>
      </c>
      <c r="H78" s="5">
        <f t="shared" si="68"/>
        <v>0</v>
      </c>
      <c r="I78" s="5">
        <f t="shared" si="68"/>
        <v>0</v>
      </c>
      <c r="J78" s="5">
        <f t="shared" si="68"/>
        <v>0</v>
      </c>
      <c r="K78" s="5">
        <f t="shared" si="68"/>
        <v>0</v>
      </c>
      <c r="L78" s="5">
        <f t="shared" si="68"/>
        <v>18399</v>
      </c>
      <c r="M78" s="5">
        <f t="shared" si="68"/>
        <v>22118</v>
      </c>
      <c r="N78" s="5">
        <f t="shared" si="68"/>
        <v>34310</v>
      </c>
      <c r="O78" s="5">
        <f t="shared" si="68"/>
        <v>843</v>
      </c>
      <c r="P78" s="5">
        <f t="shared" si="68"/>
        <v>49757</v>
      </c>
      <c r="Q78" s="5">
        <f t="shared" si="68"/>
        <v>39423</v>
      </c>
      <c r="R78" s="5">
        <f t="shared" si="68"/>
        <v>38284</v>
      </c>
      <c r="S78" s="5">
        <f t="shared" si="68"/>
        <v>24650</v>
      </c>
      <c r="T78" s="5">
        <f t="shared" si="68"/>
        <v>14693</v>
      </c>
      <c r="U78" s="5">
        <f t="shared" si="68"/>
        <v>15362</v>
      </c>
      <c r="V78" s="5">
        <f t="shared" si="68"/>
        <v>14465</v>
      </c>
      <c r="W78" s="5">
        <f t="shared" si="68"/>
        <v>14426</v>
      </c>
      <c r="X78" s="5">
        <f t="shared" si="68"/>
        <v>14419</v>
      </c>
      <c r="Y78" s="5">
        <f t="shared" ref="Y78:AG78" si="69">Y46+Y33+Y19+Y5</f>
        <v>14125</v>
      </c>
      <c r="Z78" s="5">
        <f t="shared" si="69"/>
        <v>12597</v>
      </c>
      <c r="AA78" s="5">
        <f t="shared" si="69"/>
        <v>13658</v>
      </c>
      <c r="AB78" s="5">
        <f t="shared" si="69"/>
        <v>11998</v>
      </c>
      <c r="AC78" s="5">
        <f t="shared" si="69"/>
        <v>13895</v>
      </c>
      <c r="AD78" s="5">
        <f t="shared" si="69"/>
        <v>15143</v>
      </c>
      <c r="AE78" s="5">
        <f t="shared" si="69"/>
        <v>16151</v>
      </c>
      <c r="AF78" s="5">
        <f t="shared" si="69"/>
        <v>20494</v>
      </c>
      <c r="AG78" s="5">
        <f t="shared" si="69"/>
        <v>17759</v>
      </c>
      <c r="AH78" s="5">
        <f t="shared" ref="AH78:AN79" si="70">AH46+AH33+AH19+AH5</f>
        <v>17532</v>
      </c>
      <c r="AI78" s="5">
        <f t="shared" si="70"/>
        <v>18187</v>
      </c>
      <c r="AJ78" s="5">
        <f t="shared" si="70"/>
        <v>18554</v>
      </c>
      <c r="AK78" s="5">
        <f t="shared" si="70"/>
        <v>19193</v>
      </c>
      <c r="AL78" s="5">
        <f t="shared" si="70"/>
        <v>20001</v>
      </c>
      <c r="AM78" s="5">
        <f t="shared" si="70"/>
        <v>20854</v>
      </c>
      <c r="AN78" s="5">
        <f t="shared" si="70"/>
        <v>22990</v>
      </c>
      <c r="AO78" s="5">
        <f t="shared" ref="AO78:BC78" si="71">AO57+AO46+AO33+AO19+AO5</f>
        <v>38853</v>
      </c>
      <c r="AP78" s="5">
        <f t="shared" si="71"/>
        <v>38379</v>
      </c>
      <c r="AQ78" s="5">
        <f t="shared" si="71"/>
        <v>38733</v>
      </c>
      <c r="AR78" s="5">
        <f t="shared" si="71"/>
        <v>37064</v>
      </c>
      <c r="AS78" s="5">
        <f t="shared" si="71"/>
        <v>54885</v>
      </c>
      <c r="AT78" s="5">
        <f t="shared" si="71"/>
        <v>65383</v>
      </c>
      <c r="AU78" s="5">
        <f t="shared" si="71"/>
        <v>72058</v>
      </c>
      <c r="AV78" s="5">
        <f t="shared" si="71"/>
        <v>77008</v>
      </c>
      <c r="AW78" s="5">
        <f t="shared" si="71"/>
        <v>80016</v>
      </c>
      <c r="AX78" s="5">
        <f t="shared" si="71"/>
        <v>79157</v>
      </c>
      <c r="AY78" s="5">
        <f t="shared" si="71"/>
        <v>88616</v>
      </c>
      <c r="AZ78" s="5">
        <f t="shared" si="71"/>
        <v>90716</v>
      </c>
      <c r="BA78" s="5">
        <f t="shared" si="71"/>
        <v>89468</v>
      </c>
      <c r="BB78" s="5">
        <f t="shared" si="71"/>
        <v>88751</v>
      </c>
      <c r="BC78" s="5">
        <f t="shared" si="71"/>
        <v>91020</v>
      </c>
      <c r="BD78" s="5">
        <f t="shared" ref="BD78:BI78" si="72">BD57+BD46+BD33+BD19+BD5</f>
        <v>97457</v>
      </c>
      <c r="BE78" s="5">
        <f t="shared" si="72"/>
        <v>101212</v>
      </c>
      <c r="BF78" s="5">
        <f t="shared" si="72"/>
        <v>102004</v>
      </c>
      <c r="BG78" s="5">
        <f t="shared" si="72"/>
        <v>111703</v>
      </c>
      <c r="BH78" s="5">
        <f t="shared" si="72"/>
        <v>116886</v>
      </c>
      <c r="BI78" s="5">
        <f t="shared" si="72"/>
        <v>114776</v>
      </c>
      <c r="BJ78" s="5"/>
    </row>
    <row r="79" spans="1:62" x14ac:dyDescent="0.3">
      <c r="A79" s="726"/>
      <c r="B79" s="113" t="s">
        <v>4</v>
      </c>
      <c r="C79" s="5">
        <f t="shared" ref="C79:X79" si="73">C6+C20+C34+C47</f>
        <v>0</v>
      </c>
      <c r="D79" s="5">
        <f t="shared" si="73"/>
        <v>0</v>
      </c>
      <c r="E79" s="5">
        <f t="shared" si="73"/>
        <v>0</v>
      </c>
      <c r="F79" s="5">
        <f t="shared" si="73"/>
        <v>0</v>
      </c>
      <c r="G79" s="5">
        <f t="shared" si="73"/>
        <v>0</v>
      </c>
      <c r="H79" s="5">
        <f t="shared" si="73"/>
        <v>0</v>
      </c>
      <c r="I79" s="5">
        <f t="shared" si="73"/>
        <v>0</v>
      </c>
      <c r="J79" s="5">
        <f t="shared" si="73"/>
        <v>0</v>
      </c>
      <c r="K79" s="5">
        <f t="shared" si="73"/>
        <v>0</v>
      </c>
      <c r="L79" s="5">
        <f t="shared" si="73"/>
        <v>25565</v>
      </c>
      <c r="M79" s="5">
        <f t="shared" si="73"/>
        <v>30375</v>
      </c>
      <c r="N79" s="5">
        <f t="shared" si="73"/>
        <v>25228</v>
      </c>
      <c r="O79" s="5">
        <f t="shared" si="73"/>
        <v>8914</v>
      </c>
      <c r="P79" s="5">
        <f t="shared" si="73"/>
        <v>10357</v>
      </c>
      <c r="Q79" s="5">
        <f t="shared" si="73"/>
        <v>20329</v>
      </c>
      <c r="R79" s="5">
        <f t="shared" si="73"/>
        <v>19963</v>
      </c>
      <c r="S79" s="5">
        <f t="shared" si="73"/>
        <v>36967</v>
      </c>
      <c r="T79" s="5">
        <f t="shared" si="73"/>
        <v>47497</v>
      </c>
      <c r="U79" s="5">
        <f t="shared" si="73"/>
        <v>62423</v>
      </c>
      <c r="V79" s="5">
        <f t="shared" si="73"/>
        <v>67053</v>
      </c>
      <c r="W79" s="5">
        <f t="shared" si="73"/>
        <v>70207</v>
      </c>
      <c r="X79" s="5">
        <f t="shared" si="73"/>
        <v>71407</v>
      </c>
      <c r="Y79" s="5">
        <f t="shared" ref="Y79:AG79" si="74">Y47+Y34+Y20+Y6</f>
        <v>73871</v>
      </c>
      <c r="Z79" s="5">
        <f t="shared" si="74"/>
        <v>51061</v>
      </c>
      <c r="AA79" s="5">
        <f t="shared" si="74"/>
        <v>57561</v>
      </c>
      <c r="AB79" s="5">
        <f t="shared" si="74"/>
        <v>57028</v>
      </c>
      <c r="AC79" s="5">
        <f t="shared" si="74"/>
        <v>54913</v>
      </c>
      <c r="AD79" s="5">
        <f t="shared" si="74"/>
        <v>54508</v>
      </c>
      <c r="AE79" s="5">
        <f t="shared" si="74"/>
        <v>56339</v>
      </c>
      <c r="AF79" s="5">
        <f t="shared" si="74"/>
        <v>63303</v>
      </c>
      <c r="AG79" s="5">
        <f t="shared" si="74"/>
        <v>58104</v>
      </c>
      <c r="AH79" s="5">
        <f t="shared" si="70"/>
        <v>62194</v>
      </c>
      <c r="AI79" s="5">
        <f t="shared" si="70"/>
        <v>67947</v>
      </c>
      <c r="AJ79" s="5">
        <f t="shared" si="70"/>
        <v>57799</v>
      </c>
      <c r="AK79" s="5">
        <f t="shared" si="70"/>
        <v>72968</v>
      </c>
      <c r="AL79" s="5">
        <f t="shared" si="70"/>
        <v>78850</v>
      </c>
      <c r="AM79" s="5">
        <f t="shared" si="70"/>
        <v>81122</v>
      </c>
      <c r="AN79" s="5">
        <f t="shared" si="70"/>
        <v>84468</v>
      </c>
      <c r="AO79" s="5">
        <f t="shared" ref="AO79:BA79" si="75">AO58+AO47+AO34+AO20+AO6</f>
        <v>93895</v>
      </c>
      <c r="AP79" s="5">
        <f t="shared" si="75"/>
        <v>96791</v>
      </c>
      <c r="AQ79" s="5">
        <f t="shared" si="75"/>
        <v>100865</v>
      </c>
      <c r="AR79" s="5">
        <f t="shared" si="75"/>
        <v>104346</v>
      </c>
      <c r="AS79" s="5">
        <f t="shared" si="75"/>
        <v>109002</v>
      </c>
      <c r="AT79" s="5">
        <f t="shared" si="75"/>
        <v>112740</v>
      </c>
      <c r="AU79" s="5">
        <f t="shared" si="75"/>
        <v>114041</v>
      </c>
      <c r="AV79" s="5">
        <f t="shared" si="75"/>
        <v>118662</v>
      </c>
      <c r="AW79" s="5">
        <f t="shared" si="75"/>
        <v>121552</v>
      </c>
      <c r="AX79" s="5">
        <f t="shared" si="75"/>
        <v>127666</v>
      </c>
      <c r="AY79" s="5">
        <f t="shared" si="75"/>
        <v>124023</v>
      </c>
      <c r="AZ79" s="5">
        <f t="shared" si="75"/>
        <v>131058</v>
      </c>
      <c r="BA79" s="5">
        <f t="shared" si="75"/>
        <v>131720</v>
      </c>
      <c r="BB79" s="5">
        <f>BB58+BB47+BB34+BB19+BB6</f>
        <v>94145</v>
      </c>
      <c r="BC79" s="5">
        <f>BC58+BC47+BC34+BC19+BC6</f>
        <v>96290</v>
      </c>
      <c r="BD79" s="5">
        <f t="shared" ref="BD79:BI79" si="76">BD58+BD47+BD34+BD19+BD6</f>
        <v>102491</v>
      </c>
      <c r="BE79" s="5">
        <f t="shared" si="76"/>
        <v>105840</v>
      </c>
      <c r="BF79" s="5">
        <f t="shared" si="76"/>
        <v>107013</v>
      </c>
      <c r="BG79" s="5">
        <f t="shared" si="76"/>
        <v>116741</v>
      </c>
      <c r="BH79" s="5">
        <f t="shared" si="76"/>
        <v>121414</v>
      </c>
      <c r="BI79" s="5">
        <f t="shared" si="76"/>
        <v>122066</v>
      </c>
      <c r="BJ79" s="5"/>
    </row>
    <row r="80" spans="1:62" x14ac:dyDescent="0.3">
      <c r="A80" s="726"/>
      <c r="B80" s="114" t="s">
        <v>5</v>
      </c>
      <c r="C80" s="143">
        <f t="shared" ref="C80:X80" si="77">C7+C21+C35+C48</f>
        <v>15000</v>
      </c>
      <c r="D80" s="143">
        <f t="shared" si="77"/>
        <v>16465</v>
      </c>
      <c r="E80" s="143">
        <f t="shared" si="77"/>
        <v>28909</v>
      </c>
      <c r="F80" s="143">
        <f t="shared" si="77"/>
        <v>33912</v>
      </c>
      <c r="G80" s="143">
        <f t="shared" si="77"/>
        <v>38820</v>
      </c>
      <c r="H80" s="143">
        <f t="shared" si="77"/>
        <v>44633</v>
      </c>
      <c r="I80" s="143">
        <f t="shared" si="77"/>
        <v>49418</v>
      </c>
      <c r="J80" s="143">
        <f t="shared" si="77"/>
        <v>51900</v>
      </c>
      <c r="K80" s="143">
        <f t="shared" si="77"/>
        <v>52755</v>
      </c>
      <c r="L80" s="143">
        <f t="shared" si="77"/>
        <v>43964</v>
      </c>
      <c r="M80" s="143">
        <f t="shared" si="77"/>
        <v>52493</v>
      </c>
      <c r="N80" s="143">
        <f t="shared" si="77"/>
        <v>59538</v>
      </c>
      <c r="O80" s="143">
        <f t="shared" si="77"/>
        <v>59588</v>
      </c>
      <c r="P80" s="143">
        <f t="shared" si="77"/>
        <v>60114</v>
      </c>
      <c r="Q80" s="143">
        <f t="shared" si="77"/>
        <v>59752</v>
      </c>
      <c r="R80" s="143">
        <f t="shared" si="77"/>
        <v>58247</v>
      </c>
      <c r="S80" s="143">
        <f t="shared" si="77"/>
        <v>61617</v>
      </c>
      <c r="T80" s="143">
        <f t="shared" si="77"/>
        <v>62190</v>
      </c>
      <c r="U80" s="143">
        <f t="shared" si="77"/>
        <v>77785</v>
      </c>
      <c r="V80" s="143">
        <f t="shared" si="77"/>
        <v>81518</v>
      </c>
      <c r="W80" s="143">
        <f t="shared" si="77"/>
        <v>84633</v>
      </c>
      <c r="X80" s="218">
        <f t="shared" si="77"/>
        <v>85826</v>
      </c>
      <c r="Y80" s="218">
        <f t="shared" ref="Y80:AI80" si="78">Y48+Y35+Y21+Y7</f>
        <v>87996</v>
      </c>
      <c r="Z80" s="218">
        <f t="shared" si="78"/>
        <v>63658</v>
      </c>
      <c r="AA80" s="218">
        <f t="shared" si="78"/>
        <v>71219</v>
      </c>
      <c r="AB80" s="218">
        <f t="shared" si="78"/>
        <v>69026</v>
      </c>
      <c r="AC80" s="218">
        <f t="shared" si="78"/>
        <v>68808</v>
      </c>
      <c r="AD80" s="218">
        <f t="shared" si="78"/>
        <v>69651</v>
      </c>
      <c r="AE80" s="218">
        <f t="shared" si="78"/>
        <v>72490</v>
      </c>
      <c r="AF80" s="218">
        <f t="shared" si="78"/>
        <v>83797</v>
      </c>
      <c r="AG80" s="218">
        <f t="shared" si="78"/>
        <v>75863</v>
      </c>
      <c r="AH80" s="218">
        <f t="shared" si="78"/>
        <v>79726</v>
      </c>
      <c r="AI80" s="218">
        <f t="shared" si="78"/>
        <v>86134</v>
      </c>
      <c r="AJ80" s="218">
        <f>AJ48+AJ35+AJ21+AJ7</f>
        <v>76353</v>
      </c>
      <c r="AK80" s="218">
        <f>AK48+AK35+AK21+AK7</f>
        <v>92161</v>
      </c>
      <c r="AL80" s="218">
        <f>AL48+AL35+AL21+AL7</f>
        <v>98851</v>
      </c>
      <c r="AM80" s="218">
        <f>AM48+AM35+AM21+AM7</f>
        <v>101976</v>
      </c>
      <c r="AN80" s="218">
        <f>AN48+AN35+AN21+AN7</f>
        <v>107458</v>
      </c>
      <c r="AO80" s="467">
        <f t="shared" ref="AO80:BA80" si="79">AO59+AO48+AO35+AO21+AO7</f>
        <v>132748</v>
      </c>
      <c r="AP80" s="467">
        <f t="shared" si="79"/>
        <v>135170</v>
      </c>
      <c r="AQ80" s="467">
        <f t="shared" si="79"/>
        <v>139598</v>
      </c>
      <c r="AR80" s="467">
        <f t="shared" si="79"/>
        <v>141410</v>
      </c>
      <c r="AS80" s="467">
        <f t="shared" si="79"/>
        <v>163887</v>
      </c>
      <c r="AT80" s="467">
        <f t="shared" si="79"/>
        <v>178123</v>
      </c>
      <c r="AU80" s="467">
        <f t="shared" si="79"/>
        <v>186099</v>
      </c>
      <c r="AV80" s="467">
        <f t="shared" si="79"/>
        <v>195670</v>
      </c>
      <c r="AW80" s="467">
        <f t="shared" si="79"/>
        <v>201568</v>
      </c>
      <c r="AX80" s="467">
        <f t="shared" si="79"/>
        <v>206823</v>
      </c>
      <c r="AY80" s="467">
        <f t="shared" si="79"/>
        <v>212639</v>
      </c>
      <c r="AZ80" s="467">
        <f t="shared" si="79"/>
        <v>221774</v>
      </c>
      <c r="BA80" s="467">
        <f t="shared" si="79"/>
        <v>221188</v>
      </c>
      <c r="BB80" s="467">
        <f>BB59+BB48+BB35+BB21+BB7</f>
        <v>222444</v>
      </c>
      <c r="BC80" s="467">
        <f t="shared" ref="BC80:BI80" si="80">BC59+BC48+BC35+BC21+BC7</f>
        <v>227236</v>
      </c>
      <c r="BD80" s="467">
        <f t="shared" si="80"/>
        <v>235888</v>
      </c>
      <c r="BE80" s="467">
        <f t="shared" si="80"/>
        <v>242908</v>
      </c>
      <c r="BF80" s="467">
        <f t="shared" si="80"/>
        <v>246249</v>
      </c>
      <c r="BG80" s="467">
        <f t="shared" si="80"/>
        <v>259031</v>
      </c>
      <c r="BH80" s="467">
        <f t="shared" si="80"/>
        <v>267148</v>
      </c>
      <c r="BI80" s="467">
        <f t="shared" si="80"/>
        <v>266799</v>
      </c>
      <c r="BJ80" s="467"/>
    </row>
    <row r="81" spans="1:62" x14ac:dyDescent="0.3">
      <c r="A81" s="725" t="s">
        <v>6</v>
      </c>
      <c r="B81" s="113" t="s">
        <v>3</v>
      </c>
      <c r="C81" s="5">
        <f t="shared" ref="C81:X81" si="81">C8+C22+C36+C49</f>
        <v>0</v>
      </c>
      <c r="D81" s="5">
        <f t="shared" si="81"/>
        <v>0</v>
      </c>
      <c r="E81" s="5">
        <f t="shared" si="81"/>
        <v>0</v>
      </c>
      <c r="F81" s="5">
        <f t="shared" si="81"/>
        <v>0</v>
      </c>
      <c r="G81" s="5">
        <f t="shared" si="81"/>
        <v>0</v>
      </c>
      <c r="H81" s="5">
        <f t="shared" si="81"/>
        <v>0</v>
      </c>
      <c r="I81" s="5">
        <f t="shared" si="81"/>
        <v>0</v>
      </c>
      <c r="J81" s="5">
        <f t="shared" si="81"/>
        <v>0</v>
      </c>
      <c r="K81" s="5">
        <f t="shared" si="81"/>
        <v>0</v>
      </c>
      <c r="L81" s="5">
        <f t="shared" si="81"/>
        <v>1500200</v>
      </c>
      <c r="M81" s="5">
        <f t="shared" si="81"/>
        <v>1406984</v>
      </c>
      <c r="N81" s="5">
        <f t="shared" si="81"/>
        <v>1468631</v>
      </c>
      <c r="O81" s="5">
        <f t="shared" si="81"/>
        <v>412963</v>
      </c>
      <c r="P81" s="5">
        <f t="shared" si="81"/>
        <v>1389840</v>
      </c>
      <c r="Q81" s="5">
        <f t="shared" si="81"/>
        <v>1326278</v>
      </c>
      <c r="R81" s="5">
        <f t="shared" si="81"/>
        <v>1431840</v>
      </c>
      <c r="S81" s="5">
        <f t="shared" si="81"/>
        <v>1385764</v>
      </c>
      <c r="T81" s="5">
        <f t="shared" si="81"/>
        <v>1370996</v>
      </c>
      <c r="U81" s="5">
        <f t="shared" si="81"/>
        <v>1418409</v>
      </c>
      <c r="V81" s="5">
        <f t="shared" si="81"/>
        <v>1559443</v>
      </c>
      <c r="W81" s="5">
        <f t="shared" si="81"/>
        <v>1549172</v>
      </c>
      <c r="X81" s="5">
        <f t="shared" si="81"/>
        <v>1538173</v>
      </c>
      <c r="Y81" s="5">
        <f t="shared" ref="Y81:AA83" si="82">Y49+Y36+Y22+Y8</f>
        <v>1563873</v>
      </c>
      <c r="Z81" s="5">
        <f t="shared" si="82"/>
        <v>1669988</v>
      </c>
      <c r="AA81" s="5">
        <f t="shared" si="82"/>
        <v>1512413</v>
      </c>
      <c r="AB81" s="5">
        <f>AB49+AC35+AB22+AB8</f>
        <v>1451577</v>
      </c>
      <c r="AC81" s="5">
        <f>AC49+AD35+AC22+AC8</f>
        <v>1457394</v>
      </c>
      <c r="AD81" s="5">
        <f t="shared" ref="AD81:AL81" si="83">AD49+AJ35+AD22+AD8</f>
        <v>1621019</v>
      </c>
      <c r="AE81" s="5">
        <f t="shared" si="83"/>
        <v>1581019</v>
      </c>
      <c r="AF81" s="5">
        <f t="shared" si="83"/>
        <v>1505296</v>
      </c>
      <c r="AG81" s="5">
        <f t="shared" si="83"/>
        <v>1471447</v>
      </c>
      <c r="AH81" s="5">
        <f t="shared" si="83"/>
        <v>1587802</v>
      </c>
      <c r="AI81" s="5">
        <f t="shared" si="83"/>
        <v>1557569</v>
      </c>
      <c r="AJ81" s="5">
        <f t="shared" si="83"/>
        <v>1555067</v>
      </c>
      <c r="AK81" s="5">
        <f t="shared" si="83"/>
        <v>1551820</v>
      </c>
      <c r="AL81" s="5">
        <f t="shared" si="83"/>
        <v>1626941</v>
      </c>
      <c r="AM81" s="5" t="e">
        <f>AM49+#REF!+AM22+AM8</f>
        <v>#REF!</v>
      </c>
      <c r="AN81" s="5">
        <f>AN49+BK35+AN22+AN8</f>
        <v>1713460</v>
      </c>
      <c r="AO81" s="5">
        <f t="shared" ref="AO81:BI81" si="84">AO60+AO49+BL35+AO22+AO8</f>
        <v>1739056</v>
      </c>
      <c r="AP81" s="5">
        <f t="shared" si="84"/>
        <v>1902795</v>
      </c>
      <c r="AQ81" s="5">
        <f t="shared" si="84"/>
        <v>1722650</v>
      </c>
      <c r="AR81" s="5">
        <f t="shared" si="84"/>
        <v>1563721</v>
      </c>
      <c r="AS81" s="5">
        <f t="shared" si="84"/>
        <v>1532931</v>
      </c>
      <c r="AT81" s="5">
        <f t="shared" si="84"/>
        <v>1696892</v>
      </c>
      <c r="AU81" s="5">
        <f t="shared" si="84"/>
        <v>1599611</v>
      </c>
      <c r="AV81" s="5">
        <f t="shared" si="84"/>
        <v>1558487</v>
      </c>
      <c r="AW81" s="5">
        <f t="shared" si="84"/>
        <v>1490921</v>
      </c>
      <c r="AX81" s="5">
        <f t="shared" si="84"/>
        <v>1708326</v>
      </c>
      <c r="AY81" s="5">
        <f t="shared" si="84"/>
        <v>1682752</v>
      </c>
      <c r="AZ81" s="5">
        <f t="shared" si="84"/>
        <v>1607198</v>
      </c>
      <c r="BA81" s="5">
        <f t="shared" si="84"/>
        <v>1441281</v>
      </c>
      <c r="BB81" s="5">
        <f t="shared" si="84"/>
        <v>1538417</v>
      </c>
      <c r="BC81" s="5">
        <f t="shared" si="84"/>
        <v>1578544</v>
      </c>
      <c r="BD81" s="5">
        <f t="shared" si="84"/>
        <v>1558188</v>
      </c>
      <c r="BE81" s="5">
        <f t="shared" si="84"/>
        <v>1516639</v>
      </c>
      <c r="BF81" s="5">
        <f t="shared" si="84"/>
        <v>1516258</v>
      </c>
      <c r="BG81" s="5">
        <f t="shared" si="84"/>
        <v>1335566</v>
      </c>
      <c r="BH81" s="5">
        <f t="shared" si="84"/>
        <v>1281156</v>
      </c>
      <c r="BI81" s="5">
        <f t="shared" si="84"/>
        <v>1277468</v>
      </c>
      <c r="BJ81" s="5"/>
    </row>
    <row r="82" spans="1:62" x14ac:dyDescent="0.3">
      <c r="A82" s="726"/>
      <c r="B82" s="113" t="s">
        <v>4</v>
      </c>
      <c r="C82" s="113"/>
      <c r="D82" s="113"/>
      <c r="E82" s="113"/>
      <c r="F82" s="113"/>
      <c r="G82" s="113"/>
      <c r="H82" s="113"/>
      <c r="I82" s="113"/>
      <c r="J82" s="5">
        <f t="shared" ref="J82:X82" si="85">J9+J23+J37+J50</f>
        <v>0</v>
      </c>
      <c r="K82" s="5">
        <f t="shared" si="85"/>
        <v>0</v>
      </c>
      <c r="L82" s="5">
        <f t="shared" si="85"/>
        <v>8063</v>
      </c>
      <c r="M82" s="5">
        <f t="shared" si="85"/>
        <v>8525</v>
      </c>
      <c r="N82" s="5">
        <f t="shared" si="85"/>
        <v>9014</v>
      </c>
      <c r="O82" s="5">
        <f t="shared" si="85"/>
        <v>10659</v>
      </c>
      <c r="P82" s="5">
        <f t="shared" si="85"/>
        <v>12358</v>
      </c>
      <c r="Q82" s="5">
        <f t="shared" si="85"/>
        <v>24614</v>
      </c>
      <c r="R82" s="5">
        <f t="shared" si="85"/>
        <v>30355</v>
      </c>
      <c r="S82" s="5">
        <f t="shared" si="85"/>
        <v>31563</v>
      </c>
      <c r="T82" s="5">
        <f t="shared" si="85"/>
        <v>34412</v>
      </c>
      <c r="U82" s="5">
        <f t="shared" si="85"/>
        <v>26647</v>
      </c>
      <c r="V82" s="5">
        <f t="shared" si="85"/>
        <v>27934</v>
      </c>
      <c r="W82" s="5">
        <f t="shared" si="85"/>
        <v>30039</v>
      </c>
      <c r="X82" s="5">
        <f t="shared" si="85"/>
        <v>31675</v>
      </c>
      <c r="Y82" s="5">
        <f t="shared" si="82"/>
        <v>34830</v>
      </c>
      <c r="Z82" s="5">
        <f t="shared" si="82"/>
        <v>52976</v>
      </c>
      <c r="AA82" s="5">
        <f t="shared" si="82"/>
        <v>59797</v>
      </c>
      <c r="AB82" s="5">
        <f t="shared" ref="AB82:AG82" si="86">AB50+AB36+AB23+AB9</f>
        <v>61439</v>
      </c>
      <c r="AC82" s="5">
        <f t="shared" si="86"/>
        <v>72450</v>
      </c>
      <c r="AD82" s="5">
        <f t="shared" si="86"/>
        <v>73058</v>
      </c>
      <c r="AE82" s="5">
        <f t="shared" si="86"/>
        <v>77782</v>
      </c>
      <c r="AF82" s="5">
        <f t="shared" si="86"/>
        <v>87194</v>
      </c>
      <c r="AG82" s="5">
        <f t="shared" si="86"/>
        <v>90241</v>
      </c>
      <c r="AH82" s="5">
        <f t="shared" ref="AH82:AN82" si="87">AH50+AH36+AH23+AH9</f>
        <v>100679</v>
      </c>
      <c r="AI82" s="5">
        <f t="shared" si="87"/>
        <v>130152</v>
      </c>
      <c r="AJ82" s="5">
        <f t="shared" si="87"/>
        <v>122176</v>
      </c>
      <c r="AK82" s="5">
        <f t="shared" si="87"/>
        <v>118630</v>
      </c>
      <c r="AL82" s="5">
        <f t="shared" si="87"/>
        <v>149756</v>
      </c>
      <c r="AM82" s="5">
        <f t="shared" si="87"/>
        <v>154634</v>
      </c>
      <c r="AN82" s="5">
        <f t="shared" si="87"/>
        <v>160447</v>
      </c>
      <c r="AO82" s="5">
        <f t="shared" ref="AO82:BA82" si="88">AO61+AO50+AO36+AO23+AO9</f>
        <v>164164</v>
      </c>
      <c r="AP82" s="5">
        <f t="shared" si="88"/>
        <v>170226</v>
      </c>
      <c r="AQ82" s="5">
        <f t="shared" si="88"/>
        <v>169934</v>
      </c>
      <c r="AR82" s="5">
        <f t="shared" si="88"/>
        <v>173386</v>
      </c>
      <c r="AS82" s="5">
        <f t="shared" si="88"/>
        <v>175196</v>
      </c>
      <c r="AT82" s="5">
        <f t="shared" si="88"/>
        <v>174753</v>
      </c>
      <c r="AU82" s="5">
        <f t="shared" si="88"/>
        <v>180370</v>
      </c>
      <c r="AV82" s="5">
        <f t="shared" si="88"/>
        <v>181913</v>
      </c>
      <c r="AW82" s="5">
        <f t="shared" si="88"/>
        <v>183348</v>
      </c>
      <c r="AX82" s="5">
        <f t="shared" si="88"/>
        <v>185069</v>
      </c>
      <c r="AY82" s="5">
        <f t="shared" si="88"/>
        <v>179165</v>
      </c>
      <c r="AZ82" s="5">
        <f t="shared" si="88"/>
        <v>180287</v>
      </c>
      <c r="BA82" s="5">
        <f t="shared" si="88"/>
        <v>181385</v>
      </c>
      <c r="BB82" s="5">
        <f>BB61+BB50+BB36+BB23+BB9</f>
        <v>181900</v>
      </c>
      <c r="BC82" s="5">
        <f>BC61+BC50+BC36+BC23+BC9</f>
        <v>182941</v>
      </c>
      <c r="BD82" s="5">
        <f t="shared" ref="BD82:BI82" si="89">BD61+BD50+BD36+BD23+BD9</f>
        <v>181058</v>
      </c>
      <c r="BE82" s="5">
        <f t="shared" si="89"/>
        <v>181989</v>
      </c>
      <c r="BF82" s="5">
        <f t="shared" si="89"/>
        <v>183002</v>
      </c>
      <c r="BG82" s="5">
        <f t="shared" si="89"/>
        <v>183303</v>
      </c>
      <c r="BH82" s="5">
        <f t="shared" si="89"/>
        <v>183860</v>
      </c>
      <c r="BI82" s="5">
        <f t="shared" si="89"/>
        <v>183775</v>
      </c>
      <c r="BJ82" s="5"/>
    </row>
    <row r="83" spans="1:62" x14ac:dyDescent="0.3">
      <c r="A83" s="726"/>
      <c r="B83" s="114" t="s">
        <v>5</v>
      </c>
      <c r="C83" s="143">
        <f t="shared" ref="C83:I83" si="90">C10+C24+C38+C51</f>
        <v>843831</v>
      </c>
      <c r="D83" s="143">
        <f t="shared" si="90"/>
        <v>952081</v>
      </c>
      <c r="E83" s="143">
        <f t="shared" si="90"/>
        <v>991439</v>
      </c>
      <c r="F83" s="143">
        <f t="shared" si="90"/>
        <v>1041508</v>
      </c>
      <c r="G83" s="143">
        <f t="shared" si="90"/>
        <v>1116410</v>
      </c>
      <c r="H83" s="143">
        <f t="shared" si="90"/>
        <v>1109412</v>
      </c>
      <c r="I83" s="143">
        <f t="shared" si="90"/>
        <v>1174028</v>
      </c>
      <c r="J83" s="143">
        <f t="shared" ref="J83:X83" si="91">J10+J24+J38+J51</f>
        <v>1245507</v>
      </c>
      <c r="K83" s="143">
        <f t="shared" si="91"/>
        <v>1306415</v>
      </c>
      <c r="L83" s="143">
        <f t="shared" si="91"/>
        <v>1508263</v>
      </c>
      <c r="M83" s="143">
        <f t="shared" si="91"/>
        <v>1415509</v>
      </c>
      <c r="N83" s="143">
        <f t="shared" si="91"/>
        <v>1477645</v>
      </c>
      <c r="O83" s="143">
        <f t="shared" si="91"/>
        <v>1392159</v>
      </c>
      <c r="P83" s="143">
        <f t="shared" si="91"/>
        <v>1402198</v>
      </c>
      <c r="Q83" s="143">
        <f t="shared" si="91"/>
        <v>1350892</v>
      </c>
      <c r="R83" s="143">
        <f t="shared" si="91"/>
        <v>1462195</v>
      </c>
      <c r="S83" s="143">
        <f t="shared" si="91"/>
        <v>1417327</v>
      </c>
      <c r="T83" s="143">
        <f t="shared" si="91"/>
        <v>1405408</v>
      </c>
      <c r="U83" s="143">
        <f t="shared" si="91"/>
        <v>1445056</v>
      </c>
      <c r="V83" s="143">
        <f t="shared" si="91"/>
        <v>1587377</v>
      </c>
      <c r="W83" s="143">
        <f t="shared" si="91"/>
        <v>1579211</v>
      </c>
      <c r="X83" s="218">
        <f t="shared" si="91"/>
        <v>1569848</v>
      </c>
      <c r="Y83" s="219">
        <f t="shared" si="82"/>
        <v>1598703</v>
      </c>
      <c r="Z83" s="219">
        <f t="shared" si="82"/>
        <v>1722964</v>
      </c>
      <c r="AA83" s="219">
        <f t="shared" si="82"/>
        <v>1572210</v>
      </c>
      <c r="AB83" s="219">
        <f t="shared" ref="AB83:AM83" si="92">AB51+AB38+AB24+AB10</f>
        <v>1513016</v>
      </c>
      <c r="AC83" s="219">
        <f t="shared" si="92"/>
        <v>1529844</v>
      </c>
      <c r="AD83" s="219">
        <f t="shared" si="92"/>
        <v>1694077</v>
      </c>
      <c r="AE83" s="219">
        <f t="shared" si="92"/>
        <v>1658801</v>
      </c>
      <c r="AF83" s="219">
        <f t="shared" si="92"/>
        <v>1592490</v>
      </c>
      <c r="AG83" s="219">
        <f t="shared" si="92"/>
        <v>1561688</v>
      </c>
      <c r="AH83" s="219">
        <f t="shared" si="92"/>
        <v>1688481</v>
      </c>
      <c r="AI83" s="219">
        <f t="shared" si="92"/>
        <v>1687721</v>
      </c>
      <c r="AJ83" s="219">
        <f t="shared" si="92"/>
        <v>1677243</v>
      </c>
      <c r="AK83" s="219">
        <f t="shared" si="92"/>
        <v>1670450</v>
      </c>
      <c r="AL83" s="219">
        <f t="shared" si="92"/>
        <v>1776697</v>
      </c>
      <c r="AM83" s="219">
        <f t="shared" si="92"/>
        <v>1907872</v>
      </c>
      <c r="AN83" s="219">
        <f>AN51+AN38+AN24+AN10</f>
        <v>1873907</v>
      </c>
      <c r="AO83" s="219">
        <f t="shared" ref="AO83:BI83" si="93">AO62+AO51+AO38+AO24+AO10</f>
        <v>1903220</v>
      </c>
      <c r="AP83" s="219">
        <f t="shared" si="93"/>
        <v>2073021</v>
      </c>
      <c r="AQ83" s="219">
        <f t="shared" si="93"/>
        <v>1892584</v>
      </c>
      <c r="AR83" s="219">
        <f t="shared" si="93"/>
        <v>1737107</v>
      </c>
      <c r="AS83" s="219">
        <f t="shared" si="93"/>
        <v>1708127</v>
      </c>
      <c r="AT83" s="219">
        <f t="shared" si="93"/>
        <v>1871645</v>
      </c>
      <c r="AU83" s="219">
        <f t="shared" si="93"/>
        <v>1779981</v>
      </c>
      <c r="AV83" s="219">
        <f t="shared" si="93"/>
        <v>1740400</v>
      </c>
      <c r="AW83" s="219">
        <f t="shared" si="93"/>
        <v>1674269</v>
      </c>
      <c r="AX83" s="219">
        <f t="shared" si="93"/>
        <v>1893395</v>
      </c>
      <c r="AY83" s="219">
        <f t="shared" si="93"/>
        <v>1861917</v>
      </c>
      <c r="AZ83" s="219">
        <f t="shared" si="93"/>
        <v>1787485</v>
      </c>
      <c r="BA83" s="219">
        <f t="shared" si="93"/>
        <v>1622666</v>
      </c>
      <c r="BB83" s="219">
        <f t="shared" si="93"/>
        <v>1720317</v>
      </c>
      <c r="BC83" s="219">
        <f t="shared" si="93"/>
        <v>1761485</v>
      </c>
      <c r="BD83" s="219">
        <f t="shared" si="93"/>
        <v>1739246</v>
      </c>
      <c r="BE83" s="219">
        <f t="shared" si="93"/>
        <v>1698628</v>
      </c>
      <c r="BF83" s="219">
        <f t="shared" si="93"/>
        <v>1699260</v>
      </c>
      <c r="BG83" s="219">
        <f t="shared" si="93"/>
        <v>1518869</v>
      </c>
      <c r="BH83" s="219">
        <f t="shared" si="93"/>
        <v>1465016</v>
      </c>
      <c r="BI83" s="219">
        <f t="shared" si="93"/>
        <v>1461260</v>
      </c>
      <c r="BJ83" s="219"/>
    </row>
    <row r="84" spans="1:62" s="4" customFormat="1" x14ac:dyDescent="0.3">
      <c r="A84" s="144"/>
      <c r="B84" s="113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216"/>
      <c r="Z84" s="147"/>
      <c r="AA84" s="147"/>
      <c r="AB84" s="147"/>
      <c r="AC84" s="146"/>
      <c r="AD84" s="146"/>
      <c r="AE84" s="146"/>
      <c r="AF84" s="146"/>
      <c r="AG84" s="146"/>
      <c r="AH84" s="146"/>
      <c r="AI84" s="146"/>
      <c r="AJ84" s="148"/>
      <c r="AK84" s="148"/>
      <c r="BB84" s="572"/>
      <c r="BC84" s="572"/>
      <c r="BD84" s="572"/>
      <c r="BE84" s="572"/>
      <c r="BF84" s="572"/>
      <c r="BG84" s="572"/>
      <c r="BH84" s="572"/>
      <c r="BI84" s="572"/>
      <c r="BJ84" s="572"/>
    </row>
    <row r="85" spans="1:62" x14ac:dyDescent="0.3">
      <c r="A85" s="2" t="s">
        <v>30</v>
      </c>
      <c r="B85" s="114" t="s">
        <v>5</v>
      </c>
      <c r="C85" s="143">
        <f t="shared" ref="C85:W85" si="94">C11+C26+C39++C52</f>
        <v>858831</v>
      </c>
      <c r="D85" s="143">
        <f t="shared" si="94"/>
        <v>968546</v>
      </c>
      <c r="E85" s="143">
        <f t="shared" si="94"/>
        <v>1020348</v>
      </c>
      <c r="F85" s="143">
        <f t="shared" si="94"/>
        <v>1075420</v>
      </c>
      <c r="G85" s="143">
        <f t="shared" si="94"/>
        <v>1155230</v>
      </c>
      <c r="H85" s="143">
        <f t="shared" si="94"/>
        <v>1154045</v>
      </c>
      <c r="I85" s="143">
        <f t="shared" si="94"/>
        <v>1223446</v>
      </c>
      <c r="J85" s="143">
        <f t="shared" si="94"/>
        <v>1297407</v>
      </c>
      <c r="K85" s="143">
        <f t="shared" si="94"/>
        <v>1359170</v>
      </c>
      <c r="L85" s="143">
        <f t="shared" si="94"/>
        <v>1552227</v>
      </c>
      <c r="M85" s="143">
        <f t="shared" si="94"/>
        <v>1468002</v>
      </c>
      <c r="N85" s="143">
        <f t="shared" si="94"/>
        <v>1537183</v>
      </c>
      <c r="O85" s="143">
        <f t="shared" si="94"/>
        <v>1451747</v>
      </c>
      <c r="P85" s="143">
        <f t="shared" si="94"/>
        <v>1462312</v>
      </c>
      <c r="Q85" s="143">
        <f t="shared" si="94"/>
        <v>1410644</v>
      </c>
      <c r="R85" s="143">
        <f t="shared" si="94"/>
        <v>1520442</v>
      </c>
      <c r="S85" s="143">
        <f t="shared" si="94"/>
        <v>1478944</v>
      </c>
      <c r="T85" s="143">
        <f t="shared" si="94"/>
        <v>1467598</v>
      </c>
      <c r="U85" s="143">
        <f t="shared" si="94"/>
        <v>1522841</v>
      </c>
      <c r="V85" s="181">
        <f t="shared" si="94"/>
        <v>1668895</v>
      </c>
      <c r="W85" s="181">
        <f t="shared" si="94"/>
        <v>1663844</v>
      </c>
      <c r="X85" s="181" t="e">
        <f>X11+X26+#REF!++X52</f>
        <v>#REF!</v>
      </c>
      <c r="Y85" s="181" t="e">
        <f>Y11+Y26+#REF!++Y52</f>
        <v>#REF!</v>
      </c>
      <c r="Z85" s="181">
        <f>Z11+Z26+Z39++Z52</f>
        <v>1786622</v>
      </c>
      <c r="AA85" s="181">
        <f>AA11+AA26+AA39++AA52</f>
        <v>1643429</v>
      </c>
      <c r="AB85" s="181">
        <f t="shared" ref="AB85:AJ85" si="95">AB11+AB26+AB39+AB52</f>
        <v>1582042</v>
      </c>
      <c r="AC85" s="181">
        <f t="shared" si="95"/>
        <v>1598652</v>
      </c>
      <c r="AD85" s="181">
        <f t="shared" si="95"/>
        <v>1763728</v>
      </c>
      <c r="AE85" s="181">
        <f t="shared" si="95"/>
        <v>1731291</v>
      </c>
      <c r="AF85" s="181">
        <f t="shared" si="95"/>
        <v>1676287</v>
      </c>
      <c r="AG85" s="181">
        <f t="shared" si="95"/>
        <v>1637551</v>
      </c>
      <c r="AH85" s="181">
        <f t="shared" si="95"/>
        <v>1768207</v>
      </c>
      <c r="AI85" s="181">
        <f t="shared" si="95"/>
        <v>1773855</v>
      </c>
      <c r="AJ85" s="181">
        <f t="shared" si="95"/>
        <v>1753596</v>
      </c>
      <c r="AK85" s="181">
        <f>AK11+AK26+AK39+AK52</f>
        <v>1762611</v>
      </c>
      <c r="AL85" s="181">
        <f>AL11+AL26+AL39+AL52</f>
        <v>1875548</v>
      </c>
      <c r="AM85" s="181">
        <f>AM11+AM26+AM39+AM52</f>
        <v>2009848</v>
      </c>
      <c r="AN85" s="181">
        <f>AN11+AN26+AN39+AN52</f>
        <v>1981365</v>
      </c>
      <c r="AO85" s="181">
        <f t="shared" ref="AO85:AZ85" si="96">AO11+AO26+AO39+AO52+AO63</f>
        <v>2035968</v>
      </c>
      <c r="AP85" s="181">
        <f t="shared" si="96"/>
        <v>2208191</v>
      </c>
      <c r="AQ85" s="181">
        <f t="shared" si="96"/>
        <v>2032182</v>
      </c>
      <c r="AR85" s="181">
        <f t="shared" si="96"/>
        <v>1878517</v>
      </c>
      <c r="AS85" s="181">
        <f t="shared" si="96"/>
        <v>1872014</v>
      </c>
      <c r="AT85" s="181">
        <f t="shared" si="96"/>
        <v>2049768</v>
      </c>
      <c r="AU85" s="181">
        <f t="shared" si="96"/>
        <v>1966080</v>
      </c>
      <c r="AV85" s="181">
        <f t="shared" si="96"/>
        <v>1936070</v>
      </c>
      <c r="AW85" s="181">
        <f t="shared" si="96"/>
        <v>1875837</v>
      </c>
      <c r="AX85" s="181">
        <f t="shared" si="96"/>
        <v>2100218</v>
      </c>
      <c r="AY85" s="181">
        <f t="shared" si="96"/>
        <v>2074556</v>
      </c>
      <c r="AZ85" s="181">
        <f t="shared" si="96"/>
        <v>2009259</v>
      </c>
      <c r="BA85" s="181">
        <f>BA11+BA26+BA63</f>
        <v>1843802</v>
      </c>
      <c r="BB85" s="181">
        <f>BB11+BB26+BB63</f>
        <v>1942761</v>
      </c>
      <c r="BC85" s="181">
        <f>BC11+BC26+BC63</f>
        <v>1988721</v>
      </c>
      <c r="BD85" s="181">
        <f t="shared" ref="BD85:BE85" si="97">BD11+BD26+BD63</f>
        <v>1975134</v>
      </c>
      <c r="BE85" s="181">
        <f t="shared" si="97"/>
        <v>1941480</v>
      </c>
      <c r="BF85" s="181">
        <f>BF11+BF26+BF63</f>
        <v>1945447</v>
      </c>
      <c r="BG85" s="181">
        <f>BG11+BG26+BG63</f>
        <v>1777859</v>
      </c>
      <c r="BH85" s="181">
        <f>BH11+BH26+BH63</f>
        <v>1732119</v>
      </c>
      <c r="BI85" s="181">
        <f>BI11+BI26+BI63</f>
        <v>1728014</v>
      </c>
      <c r="BJ85" s="181"/>
    </row>
    <row r="86" spans="1:62" x14ac:dyDescent="0.3">
      <c r="A86" s="2" t="s">
        <v>2</v>
      </c>
      <c r="B86" s="51"/>
      <c r="C86" s="6">
        <f>C80/C85</f>
        <v>1.7465601497849984E-2</v>
      </c>
      <c r="D86" s="6">
        <f t="shared" ref="D86:O86" si="98">D80/D85</f>
        <v>1.6999708841913548E-2</v>
      </c>
      <c r="E86" s="6">
        <f t="shared" si="98"/>
        <v>2.8332490483638915E-2</v>
      </c>
      <c r="F86" s="6">
        <f t="shared" si="98"/>
        <v>3.1533726358074055E-2</v>
      </c>
      <c r="G86" s="6">
        <f t="shared" si="98"/>
        <v>3.360369796490742E-2</v>
      </c>
      <c r="H86" s="6">
        <f t="shared" si="98"/>
        <v>3.8675268295430422E-2</v>
      </c>
      <c r="I86" s="6">
        <f t="shared" si="98"/>
        <v>4.0392465217099896E-2</v>
      </c>
      <c r="J86" s="6">
        <f t="shared" si="98"/>
        <v>4.0002867257537537E-2</v>
      </c>
      <c r="K86" s="6">
        <f t="shared" si="98"/>
        <v>3.8814129211209782E-2</v>
      </c>
      <c r="L86" s="6">
        <f t="shared" si="98"/>
        <v>2.8323176958009365E-2</v>
      </c>
      <c r="M86" s="6">
        <f t="shared" si="98"/>
        <v>3.5758125670128517E-2</v>
      </c>
      <c r="N86" s="6">
        <f t="shared" si="98"/>
        <v>3.873188813563512E-2</v>
      </c>
      <c r="O86" s="6">
        <f t="shared" si="98"/>
        <v>4.1045719398765765E-2</v>
      </c>
      <c r="P86" s="6">
        <f t="shared" ref="P86:U86" si="99">P80/P85</f>
        <v>4.1108874166388566E-2</v>
      </c>
      <c r="Q86" s="6">
        <f t="shared" si="99"/>
        <v>4.2357958492716799E-2</v>
      </c>
      <c r="R86" s="6">
        <f t="shared" si="99"/>
        <v>3.8309254808799022E-2</v>
      </c>
      <c r="S86" s="6">
        <f t="shared" si="99"/>
        <v>4.1662835103966074E-2</v>
      </c>
      <c r="T86" s="6">
        <f t="shared" si="99"/>
        <v>4.2375364370897207E-2</v>
      </c>
      <c r="U86" s="6">
        <f t="shared" si="99"/>
        <v>5.1078871661585153E-2</v>
      </c>
      <c r="V86" s="6">
        <f t="shared" ref="V86:AC86" si="100">V80/V85</f>
        <v>4.8845493575090104E-2</v>
      </c>
      <c r="W86" s="6">
        <f t="shared" si="100"/>
        <v>5.0865946567106052E-2</v>
      </c>
      <c r="X86" s="6" t="e">
        <f t="shared" si="100"/>
        <v>#REF!</v>
      </c>
      <c r="Y86" s="6" t="e">
        <f t="shared" si="100"/>
        <v>#REF!</v>
      </c>
      <c r="Z86" s="6">
        <f t="shared" si="100"/>
        <v>3.5630368371149579E-2</v>
      </c>
      <c r="AA86" s="6">
        <f t="shared" si="100"/>
        <v>4.3335611091200169E-2</v>
      </c>
      <c r="AB86" s="6">
        <f t="shared" si="100"/>
        <v>4.3630952907697772E-2</v>
      </c>
      <c r="AC86" s="6">
        <f t="shared" si="100"/>
        <v>4.3041262263456961E-2</v>
      </c>
      <c r="AD86" s="6">
        <f t="shared" ref="AD86:AI86" si="101">AD80/AD85</f>
        <v>3.9490783159308013E-2</v>
      </c>
      <c r="AE86" s="6">
        <f t="shared" si="101"/>
        <v>4.1870488554494885E-2</v>
      </c>
      <c r="AF86" s="6">
        <f t="shared" si="101"/>
        <v>4.9989649743749129E-2</v>
      </c>
      <c r="AG86" s="6">
        <f t="shared" si="101"/>
        <v>4.6327106758812395E-2</v>
      </c>
      <c r="AH86" s="6">
        <f t="shared" si="101"/>
        <v>4.5088612362692827E-2</v>
      </c>
      <c r="AI86" s="6">
        <f t="shared" si="101"/>
        <v>4.8557520203173311E-2</v>
      </c>
      <c r="AJ86" s="6">
        <f t="shared" ref="AJ86:BB86" si="102">AJ80/AJ85</f>
        <v>4.3540815558429646E-2</v>
      </c>
      <c r="AK86" s="6">
        <f t="shared" si="102"/>
        <v>5.2286636132419462E-2</v>
      </c>
      <c r="AL86" s="6">
        <f t="shared" si="102"/>
        <v>5.2705129380852957E-2</v>
      </c>
      <c r="AM86" s="6">
        <f t="shared" si="102"/>
        <v>5.0738165274189888E-2</v>
      </c>
      <c r="AN86" s="6">
        <f>AN80/AN85</f>
        <v>5.4234328354442515E-2</v>
      </c>
      <c r="AO86" s="6">
        <f t="shared" si="102"/>
        <v>6.5201417704011069E-2</v>
      </c>
      <c r="AP86" s="6">
        <f t="shared" si="102"/>
        <v>6.1213001954993927E-2</v>
      </c>
      <c r="AQ86" s="6">
        <f t="shared" si="102"/>
        <v>6.8693650470282683E-2</v>
      </c>
      <c r="AR86" s="6">
        <f t="shared" si="102"/>
        <v>7.527746621404012E-2</v>
      </c>
      <c r="AS86" s="6">
        <f t="shared" si="102"/>
        <v>8.7545819635964264E-2</v>
      </c>
      <c r="AT86" s="6">
        <f t="shared" si="102"/>
        <v>8.6899102727723332E-2</v>
      </c>
      <c r="AU86" s="6">
        <f t="shared" si="102"/>
        <v>9.4654846191406253E-2</v>
      </c>
      <c r="AV86" s="6">
        <f t="shared" si="102"/>
        <v>0.10106556064605102</v>
      </c>
      <c r="AW86" s="6">
        <f t="shared" si="102"/>
        <v>0.10745496543676236</v>
      </c>
      <c r="AX86" s="6">
        <f t="shared" si="102"/>
        <v>9.8476920014969868E-2</v>
      </c>
      <c r="AY86" s="6">
        <f t="shared" si="102"/>
        <v>0.10249855872774705</v>
      </c>
      <c r="AZ86" s="6">
        <f t="shared" si="102"/>
        <v>0.11037601424206635</v>
      </c>
      <c r="BA86" s="6">
        <f t="shared" si="102"/>
        <v>0.11996298951839732</v>
      </c>
      <c r="BB86" s="6">
        <f t="shared" si="102"/>
        <v>0.11449890130592492</v>
      </c>
      <c r="BC86" s="6">
        <f t="shared" ref="BC86:BI86" si="103">BC80/BC85</f>
        <v>0.11426238270727769</v>
      </c>
      <c r="BD86" s="6">
        <f t="shared" si="103"/>
        <v>0.11942885900399669</v>
      </c>
      <c r="BE86" s="6">
        <f t="shared" si="103"/>
        <v>0.12511486082782208</v>
      </c>
      <c r="BF86" s="6">
        <f t="shared" si="103"/>
        <v>0.12657707971484189</v>
      </c>
      <c r="BG86" s="6">
        <f t="shared" si="103"/>
        <v>0.14569828090979092</v>
      </c>
      <c r="BH86" s="6">
        <f t="shared" si="103"/>
        <v>0.15423189746201041</v>
      </c>
      <c r="BI86" s="6">
        <f t="shared" si="103"/>
        <v>0.1543963185483451</v>
      </c>
      <c r="BJ86" s="6"/>
    </row>
    <row r="87" spans="1:62" x14ac:dyDescent="0.3">
      <c r="A87" s="2" t="s">
        <v>6</v>
      </c>
      <c r="B87" s="51"/>
      <c r="C87" s="6">
        <f>C83/C85</f>
        <v>0.98253439850214996</v>
      </c>
      <c r="D87" s="6">
        <f t="shared" ref="D87:O87" si="104">D83/D85</f>
        <v>0.9830002911580864</v>
      </c>
      <c r="E87" s="6">
        <f t="shared" si="104"/>
        <v>0.97166750951636105</v>
      </c>
      <c r="F87" s="6">
        <f t="shared" si="104"/>
        <v>0.96846627364192595</v>
      </c>
      <c r="G87" s="6">
        <f t="shared" si="104"/>
        <v>0.96639630203509252</v>
      </c>
      <c r="H87" s="6">
        <f t="shared" si="104"/>
        <v>0.96132473170456956</v>
      </c>
      <c r="I87" s="6">
        <f t="shared" si="104"/>
        <v>0.95960753478290006</v>
      </c>
      <c r="J87" s="6">
        <f t="shared" si="104"/>
        <v>0.95999713274246246</v>
      </c>
      <c r="K87" s="6">
        <f t="shared" si="104"/>
        <v>0.96118587078879025</v>
      </c>
      <c r="L87" s="6">
        <f t="shared" si="104"/>
        <v>0.97167682304199066</v>
      </c>
      <c r="M87" s="6">
        <f t="shared" si="104"/>
        <v>0.96424187432987152</v>
      </c>
      <c r="N87" s="6">
        <f t="shared" si="104"/>
        <v>0.96126811186436489</v>
      </c>
      <c r="O87" s="6">
        <f t="shared" si="104"/>
        <v>0.95895428060123422</v>
      </c>
      <c r="P87" s="6">
        <f t="shared" ref="P87:U87" si="105">P83/P85</f>
        <v>0.95889112583361147</v>
      </c>
      <c r="Q87" s="6">
        <f t="shared" si="105"/>
        <v>0.95764204150728316</v>
      </c>
      <c r="R87" s="6">
        <f t="shared" si="105"/>
        <v>0.96169074519120101</v>
      </c>
      <c r="S87" s="6">
        <f t="shared" si="105"/>
        <v>0.95833716489603393</v>
      </c>
      <c r="T87" s="6">
        <f t="shared" si="105"/>
        <v>0.95762463562910283</v>
      </c>
      <c r="U87" s="6">
        <f t="shared" si="105"/>
        <v>0.9489211283384148</v>
      </c>
      <c r="V87" s="6">
        <f t="shared" ref="V87:AC87" si="106">V83/V85</f>
        <v>0.95115450642490984</v>
      </c>
      <c r="W87" s="6">
        <f t="shared" si="106"/>
        <v>0.94913405343289392</v>
      </c>
      <c r="X87" s="6" t="e">
        <f t="shared" si="106"/>
        <v>#REF!</v>
      </c>
      <c r="Y87" s="6" t="e">
        <f t="shared" si="106"/>
        <v>#REF!</v>
      </c>
      <c r="Z87" s="6">
        <f t="shared" si="106"/>
        <v>0.96436963162885048</v>
      </c>
      <c r="AA87" s="6">
        <f t="shared" si="106"/>
        <v>0.95666438890879979</v>
      </c>
      <c r="AB87" s="6">
        <f t="shared" si="106"/>
        <v>0.95636904709230219</v>
      </c>
      <c r="AC87" s="6">
        <f t="shared" si="106"/>
        <v>0.95695873773654305</v>
      </c>
      <c r="AD87" s="6">
        <f t="shared" ref="AD87:AI87" si="107">AD83/AD85</f>
        <v>0.96050921684069202</v>
      </c>
      <c r="AE87" s="6">
        <f t="shared" si="107"/>
        <v>0.95812951144550507</v>
      </c>
      <c r="AF87" s="6">
        <f t="shared" si="107"/>
        <v>0.95001035025625091</v>
      </c>
      <c r="AG87" s="6">
        <f t="shared" si="107"/>
        <v>0.95367289324118765</v>
      </c>
      <c r="AH87" s="6">
        <f t="shared" si="107"/>
        <v>0.95491138763730721</v>
      </c>
      <c r="AI87" s="6">
        <f t="shared" si="107"/>
        <v>0.95144247979682672</v>
      </c>
      <c r="AJ87" s="6">
        <f t="shared" ref="AJ87:AP87" si="108">AJ83/AJ85</f>
        <v>0.9564591844415703</v>
      </c>
      <c r="AK87" s="6">
        <f t="shared" si="108"/>
        <v>0.94771336386758054</v>
      </c>
      <c r="AL87" s="6">
        <f t="shared" si="108"/>
        <v>0.94729487061914708</v>
      </c>
      <c r="AM87" s="6">
        <f t="shared" si="108"/>
        <v>0.94926183472581016</v>
      </c>
      <c r="AN87" s="6">
        <f t="shared" si="108"/>
        <v>0.94576567164555747</v>
      </c>
      <c r="AO87" s="6">
        <f t="shared" si="108"/>
        <v>0.93479858229598889</v>
      </c>
      <c r="AP87" s="6">
        <f t="shared" si="108"/>
        <v>0.93878699804500609</v>
      </c>
      <c r="AQ87" s="6">
        <f t="shared" ref="AQ87:BB87" si="109">AQ83/AQ85</f>
        <v>0.93130634952971736</v>
      </c>
      <c r="AR87" s="6">
        <f t="shared" si="109"/>
        <v>0.92472253378595992</v>
      </c>
      <c r="AS87" s="6">
        <f t="shared" si="109"/>
        <v>0.91245418036403569</v>
      </c>
      <c r="AT87" s="6">
        <f t="shared" si="109"/>
        <v>0.91310089727227661</v>
      </c>
      <c r="AU87" s="6">
        <f t="shared" si="109"/>
        <v>0.90534515380859371</v>
      </c>
      <c r="AV87" s="6">
        <f t="shared" si="109"/>
        <v>0.89893443935394901</v>
      </c>
      <c r="AW87" s="6">
        <f t="shared" si="109"/>
        <v>0.89254503456323764</v>
      </c>
      <c r="AX87" s="6">
        <f t="shared" si="109"/>
        <v>0.90152307998503012</v>
      </c>
      <c r="AY87" s="6">
        <f t="shared" si="109"/>
        <v>0.89750144127225295</v>
      </c>
      <c r="AZ87" s="6">
        <f t="shared" si="109"/>
        <v>0.88962398575793367</v>
      </c>
      <c r="BA87" s="6">
        <f t="shared" si="109"/>
        <v>0.88006521307602448</v>
      </c>
      <c r="BB87" s="6">
        <f t="shared" si="109"/>
        <v>0.88550109869407512</v>
      </c>
      <c r="BC87" s="6">
        <f t="shared" ref="BC87:BI87" si="110">BC83/BC85</f>
        <v>0.88573761729272227</v>
      </c>
      <c r="BD87" s="6">
        <f t="shared" si="110"/>
        <v>0.88057114099600331</v>
      </c>
      <c r="BE87" s="6">
        <f t="shared" si="110"/>
        <v>0.87491398314687763</v>
      </c>
      <c r="BF87" s="6">
        <f t="shared" si="110"/>
        <v>0.87345478956764178</v>
      </c>
      <c r="BG87" s="6">
        <f t="shared" si="110"/>
        <v>0.85432478053658922</v>
      </c>
      <c r="BH87" s="6">
        <f t="shared" si="110"/>
        <v>0.84579408227725694</v>
      </c>
      <c r="BI87" s="6">
        <f t="shared" si="110"/>
        <v>0.84562972290733751</v>
      </c>
      <c r="BJ87" s="6"/>
    </row>
    <row r="88" spans="1:62" x14ac:dyDescent="0.3">
      <c r="B88" s="5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f>P86+P87</f>
        <v>1</v>
      </c>
      <c r="Q88" s="5"/>
      <c r="R88" s="5"/>
      <c r="S88" s="5"/>
      <c r="T88" s="5"/>
      <c r="U88" s="5"/>
      <c r="V88" s="5"/>
      <c r="W88" s="5"/>
      <c r="X88" s="5"/>
      <c r="Y88" s="147"/>
      <c r="Z88" s="110"/>
      <c r="AA88" s="110">
        <v>1643429</v>
      </c>
      <c r="AB88" s="110"/>
      <c r="AC88" s="5"/>
      <c r="AD88" s="5"/>
      <c r="AE88" s="5"/>
      <c r="AF88" s="5"/>
      <c r="AG88" s="5"/>
      <c r="AH88" s="5"/>
      <c r="AI88" s="5"/>
      <c r="AJ88" s="6"/>
      <c r="AK88" s="6"/>
    </row>
    <row r="89" spans="1:62" x14ac:dyDescent="0.3">
      <c r="B89" s="51"/>
      <c r="C89" s="6"/>
      <c r="D89" s="6"/>
      <c r="E89" s="6"/>
      <c r="F89" s="6"/>
      <c r="G89" s="6"/>
      <c r="H89" s="6"/>
      <c r="I89" s="6"/>
      <c r="J89" s="49"/>
      <c r="K89" s="49"/>
      <c r="L89" s="49"/>
      <c r="M89" s="49"/>
      <c r="N89" s="49"/>
      <c r="O89" s="5"/>
      <c r="P89" s="5"/>
      <c r="Q89" s="5"/>
      <c r="R89" s="5"/>
      <c r="S89" s="5"/>
      <c r="T89" s="5"/>
      <c r="U89" s="5"/>
      <c r="V89" s="5"/>
      <c r="W89" s="5"/>
      <c r="X89" s="5"/>
      <c r="Y89" s="147"/>
      <c r="Z89" s="110"/>
      <c r="AA89" s="110"/>
      <c r="AB89" s="110"/>
      <c r="AC89" s="5"/>
      <c r="AD89" s="5"/>
      <c r="AE89" s="5">
        <v>1731291</v>
      </c>
      <c r="AF89" s="5"/>
      <c r="AG89" s="5"/>
      <c r="AH89" s="5"/>
      <c r="AI89" s="5"/>
      <c r="AJ89" s="6"/>
      <c r="AK89" s="6"/>
    </row>
    <row r="90" spans="1:62" x14ac:dyDescent="0.3">
      <c r="B90" s="5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5"/>
      <c r="O90" s="5"/>
      <c r="P90" s="5"/>
      <c r="Q90" s="5"/>
      <c r="R90" s="5"/>
      <c r="S90" s="6"/>
      <c r="T90" s="6"/>
      <c r="U90" s="5"/>
      <c r="V90" s="5"/>
      <c r="W90" s="5"/>
      <c r="X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6"/>
      <c r="AK90" s="6"/>
    </row>
    <row r="91" spans="1:62" hidden="1" x14ac:dyDescent="0.3">
      <c r="B91" s="51"/>
      <c r="C91" s="6"/>
      <c r="D91" s="6"/>
      <c r="E91" s="6"/>
      <c r="F91" s="6"/>
      <c r="G91" s="6"/>
      <c r="H91" s="6"/>
      <c r="I91" s="6"/>
      <c r="J91" s="6"/>
      <c r="K91" s="6"/>
      <c r="L91" s="6"/>
      <c r="M91" s="49"/>
      <c r="N91" s="115"/>
      <c r="O91" s="115"/>
      <c r="P91" s="115"/>
      <c r="Q91" s="5"/>
      <c r="R91" s="5"/>
      <c r="S91" s="5"/>
      <c r="T91" s="5"/>
      <c r="U91" s="5"/>
      <c r="V91" s="5"/>
      <c r="W91" s="5"/>
      <c r="X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6"/>
      <c r="AK91" s="6"/>
    </row>
    <row r="92" spans="1:62" hidden="1" x14ac:dyDescent="0.3">
      <c r="B92" s="51"/>
      <c r="C92" s="6"/>
      <c r="D92" s="6"/>
      <c r="E92" s="6"/>
      <c r="F92" s="6"/>
      <c r="G92" s="6"/>
      <c r="H92" s="6"/>
      <c r="I92" s="6"/>
      <c r="J92" s="6"/>
      <c r="K92" s="6"/>
      <c r="L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6"/>
      <c r="AK92" s="6"/>
    </row>
    <row r="93" spans="1:62" hidden="1" x14ac:dyDescent="0.3">
      <c r="B93" s="5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5"/>
      <c r="O93" s="5"/>
      <c r="P93" s="5"/>
      <c r="Q93" s="5"/>
      <c r="R93" s="5"/>
      <c r="S93" s="6"/>
      <c r="T93" s="6"/>
      <c r="U93" s="5"/>
      <c r="V93" s="5"/>
      <c r="W93" s="5"/>
      <c r="X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6"/>
      <c r="AK93" s="6"/>
    </row>
    <row r="94" spans="1:62" hidden="1" x14ac:dyDescent="0.3">
      <c r="B94" s="5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6"/>
      <c r="AK94" s="6"/>
    </row>
    <row r="95" spans="1:62" hidden="1" x14ac:dyDescent="0.3">
      <c r="B95" s="5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6"/>
      <c r="AK95" s="6"/>
    </row>
    <row r="96" spans="1:62" hidden="1" x14ac:dyDescent="0.3">
      <c r="B96" s="5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6"/>
      <c r="AK96" s="6"/>
    </row>
    <row r="97" spans="1:64" hidden="1" x14ac:dyDescent="0.3">
      <c r="B97" s="51"/>
      <c r="C97" s="6"/>
      <c r="D97" s="6"/>
      <c r="E97" s="6"/>
      <c r="F97" s="6"/>
      <c r="G97" s="6"/>
      <c r="H97" s="6"/>
      <c r="I97" s="6"/>
      <c r="J97" s="52"/>
      <c r="K97" s="6"/>
      <c r="L97" s="6"/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6"/>
      <c r="AK97" s="6"/>
    </row>
    <row r="98" spans="1:64" hidden="1" x14ac:dyDescent="0.3">
      <c r="B98" s="51"/>
      <c r="C98" s="6"/>
      <c r="D98" s="6"/>
      <c r="E98" s="6"/>
      <c r="F98" s="6"/>
      <c r="G98" s="6"/>
      <c r="H98" s="6"/>
      <c r="I98" s="6"/>
      <c r="J98" s="7"/>
      <c r="K98" s="6"/>
      <c r="L98" s="6"/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6"/>
      <c r="AK98" s="6"/>
    </row>
    <row r="99" spans="1:64" x14ac:dyDescent="0.3">
      <c r="B99" s="5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6"/>
      <c r="AK99" s="6"/>
    </row>
    <row r="100" spans="1:64" x14ac:dyDescent="0.3">
      <c r="C100" s="116">
        <v>2007</v>
      </c>
      <c r="D100" s="728">
        <v>2008</v>
      </c>
      <c r="E100" s="728"/>
      <c r="F100" s="728"/>
      <c r="G100" s="728"/>
      <c r="H100" s="728">
        <v>2009</v>
      </c>
      <c r="I100" s="728"/>
      <c r="J100" s="728"/>
      <c r="K100" s="728"/>
      <c r="L100" s="722">
        <v>2010</v>
      </c>
      <c r="M100" s="722"/>
      <c r="N100" s="722"/>
      <c r="O100" s="722"/>
      <c r="P100" s="722">
        <v>2011</v>
      </c>
      <c r="Q100" s="722"/>
      <c r="R100" s="722"/>
      <c r="S100" s="722"/>
      <c r="T100" s="722">
        <v>2012</v>
      </c>
      <c r="U100" s="722"/>
      <c r="V100" s="722"/>
      <c r="W100" s="722"/>
      <c r="X100" s="722">
        <v>2013</v>
      </c>
      <c r="Y100" s="722"/>
      <c r="Z100" s="722"/>
      <c r="AA100" s="722"/>
      <c r="AB100" s="731">
        <v>2014</v>
      </c>
      <c r="AC100" s="731"/>
      <c r="AD100" s="731"/>
      <c r="AE100" s="731"/>
      <c r="AF100" s="722">
        <v>2015</v>
      </c>
      <c r="AG100" s="722"/>
      <c r="AH100" s="722"/>
      <c r="AI100" s="722"/>
      <c r="AJ100" s="722">
        <v>2016</v>
      </c>
      <c r="AK100" s="722"/>
      <c r="AL100" s="722"/>
      <c r="AM100" s="722"/>
      <c r="AN100" s="2">
        <v>2017</v>
      </c>
      <c r="BH100" s="572">
        <v>2022</v>
      </c>
    </row>
    <row r="101" spans="1:64" x14ac:dyDescent="0.3">
      <c r="A101" s="112" t="s">
        <v>24</v>
      </c>
      <c r="B101" s="112"/>
      <c r="C101" s="80" t="s">
        <v>47</v>
      </c>
      <c r="D101" s="80" t="s">
        <v>43</v>
      </c>
      <c r="E101" s="80" t="s">
        <v>46</v>
      </c>
      <c r="F101" s="80" t="s">
        <v>45</v>
      </c>
      <c r="G101" s="80" t="s">
        <v>44</v>
      </c>
      <c r="H101" s="80" t="s">
        <v>43</v>
      </c>
      <c r="I101" s="80" t="s">
        <v>46</v>
      </c>
      <c r="J101" s="80" t="s">
        <v>45</v>
      </c>
      <c r="K101" s="80" t="s">
        <v>44</v>
      </c>
      <c r="L101" s="80" t="s">
        <v>43</v>
      </c>
      <c r="M101" s="80" t="s">
        <v>46</v>
      </c>
      <c r="N101" s="80" t="s">
        <v>45</v>
      </c>
      <c r="O101" s="80" t="s">
        <v>44</v>
      </c>
      <c r="P101" s="3" t="s">
        <v>48</v>
      </c>
      <c r="Q101" s="3" t="s">
        <v>49</v>
      </c>
      <c r="R101" s="3" t="s">
        <v>45</v>
      </c>
      <c r="S101" s="3" t="s">
        <v>47</v>
      </c>
      <c r="T101" s="3" t="s">
        <v>48</v>
      </c>
      <c r="U101" s="3" t="s">
        <v>49</v>
      </c>
      <c r="V101" s="3" t="s">
        <v>45</v>
      </c>
      <c r="W101" s="3" t="s">
        <v>47</v>
      </c>
      <c r="X101" s="80" t="s">
        <v>48</v>
      </c>
      <c r="Y101" s="214" t="s">
        <v>49</v>
      </c>
      <c r="Z101" s="235" t="s">
        <v>45</v>
      </c>
      <c r="AA101" s="235" t="s">
        <v>47</v>
      </c>
      <c r="AB101" s="235" t="s">
        <v>48</v>
      </c>
      <c r="AC101" s="235" t="s">
        <v>49</v>
      </c>
      <c r="AD101" s="235" t="s">
        <v>45</v>
      </c>
      <c r="AE101" s="235" t="s">
        <v>47</v>
      </c>
      <c r="AF101" s="235" t="s">
        <v>48</v>
      </c>
      <c r="AG101" s="235" t="s">
        <v>49</v>
      </c>
      <c r="AH101" s="235" t="s">
        <v>45</v>
      </c>
      <c r="AI101" s="235" t="s">
        <v>47</v>
      </c>
      <c r="AJ101" s="235" t="s">
        <v>48</v>
      </c>
      <c r="AK101" s="117" t="s">
        <v>49</v>
      </c>
      <c r="AL101" s="235" t="s">
        <v>45</v>
      </c>
      <c r="AM101" s="235" t="s">
        <v>47</v>
      </c>
      <c r="AN101" s="235" t="s">
        <v>48</v>
      </c>
      <c r="AO101" s="235" t="s">
        <v>49</v>
      </c>
      <c r="AP101" s="235" t="s">
        <v>45</v>
      </c>
      <c r="AQ101" s="500" t="s">
        <v>47</v>
      </c>
      <c r="AR101" s="500" t="s">
        <v>48</v>
      </c>
      <c r="AS101" s="500" t="s">
        <v>49</v>
      </c>
      <c r="AT101" s="500" t="s">
        <v>45</v>
      </c>
      <c r="AU101" s="500" t="s">
        <v>47</v>
      </c>
      <c r="AV101" s="500" t="s">
        <v>48</v>
      </c>
      <c r="AW101" s="500" t="s">
        <v>49</v>
      </c>
      <c r="AX101" s="500" t="s">
        <v>45</v>
      </c>
      <c r="AY101" s="500" t="s">
        <v>47</v>
      </c>
      <c r="AZ101" s="500"/>
      <c r="BA101" s="500"/>
      <c r="BD101" s="621" t="s">
        <v>147</v>
      </c>
      <c r="BE101" s="627" t="s">
        <v>49</v>
      </c>
      <c r="BF101" s="681" t="s">
        <v>45</v>
      </c>
      <c r="BG101" s="681" t="s">
        <v>47</v>
      </c>
      <c r="BH101" s="690" t="s">
        <v>48</v>
      </c>
      <c r="BI101" s="695" t="s">
        <v>49</v>
      </c>
      <c r="BJ101" s="685"/>
    </row>
    <row r="102" spans="1:64" x14ac:dyDescent="0.3">
      <c r="A102" s="2" t="s">
        <v>7</v>
      </c>
      <c r="C102" s="6">
        <f t="shared" ref="C102:AH102" si="111">C13</f>
        <v>0.49296913402485593</v>
      </c>
      <c r="D102" s="6">
        <f t="shared" si="111"/>
        <v>0.78882159443124023</v>
      </c>
      <c r="E102" s="6">
        <f t="shared" si="111"/>
        <v>0.73151513013207259</v>
      </c>
      <c r="F102" s="6">
        <f t="shared" si="111"/>
        <v>0.74849826114448303</v>
      </c>
      <c r="G102" s="6">
        <f t="shared" si="111"/>
        <v>0.69788700085697219</v>
      </c>
      <c r="H102" s="6">
        <f t="shared" si="111"/>
        <v>0.69786706757535455</v>
      </c>
      <c r="I102" s="6">
        <f t="shared" si="111"/>
        <v>0.66843980036715966</v>
      </c>
      <c r="J102" s="6">
        <f t="shared" si="111"/>
        <v>0.67962482089274989</v>
      </c>
      <c r="K102" s="6">
        <f t="shared" si="111"/>
        <v>0.70557766872429495</v>
      </c>
      <c r="L102" s="6">
        <f t="shared" si="111"/>
        <v>0.66350024835285049</v>
      </c>
      <c r="M102" s="6">
        <f t="shared" si="111"/>
        <v>0.67324431438104304</v>
      </c>
      <c r="N102" s="6">
        <f t="shared" si="111"/>
        <v>0.66739158577736024</v>
      </c>
      <c r="O102" s="6">
        <f t="shared" si="111"/>
        <v>0.70147759905823814</v>
      </c>
      <c r="P102" s="6">
        <f t="shared" si="111"/>
        <v>0.7085786070277752</v>
      </c>
      <c r="Q102" s="6">
        <f t="shared" si="111"/>
        <v>0.70695724789528758</v>
      </c>
      <c r="R102" s="6">
        <f t="shared" si="111"/>
        <v>0.68549277118101182</v>
      </c>
      <c r="S102" s="6">
        <f t="shared" si="111"/>
        <v>0.67135266784949266</v>
      </c>
      <c r="T102" s="6">
        <f t="shared" si="111"/>
        <v>0.64302826795893697</v>
      </c>
      <c r="U102" s="6">
        <f t="shared" si="111"/>
        <v>0.64967189614674148</v>
      </c>
      <c r="V102" s="6">
        <f t="shared" si="111"/>
        <v>0.64520236443874535</v>
      </c>
      <c r="W102" s="6">
        <f t="shared" si="111"/>
        <v>0.64017720411288559</v>
      </c>
      <c r="X102" s="6">
        <f t="shared" si="111"/>
        <v>0.62437774586059813</v>
      </c>
      <c r="Y102" s="6">
        <f t="shared" si="111"/>
        <v>0.58610576042316975</v>
      </c>
      <c r="Z102" s="6">
        <f t="shared" si="111"/>
        <v>0.55082832294687967</v>
      </c>
      <c r="AA102" s="6">
        <f t="shared" si="111"/>
        <v>0.54449081767450858</v>
      </c>
      <c r="AB102" s="6">
        <f t="shared" si="111"/>
        <v>0.54706891473172015</v>
      </c>
      <c r="AC102" s="6">
        <f t="shared" si="111"/>
        <v>0.53336998921591439</v>
      </c>
      <c r="AD102" s="6">
        <f t="shared" si="111"/>
        <v>0.53202081046510574</v>
      </c>
      <c r="AE102" s="6">
        <f t="shared" si="111"/>
        <v>0.53383226736579814</v>
      </c>
      <c r="AF102" s="6">
        <f t="shared" si="111"/>
        <v>0.53002200697135993</v>
      </c>
      <c r="AG102" s="6">
        <f t="shared" si="111"/>
        <v>0.5339674916994952</v>
      </c>
      <c r="AH102" s="6">
        <f t="shared" si="111"/>
        <v>0.52381480222620991</v>
      </c>
      <c r="AI102" s="6">
        <f t="shared" ref="AI102:AN102" si="112">AI13</f>
        <v>0.55601557060751861</v>
      </c>
      <c r="AJ102" s="6">
        <f t="shared" si="112"/>
        <v>0.56882029840396531</v>
      </c>
      <c r="AK102" s="6">
        <f t="shared" si="112"/>
        <v>0.57430482392314586</v>
      </c>
      <c r="AL102" s="6">
        <f t="shared" si="112"/>
        <v>0.54232949516621276</v>
      </c>
      <c r="AM102" s="6">
        <f t="shared" si="112"/>
        <v>0.59778649927755734</v>
      </c>
      <c r="AN102" s="6">
        <f t="shared" si="112"/>
        <v>0.60421174291460689</v>
      </c>
      <c r="AO102" s="6">
        <f t="shared" ref="AO102:AU102" si="113">AO13</f>
        <v>0.5893216396328429</v>
      </c>
      <c r="AP102" s="6">
        <f t="shared" si="113"/>
        <v>0.55826828385769167</v>
      </c>
      <c r="AQ102" s="6">
        <f t="shared" si="113"/>
        <v>0.56092859793069716</v>
      </c>
      <c r="AR102" s="331">
        <f t="shared" si="113"/>
        <v>0.53068457724896823</v>
      </c>
      <c r="AS102" s="331">
        <f t="shared" si="113"/>
        <v>0.51949290977524742</v>
      </c>
      <c r="AT102" s="331">
        <f t="shared" si="113"/>
        <v>0.50276958172827368</v>
      </c>
      <c r="AU102" s="331">
        <f t="shared" si="113"/>
        <v>0.50111745198567703</v>
      </c>
      <c r="AV102" s="331">
        <f>AV13</f>
        <v>0.49977221897968566</v>
      </c>
      <c r="AW102" s="331">
        <f>AW13</f>
        <v>0.48118253345040107</v>
      </c>
      <c r="AX102" s="331">
        <f>AX13</f>
        <v>0.54011599150481759</v>
      </c>
      <c r="AY102" s="331">
        <f>AY13</f>
        <v>0.59084570149902693</v>
      </c>
      <c r="AZ102" s="331">
        <f t="shared" ref="AZ102:BA102" si="114">AZ13</f>
        <v>0.57208014756165904</v>
      </c>
      <c r="BA102" s="331">
        <f t="shared" si="114"/>
        <v>0.60376005666552046</v>
      </c>
      <c r="BB102" s="331">
        <f t="shared" ref="BB102:BD102" si="115">BB13</f>
        <v>0.60625830969429595</v>
      </c>
      <c r="BC102" s="331">
        <f t="shared" si="115"/>
        <v>0.59479333702414772</v>
      </c>
      <c r="BD102" s="331">
        <f t="shared" si="115"/>
        <v>0.57686415200183883</v>
      </c>
      <c r="BE102" s="331">
        <f>BE13</f>
        <v>0.57096029832910977</v>
      </c>
      <c r="BF102" s="6">
        <f>BF13</f>
        <v>0.50156544999683872</v>
      </c>
      <c r="BG102" s="6">
        <f>BG13</f>
        <v>0.50082318114091162</v>
      </c>
      <c r="BH102" s="6">
        <f>BH13</f>
        <v>0.50098925073854628</v>
      </c>
      <c r="BI102" s="6">
        <f>BI13</f>
        <v>0.50508502824629897</v>
      </c>
      <c r="BJ102" s="6"/>
    </row>
    <row r="103" spans="1:64" x14ac:dyDescent="0.3">
      <c r="A103" s="2" t="s">
        <v>9</v>
      </c>
      <c r="C103" s="6">
        <f t="shared" ref="C103:AH103" si="116">C27</f>
        <v>0.1090214489230128</v>
      </c>
      <c r="D103" s="6">
        <f t="shared" si="116"/>
        <v>0.21117840556875977</v>
      </c>
      <c r="E103" s="6">
        <f t="shared" si="116"/>
        <v>0.26848486986792741</v>
      </c>
      <c r="F103" s="6">
        <f t="shared" si="116"/>
        <v>0.25150173885551691</v>
      </c>
      <c r="G103" s="6">
        <f t="shared" si="116"/>
        <v>0.30211299914302781</v>
      </c>
      <c r="H103" s="6">
        <f t="shared" si="116"/>
        <v>0.29373811246528514</v>
      </c>
      <c r="I103" s="6">
        <f t="shared" si="116"/>
        <v>0.31108606346336498</v>
      </c>
      <c r="J103" s="6">
        <f t="shared" si="116"/>
        <v>0.305147112663952</v>
      </c>
      <c r="K103" s="6">
        <f t="shared" si="116"/>
        <v>0.2852299565175806</v>
      </c>
      <c r="L103" s="6">
        <f t="shared" si="116"/>
        <v>0.31866924103240052</v>
      </c>
      <c r="M103" s="6">
        <f t="shared" si="116"/>
        <v>0.2951392436795045</v>
      </c>
      <c r="N103" s="6">
        <f t="shared" si="116"/>
        <v>0.28926874679202152</v>
      </c>
      <c r="O103" s="6">
        <f t="shared" si="116"/>
        <v>0.2736206790852676</v>
      </c>
      <c r="P103" s="6">
        <f t="shared" si="116"/>
        <v>0.2483026877984999</v>
      </c>
      <c r="Q103" s="6">
        <f t="shared" si="116"/>
        <v>0.23803099860772811</v>
      </c>
      <c r="R103" s="6">
        <f t="shared" si="116"/>
        <v>0.24642439501145061</v>
      </c>
      <c r="S103" s="6">
        <f t="shared" si="116"/>
        <v>0.25281552242681266</v>
      </c>
      <c r="T103" s="6">
        <f t="shared" si="116"/>
        <v>0.25279810956406318</v>
      </c>
      <c r="U103" s="6">
        <f t="shared" si="116"/>
        <v>0.24900038809041786</v>
      </c>
      <c r="V103" s="6">
        <f t="shared" si="116"/>
        <v>0.2611170864554091</v>
      </c>
      <c r="W103" s="6">
        <f t="shared" si="116"/>
        <v>0.26086520130493002</v>
      </c>
      <c r="X103" s="6">
        <f t="shared" si="116"/>
        <v>0.27038474965482334</v>
      </c>
      <c r="Y103" s="6">
        <f t="shared" si="116"/>
        <v>0.30038732459081319</v>
      </c>
      <c r="Z103" s="6">
        <f t="shared" si="116"/>
        <v>0.3346516498733364</v>
      </c>
      <c r="AA103" s="6">
        <f t="shared" si="116"/>
        <v>0.33710613601196038</v>
      </c>
      <c r="AB103" s="6">
        <f t="shared" si="116"/>
        <v>0.34170205342209625</v>
      </c>
      <c r="AC103" s="6">
        <f t="shared" si="116"/>
        <v>0.35760690882068141</v>
      </c>
      <c r="AD103" s="6">
        <f t="shared" si="116"/>
        <v>0.36444962034962308</v>
      </c>
      <c r="AE103" s="6">
        <f t="shared" si="116"/>
        <v>0.36205178678800964</v>
      </c>
      <c r="AF103" s="6">
        <f t="shared" si="116"/>
        <v>0.36457778411453406</v>
      </c>
      <c r="AG103" s="6">
        <f t="shared" si="116"/>
        <v>0.36186353890657452</v>
      </c>
      <c r="AH103" s="6">
        <f t="shared" si="116"/>
        <v>0.378604428101461</v>
      </c>
      <c r="AI103" s="6">
        <f t="shared" ref="AI103:AN103" si="117">AI27</f>
        <v>0.34931716515724226</v>
      </c>
      <c r="AJ103" s="6">
        <f t="shared" si="117"/>
        <v>0.33790394138672764</v>
      </c>
      <c r="AK103" s="6">
        <f t="shared" si="117"/>
        <v>0.33636236242710388</v>
      </c>
      <c r="AL103" s="6">
        <f t="shared" si="117"/>
        <v>0.3738171457088808</v>
      </c>
      <c r="AM103" s="6">
        <f t="shared" si="117"/>
        <v>0.32599131874649229</v>
      </c>
      <c r="AN103" s="6">
        <f t="shared" si="117"/>
        <v>0.32010255556144374</v>
      </c>
      <c r="AO103" s="6">
        <f t="shared" ref="AO103:BA103" si="118">AO27</f>
        <v>0.32451934411542815</v>
      </c>
      <c r="AP103" s="6">
        <f t="shared" si="118"/>
        <v>0.35072464293170291</v>
      </c>
      <c r="AQ103" s="6">
        <f t="shared" si="118"/>
        <v>0.33588034929942301</v>
      </c>
      <c r="AR103" s="331">
        <f t="shared" si="118"/>
        <v>0.35348735199095882</v>
      </c>
      <c r="AS103" s="331">
        <f t="shared" si="118"/>
        <v>0.36065275152856763</v>
      </c>
      <c r="AT103" s="331">
        <f t="shared" si="118"/>
        <v>0.37593571565172251</v>
      </c>
      <c r="AU103" s="331">
        <f t="shared" si="118"/>
        <v>0.36609446207682289</v>
      </c>
      <c r="AV103" s="331">
        <f t="shared" si="118"/>
        <v>0.36095647368122019</v>
      </c>
      <c r="AW103" s="331">
        <f t="shared" si="118"/>
        <v>0.3771697647503488</v>
      </c>
      <c r="AX103" s="331">
        <f t="shared" si="118"/>
        <v>0.443165174224181</v>
      </c>
      <c r="AY103" s="331">
        <f t="shared" si="118"/>
        <v>0.39390372233220966</v>
      </c>
      <c r="AZ103" s="331">
        <f t="shared" si="118"/>
        <v>0.41223993302787088</v>
      </c>
      <c r="BA103" s="331">
        <f t="shared" si="118"/>
        <v>0.37919635622480069</v>
      </c>
      <c r="BB103" s="331">
        <f t="shared" ref="BB103:BD103" si="119">BB27</f>
        <v>0.37793017257398104</v>
      </c>
      <c r="BC103" s="331">
        <f t="shared" si="119"/>
        <v>0.38977211987000693</v>
      </c>
      <c r="BD103" s="331">
        <f t="shared" si="119"/>
        <v>0.40750652867096609</v>
      </c>
      <c r="BE103" s="331">
        <f>BE27</f>
        <v>0.41305086840966687</v>
      </c>
      <c r="BF103" s="6">
        <f>BF27</f>
        <v>0.48238939431400596</v>
      </c>
      <c r="BG103" s="6">
        <f>BG27</f>
        <v>0.48182167427225669</v>
      </c>
      <c r="BH103" s="6">
        <f>BH27</f>
        <v>0.48122271044887793</v>
      </c>
      <c r="BI103" s="6">
        <f>BI27</f>
        <v>0.47867031169886354</v>
      </c>
      <c r="BJ103" s="6"/>
    </row>
    <row r="104" spans="1:64" x14ac:dyDescent="0.3">
      <c r="A104" s="2" t="s">
        <v>21</v>
      </c>
      <c r="C104" s="6"/>
      <c r="D104" s="6"/>
      <c r="E104" s="6"/>
      <c r="F104" s="6"/>
      <c r="G104" s="6"/>
      <c r="H104" s="6">
        <f t="shared" ref="H104:T104" si="120">H40</f>
        <v>8.3948199593603372E-3</v>
      </c>
      <c r="I104" s="6">
        <f t="shared" si="120"/>
        <v>2.0474136169475399E-2</v>
      </c>
      <c r="J104" s="6">
        <f t="shared" si="120"/>
        <v>1.5228066443298055E-2</v>
      </c>
      <c r="K104" s="6">
        <f t="shared" si="120"/>
        <v>9.1923747581244431E-3</v>
      </c>
      <c r="L104" s="6">
        <f t="shared" si="120"/>
        <v>6.9590336980351461E-3</v>
      </c>
      <c r="M104" s="6">
        <f t="shared" si="120"/>
        <v>4.8535356218860739E-3</v>
      </c>
      <c r="N104" s="6">
        <f t="shared" si="120"/>
        <v>5.3402880463809446E-3</v>
      </c>
      <c r="O104" s="6">
        <f t="shared" si="120"/>
        <v>6.9592015688684046E-3</v>
      </c>
      <c r="P104" s="6">
        <f t="shared" si="120"/>
        <v>6.242169933639333E-3</v>
      </c>
      <c r="Q104" s="6">
        <f t="shared" si="120"/>
        <v>8.2061810066891439E-3</v>
      </c>
      <c r="R104" s="6">
        <f t="shared" si="120"/>
        <v>7.839825524419872E-3</v>
      </c>
      <c r="S104" s="6">
        <f t="shared" si="120"/>
        <v>6.0069887703658826E-3</v>
      </c>
      <c r="T104" s="6">
        <f t="shared" si="120"/>
        <v>8.2147836124061221E-3</v>
      </c>
      <c r="U104" s="6">
        <f t="shared" ref="U104:Z104" si="121">U40</f>
        <v>8.7343327372982477E-3</v>
      </c>
      <c r="V104" s="6">
        <f t="shared" si="121"/>
        <v>8.3564274564906713E-3</v>
      </c>
      <c r="W104" s="6">
        <f t="shared" si="121"/>
        <v>8.9719949706823475E-3</v>
      </c>
      <c r="X104" s="6">
        <f t="shared" si="121"/>
        <v>1.0448312892513864E-2</v>
      </c>
      <c r="Y104" s="6">
        <f t="shared" si="121"/>
        <v>1.2490669645265693E-2</v>
      </c>
      <c r="Z104" s="6">
        <f t="shared" si="121"/>
        <v>1.2760393636706589E-2</v>
      </c>
      <c r="AA104" s="6">
        <f t="shared" ref="AA104:AF104" si="122">AA40</f>
        <v>1.387525716048579E-2</v>
      </c>
      <c r="AB104" s="6">
        <f t="shared" si="122"/>
        <v>1.3463612217627598E-4</v>
      </c>
      <c r="AC104" s="6">
        <f t="shared" si="122"/>
        <v>1.0571406409900341E-4</v>
      </c>
      <c r="AD104" s="6">
        <f t="shared" si="122"/>
        <v>8.3913165748913666E-5</v>
      </c>
      <c r="AE104" s="331">
        <f t="shared" si="122"/>
        <v>7.6821285387609597E-5</v>
      </c>
      <c r="AF104" s="331">
        <f t="shared" si="122"/>
        <v>1.2110098091794544E-4</v>
      </c>
      <c r="AG104" s="331">
        <f t="shared" ref="AG104:BA104" si="123">AG40</f>
        <v>1.1724825669551666E-4</v>
      </c>
      <c r="AH104" s="331">
        <f t="shared" si="123"/>
        <v>8.0872884226790184E-5</v>
      </c>
      <c r="AI104" s="331">
        <f t="shared" si="123"/>
        <v>5.4683161814240736E-5</v>
      </c>
      <c r="AJ104" s="331">
        <f t="shared" si="123"/>
        <v>6.3868758824723603E-5</v>
      </c>
      <c r="AK104" s="331">
        <f t="shared" si="123"/>
        <v>6.7513478583760121E-5</v>
      </c>
      <c r="AL104" s="331">
        <f t="shared" si="123"/>
        <v>5.7583170358743152E-5</v>
      </c>
      <c r="AM104" s="331">
        <f t="shared" si="123"/>
        <v>2.7862803555293735E-5</v>
      </c>
      <c r="AN104" s="331">
        <f t="shared" si="123"/>
        <v>6.4097225902345095E-5</v>
      </c>
      <c r="AO104" s="331">
        <f t="shared" si="123"/>
        <v>5.3046020369671824E-5</v>
      </c>
      <c r="AP104" s="331">
        <f t="shared" si="123"/>
        <v>4.1663062660793381E-5</v>
      </c>
      <c r="AQ104" s="331">
        <f t="shared" si="123"/>
        <v>3.4445733699048612E-5</v>
      </c>
      <c r="AR104" s="331">
        <f t="shared" si="123"/>
        <v>3.2472423725736847E-5</v>
      </c>
      <c r="AS104" s="331">
        <f t="shared" si="123"/>
        <v>4.0597986980866594E-5</v>
      </c>
      <c r="AT104" s="331">
        <f t="shared" si="123"/>
        <v>3.4638066356777938E-5</v>
      </c>
      <c r="AU104" s="331">
        <f t="shared" si="123"/>
        <v>3.0008951822916665E-5</v>
      </c>
      <c r="AV104" s="331">
        <f t="shared" si="123"/>
        <v>3.4606186759776251E-5</v>
      </c>
      <c r="AW104" s="331">
        <f t="shared" si="123"/>
        <v>3.7849770529102474E-5</v>
      </c>
      <c r="AX104" s="331">
        <f t="shared" si="123"/>
        <v>3.1944782378832108E-5</v>
      </c>
      <c r="AY104" s="331">
        <f t="shared" si="123"/>
        <v>3.7117753421461487E-5</v>
      </c>
      <c r="AZ104" s="331">
        <f t="shared" si="123"/>
        <v>3.2351281160505159E-5</v>
      </c>
      <c r="BA104" s="331">
        <f t="shared" si="123"/>
        <v>2.8202594421743766E-5</v>
      </c>
      <c r="BB104" s="331">
        <f t="shared" ref="BB104:BI104" si="124">BB40</f>
        <v>0</v>
      </c>
      <c r="BC104" s="331">
        <f t="shared" si="124"/>
        <v>0</v>
      </c>
      <c r="BD104" s="331">
        <f t="shared" si="124"/>
        <v>0</v>
      </c>
      <c r="BE104" s="331">
        <f t="shared" si="124"/>
        <v>2.8843974699713622E-5</v>
      </c>
      <c r="BF104" s="6">
        <f t="shared" si="124"/>
        <v>3.1869282483665707E-5</v>
      </c>
      <c r="BG104" s="6">
        <f t="shared" si="124"/>
        <v>2.3061446380168507E-5</v>
      </c>
      <c r="BH104" s="6">
        <f t="shared" si="124"/>
        <v>2.5979739267336712E-5</v>
      </c>
      <c r="BI104" s="6">
        <f t="shared" si="124"/>
        <v>2.6041455682650718E-5</v>
      </c>
      <c r="BJ104" s="6"/>
    </row>
    <row r="105" spans="1:64" x14ac:dyDescent="0.3">
      <c r="A105" s="2" t="s">
        <v>12</v>
      </c>
      <c r="C105" s="6"/>
      <c r="D105" s="6"/>
      <c r="E105" s="6"/>
      <c r="F105" s="6"/>
      <c r="G105" s="6"/>
      <c r="H105" s="6"/>
      <c r="I105" s="6"/>
      <c r="J105" s="6"/>
      <c r="K105" s="6"/>
      <c r="L105" s="6">
        <f>L53</f>
        <v>1.0871476916713857E-2</v>
      </c>
      <c r="M105" s="6">
        <f t="shared" ref="M105:T105" si="125">M53</f>
        <v>2.6762906317566323E-2</v>
      </c>
      <c r="N105" s="6">
        <f t="shared" si="125"/>
        <v>3.7999379384237274E-2</v>
      </c>
      <c r="O105" s="6">
        <f t="shared" si="125"/>
        <v>1.7942520287625875E-2</v>
      </c>
      <c r="P105" s="6">
        <f t="shared" si="125"/>
        <v>3.6876535240085564E-2</v>
      </c>
      <c r="Q105" s="6">
        <f t="shared" si="125"/>
        <v>4.6805572490295211E-2</v>
      </c>
      <c r="R105" s="6">
        <f t="shared" si="125"/>
        <v>6.0243008283117676E-2</v>
      </c>
      <c r="S105" s="6">
        <f t="shared" si="125"/>
        <v>6.9824820953328856E-2</v>
      </c>
      <c r="T105" s="6">
        <f t="shared" si="125"/>
        <v>9.5958838864593707E-2</v>
      </c>
      <c r="U105" s="6">
        <f t="shared" ref="U105:Z105" si="126">U53</f>
        <v>9.2593383025542389E-2</v>
      </c>
      <c r="V105" s="6">
        <f t="shared" si="126"/>
        <v>8.5324121649354809E-2</v>
      </c>
      <c r="W105" s="6">
        <f t="shared" si="126"/>
        <v>8.9985599611502043E-2</v>
      </c>
      <c r="X105" s="6">
        <f t="shared" si="126"/>
        <v>9.4789191592064628E-2</v>
      </c>
      <c r="Y105" s="6">
        <f t="shared" si="126"/>
        <v>0.10101624534075138</v>
      </c>
      <c r="Z105" s="6">
        <f t="shared" si="126"/>
        <v>0.10175963354307738</v>
      </c>
      <c r="AA105" s="6">
        <f t="shared" ref="AA105:AF105" si="127">AA53</f>
        <v>0.10452778915304525</v>
      </c>
      <c r="AB105" s="6">
        <f t="shared" si="127"/>
        <v>0.11109439572400732</v>
      </c>
      <c r="AC105" s="6">
        <f t="shared" si="127"/>
        <v>0.10891738789930516</v>
      </c>
      <c r="AD105" s="6">
        <f t="shared" si="127"/>
        <v>0.10344565601952228</v>
      </c>
      <c r="AE105" s="6">
        <f t="shared" si="127"/>
        <v>0.10403912456080462</v>
      </c>
      <c r="AF105" s="6">
        <f t="shared" si="127"/>
        <v>0.10527910793318805</v>
      </c>
      <c r="AG105" s="6">
        <f t="shared" ref="AG105:AN105" si="128">AG53</f>
        <v>0.10405172113723481</v>
      </c>
      <c r="AH105" s="6">
        <f t="shared" si="128"/>
        <v>9.7499896788102294E-2</v>
      </c>
      <c r="AI105" s="6">
        <f t="shared" si="128"/>
        <v>9.4612581073424823E-2</v>
      </c>
      <c r="AJ105" s="6">
        <f t="shared" si="128"/>
        <v>9.3211891450482323E-2</v>
      </c>
      <c r="AK105" s="6">
        <f t="shared" si="128"/>
        <v>8.9265300171166531E-2</v>
      </c>
      <c r="AL105" s="6">
        <f t="shared" si="128"/>
        <v>8.379577595454768E-2</v>
      </c>
      <c r="AM105" s="6">
        <f t="shared" si="128"/>
        <v>7.6194319172395122E-2</v>
      </c>
      <c r="AN105" s="6">
        <f t="shared" si="128"/>
        <v>7.5621604298047054E-2</v>
      </c>
      <c r="AO105" s="6">
        <f t="shared" ref="AO105:BA105" si="129">AO53</f>
        <v>7.2117047026279385E-2</v>
      </c>
      <c r="AP105" s="6">
        <f t="shared" si="129"/>
        <v>7.8067522238791848E-2</v>
      </c>
      <c r="AQ105" s="6">
        <f t="shared" si="129"/>
        <v>8.781447724662457E-2</v>
      </c>
      <c r="AR105" s="331">
        <f t="shared" si="129"/>
        <v>9.94465314926615E-2</v>
      </c>
      <c r="AS105" s="331">
        <f t="shared" si="129"/>
        <v>0.10335659882885491</v>
      </c>
      <c r="AT105" s="331">
        <f t="shared" si="129"/>
        <v>0.10627202688304237</v>
      </c>
      <c r="AU105" s="331">
        <f t="shared" si="129"/>
        <v>0.11719919840494791</v>
      </c>
      <c r="AV105" s="331">
        <f t="shared" si="129"/>
        <v>0.12359883681891667</v>
      </c>
      <c r="AW105" s="331">
        <f t="shared" si="129"/>
        <v>0.12457159124166972</v>
      </c>
      <c r="AX105" s="331">
        <f t="shared" si="129"/>
        <v>0.11815150451938809</v>
      </c>
      <c r="AY105" s="331">
        <f t="shared" si="129"/>
        <v>0</v>
      </c>
      <c r="AZ105" s="331">
        <f t="shared" si="129"/>
        <v>0</v>
      </c>
      <c r="BA105" s="331">
        <f t="shared" si="129"/>
        <v>0</v>
      </c>
      <c r="BB105" s="331">
        <f t="shared" ref="BB105:BI105" si="130">BB53</f>
        <v>0</v>
      </c>
      <c r="BC105" s="331">
        <f t="shared" si="130"/>
        <v>0</v>
      </c>
      <c r="BD105" s="331">
        <f t="shared" si="130"/>
        <v>0</v>
      </c>
      <c r="BE105" s="331">
        <f t="shared" si="130"/>
        <v>0</v>
      </c>
      <c r="BF105" s="6">
        <f t="shared" si="130"/>
        <v>0</v>
      </c>
      <c r="BG105" s="6">
        <f t="shared" si="130"/>
        <v>0</v>
      </c>
      <c r="BH105" s="6">
        <f t="shared" si="130"/>
        <v>0</v>
      </c>
      <c r="BI105" s="6">
        <f t="shared" si="130"/>
        <v>0</v>
      </c>
      <c r="BJ105" s="6"/>
    </row>
    <row r="106" spans="1:64" x14ac:dyDescent="0.3">
      <c r="A106" s="465" t="s">
        <v>156</v>
      </c>
      <c r="Z106" s="6"/>
      <c r="AO106" s="468">
        <f t="shared" ref="AO106:BA106" si="131">AO64</f>
        <v>1.3988923205079844E-2</v>
      </c>
      <c r="AP106" s="468">
        <f t="shared" si="131"/>
        <v>1.2897887909152786E-2</v>
      </c>
      <c r="AQ106" s="468">
        <f t="shared" si="131"/>
        <v>1.534212978955625E-2</v>
      </c>
      <c r="AR106" s="543">
        <f t="shared" si="131"/>
        <v>1.6349066843685738E-2</v>
      </c>
      <c r="AS106" s="543">
        <f t="shared" si="131"/>
        <v>1.6457141880349184E-2</v>
      </c>
      <c r="AT106" s="543">
        <f t="shared" si="131"/>
        <v>1.4988037670604673E-2</v>
      </c>
      <c r="AU106" s="543">
        <f t="shared" si="131"/>
        <v>1.5558878580729166E-2</v>
      </c>
      <c r="AV106" s="543">
        <f t="shared" si="131"/>
        <v>1.5637864333417698E-2</v>
      </c>
      <c r="AW106" s="543">
        <f t="shared" si="131"/>
        <v>1.7038260787051326E-2</v>
      </c>
      <c r="AX106" s="543">
        <f t="shared" si="131"/>
        <v>1.6718834271001431E-2</v>
      </c>
      <c r="AY106" s="543">
        <f t="shared" si="131"/>
        <v>1.5250576168763338E-2</v>
      </c>
      <c r="AZ106" s="543">
        <f t="shared" si="131"/>
        <v>1.5679919410470068E-2</v>
      </c>
      <c r="BA106" s="543">
        <f t="shared" si="131"/>
        <v>1.7043587109678807E-2</v>
      </c>
      <c r="BB106" s="543">
        <f t="shared" ref="BB106" si="132">BB64</f>
        <v>1.5811517731723047E-2</v>
      </c>
      <c r="BC106" s="543">
        <f>BC64</f>
        <v>1.5434543105845416E-2</v>
      </c>
      <c r="BD106" s="543">
        <f t="shared" ref="BD106:BI106" si="133">BD64</f>
        <v>1.5629319327195017E-2</v>
      </c>
      <c r="BE106" s="543">
        <f t="shared" si="133"/>
        <v>1.5988833261223398E-2</v>
      </c>
      <c r="BF106" s="468">
        <f t="shared" si="133"/>
        <v>1.6045155689155242E-2</v>
      </c>
      <c r="BG106" s="468">
        <f t="shared" si="133"/>
        <v>1.735514458683169E-2</v>
      </c>
      <c r="BH106" s="468">
        <f t="shared" si="133"/>
        <v>1.7788038812575811E-2</v>
      </c>
      <c r="BI106" s="468">
        <f t="shared" si="133"/>
        <v>1.6244660054837518E-2</v>
      </c>
      <c r="BJ106" s="468"/>
    </row>
    <row r="107" spans="1:64" ht="17.25" thickBot="1" x14ac:dyDescent="0.35">
      <c r="Z107" s="6"/>
      <c r="AB107" s="293"/>
    </row>
    <row r="108" spans="1:64" ht="17.25" thickBot="1" x14ac:dyDescent="0.35">
      <c r="Z108" s="6"/>
      <c r="AB108" s="293"/>
      <c r="BK108" s="564"/>
      <c r="BL108" s="50"/>
    </row>
    <row r="109" spans="1:64" x14ac:dyDescent="0.3">
      <c r="AB109" s="293"/>
    </row>
    <row r="110" spans="1:64" x14ac:dyDescent="0.3">
      <c r="AB110" s="293"/>
    </row>
  </sheetData>
  <dataConsolidate/>
  <mergeCells count="76">
    <mergeCell ref="AZ3:BA3"/>
    <mergeCell ref="AR3:AT3"/>
    <mergeCell ref="AF3:AI3"/>
    <mergeCell ref="AF31:AI31"/>
    <mergeCell ref="AF44:AI44"/>
    <mergeCell ref="AF66:AI66"/>
    <mergeCell ref="AJ44:AL44"/>
    <mergeCell ref="AJ31:AM31"/>
    <mergeCell ref="AJ17:AM17"/>
    <mergeCell ref="AJ3:AM3"/>
    <mergeCell ref="AB17:AC17"/>
    <mergeCell ref="AB31:AC31"/>
    <mergeCell ref="AB44:AC44"/>
    <mergeCell ref="T3:W3"/>
    <mergeCell ref="AB3:AE3"/>
    <mergeCell ref="T17:W17"/>
    <mergeCell ref="X17:Z17"/>
    <mergeCell ref="T31:W31"/>
    <mergeCell ref="P3:S3"/>
    <mergeCell ref="X3:Z3"/>
    <mergeCell ref="P17:S17"/>
    <mergeCell ref="X31:AA31"/>
    <mergeCell ref="L100:O100"/>
    <mergeCell ref="L76:O76"/>
    <mergeCell ref="L44:O44"/>
    <mergeCell ref="P100:S100"/>
    <mergeCell ref="T100:W100"/>
    <mergeCell ref="X100:AA100"/>
    <mergeCell ref="X44:Z44"/>
    <mergeCell ref="T66:W66"/>
    <mergeCell ref="T44:W44"/>
    <mergeCell ref="X66:Z66"/>
    <mergeCell ref="P66:S66"/>
    <mergeCell ref="D3:G3"/>
    <mergeCell ref="H3:K3"/>
    <mergeCell ref="L17:O17"/>
    <mergeCell ref="D17:G17"/>
    <mergeCell ref="L66:O66"/>
    <mergeCell ref="H66:K66"/>
    <mergeCell ref="L3:O3"/>
    <mergeCell ref="H17:K17"/>
    <mergeCell ref="AF100:AI100"/>
    <mergeCell ref="AB100:AE100"/>
    <mergeCell ref="AB76:AE76"/>
    <mergeCell ref="T76:W76"/>
    <mergeCell ref="P76:S76"/>
    <mergeCell ref="AF76:AK76"/>
    <mergeCell ref="X76:Z76"/>
    <mergeCell ref="AJ100:AM100"/>
    <mergeCell ref="A56:B56"/>
    <mergeCell ref="A57:A59"/>
    <mergeCell ref="A60:A62"/>
    <mergeCell ref="D100:G100"/>
    <mergeCell ref="H100:K100"/>
    <mergeCell ref="D76:G76"/>
    <mergeCell ref="A81:A83"/>
    <mergeCell ref="A66:B66"/>
    <mergeCell ref="H76:K76"/>
    <mergeCell ref="A78:A80"/>
    <mergeCell ref="D66:G66"/>
    <mergeCell ref="BD17:BL17"/>
    <mergeCell ref="AB66:AC66"/>
    <mergeCell ref="AJ66:AK66"/>
    <mergeCell ref="A19:A21"/>
    <mergeCell ref="H44:K44"/>
    <mergeCell ref="P44:S44"/>
    <mergeCell ref="A33:A35"/>
    <mergeCell ref="D44:G44"/>
    <mergeCell ref="P31:S31"/>
    <mergeCell ref="A22:A24"/>
    <mergeCell ref="A36:A38"/>
    <mergeCell ref="D31:G31"/>
    <mergeCell ref="H31:K31"/>
    <mergeCell ref="L31:O31"/>
    <mergeCell ref="A49:A51"/>
    <mergeCell ref="A46:A48"/>
  </mergeCells>
  <pageMargins left="0.4" right="0.7" top="0.75" bottom="0.75" header="0.3" footer="0.3"/>
  <pageSetup scale="4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BJ152"/>
  <sheetViews>
    <sheetView zoomScale="70" zoomScaleNormal="70" workbookViewId="0">
      <pane xSplit="2" ySplit="3" topLeftCell="AW4" activePane="bottomRight" state="frozen"/>
      <selection activeCell="AC25" sqref="AC25"/>
      <selection pane="topRight" activeCell="AC25" sqref="AC25"/>
      <selection pane="bottomLeft" activeCell="AC25" sqref="AC25"/>
      <selection pane="bottomRight" activeCell="BI80" sqref="BI80"/>
    </sheetView>
  </sheetViews>
  <sheetFormatPr defaultRowHeight="16.5" x14ac:dyDescent="0.3"/>
  <cols>
    <col min="1" max="1" width="7" style="1" customWidth="1"/>
    <col min="2" max="2" width="43.42578125" style="119" customWidth="1"/>
    <col min="3" max="3" width="14.42578125" style="119" customWidth="1"/>
    <col min="4" max="4" width="12.7109375" style="119" bestFit="1" customWidth="1"/>
    <col min="5" max="5" width="13.140625" style="119" bestFit="1" customWidth="1"/>
    <col min="6" max="6" width="11.5703125" style="119" bestFit="1" customWidth="1"/>
    <col min="7" max="7" width="9.85546875" style="119" customWidth="1"/>
    <col min="8" max="8" width="13.7109375" style="119" bestFit="1" customWidth="1"/>
    <col min="9" max="12" width="9.85546875" style="119" customWidth="1"/>
    <col min="13" max="13" width="13.7109375" style="119" customWidth="1"/>
    <col min="14" max="14" width="15.140625" style="119" customWidth="1"/>
    <col min="15" max="15" width="14.5703125" style="119" customWidth="1"/>
    <col min="16" max="16" width="16.42578125" style="119" customWidth="1"/>
    <col min="17" max="17" width="11.140625" style="119" bestFit="1" customWidth="1"/>
    <col min="18" max="18" width="20.5703125" style="119" customWidth="1"/>
    <col min="19" max="19" width="13.85546875" style="119" bestFit="1" customWidth="1"/>
    <col min="20" max="20" width="11.140625" style="119" customWidth="1"/>
    <col min="21" max="21" width="13.5703125" style="119" customWidth="1"/>
    <col min="22" max="22" width="13.140625" style="1" bestFit="1" customWidth="1"/>
    <col min="23" max="23" width="16.5703125" style="1" customWidth="1"/>
    <col min="24" max="24" width="14" style="1" customWidth="1"/>
    <col min="25" max="25" width="15.42578125" style="220" customWidth="1"/>
    <col min="26" max="26" width="20" style="1" customWidth="1"/>
    <col min="27" max="27" width="19" style="1" customWidth="1"/>
    <col min="28" max="28" width="18.5703125" style="1" customWidth="1"/>
    <col min="29" max="31" width="14.28515625" style="1" customWidth="1"/>
    <col min="32" max="32" width="16" style="1" bestFit="1" customWidth="1"/>
    <col min="33" max="33" width="13.85546875" style="1" customWidth="1"/>
    <col min="34" max="34" width="15" style="1" bestFit="1" customWidth="1"/>
    <col min="35" max="35" width="19" style="1" customWidth="1"/>
    <col min="36" max="36" width="15.28515625" style="1" bestFit="1" customWidth="1"/>
    <col min="37" max="37" width="16.28515625" style="1" customWidth="1"/>
    <col min="38" max="38" width="21" style="1" customWidth="1"/>
    <col min="39" max="39" width="18.7109375" style="1" customWidth="1"/>
    <col min="40" max="40" width="15.7109375" style="1" customWidth="1"/>
    <col min="41" max="41" width="18.7109375" style="1" customWidth="1"/>
    <col min="42" max="42" width="16.28515625" style="1" customWidth="1"/>
    <col min="43" max="43" width="18.7109375" style="1" customWidth="1"/>
    <col min="44" max="51" width="17.85546875" style="1" customWidth="1"/>
    <col min="52" max="52" width="18.7109375" style="1" customWidth="1"/>
    <col min="53" max="53" width="17.28515625" style="1" customWidth="1"/>
    <col min="54" max="54" width="18.5703125" style="1" customWidth="1"/>
    <col min="55" max="55" width="12.85546875" style="1" bestFit="1" customWidth="1"/>
    <col min="56" max="61" width="18.42578125" style="1" customWidth="1"/>
    <col min="62" max="62" width="19.140625" style="1" customWidth="1"/>
    <col min="63" max="16384" width="9.140625" style="1"/>
  </cols>
  <sheetData>
    <row r="1" spans="2:62" x14ac:dyDescent="0.3">
      <c r="B1" s="121" t="s">
        <v>89</v>
      </c>
    </row>
    <row r="2" spans="2:62" x14ac:dyDescent="0.3">
      <c r="B2" s="122">
        <v>1000</v>
      </c>
      <c r="AB2" s="736">
        <v>2014</v>
      </c>
      <c r="AC2" s="736"/>
      <c r="AD2" s="736"/>
      <c r="AE2" s="736"/>
      <c r="AF2" s="736">
        <v>2015</v>
      </c>
      <c r="AG2" s="736"/>
      <c r="AH2" s="736"/>
      <c r="AI2" s="736"/>
      <c r="AJ2" s="736">
        <v>2016</v>
      </c>
      <c r="AK2" s="736"/>
      <c r="AL2" s="736"/>
      <c r="AM2" s="736"/>
      <c r="AN2" s="1">
        <v>2017</v>
      </c>
      <c r="AV2" s="736">
        <v>2019</v>
      </c>
      <c r="AW2" s="736"/>
      <c r="AX2" s="736"/>
      <c r="AY2" s="591"/>
      <c r="AZ2" s="736">
        <v>2020</v>
      </c>
      <c r="BA2" s="736"/>
    </row>
    <row r="3" spans="2:62" x14ac:dyDescent="0.3">
      <c r="B3" s="123" t="s">
        <v>7</v>
      </c>
      <c r="C3" s="124" t="s">
        <v>28</v>
      </c>
      <c r="D3" s="124" t="s">
        <v>13</v>
      </c>
      <c r="E3" s="124" t="s">
        <v>14</v>
      </c>
      <c r="F3" s="124" t="s">
        <v>15</v>
      </c>
      <c r="G3" s="124" t="s">
        <v>16</v>
      </c>
      <c r="H3" s="124" t="s">
        <v>17</v>
      </c>
      <c r="I3" s="124" t="s">
        <v>18</v>
      </c>
      <c r="J3" s="124" t="s">
        <v>19</v>
      </c>
      <c r="K3" s="124" t="s">
        <v>20</v>
      </c>
      <c r="L3" s="124" t="s">
        <v>8</v>
      </c>
      <c r="M3" s="124" t="s">
        <v>1</v>
      </c>
      <c r="N3" s="124" t="s">
        <v>33</v>
      </c>
      <c r="O3" s="124" t="s">
        <v>38</v>
      </c>
      <c r="P3" s="124" t="s">
        <v>41</v>
      </c>
      <c r="Q3" s="124" t="s">
        <v>52</v>
      </c>
      <c r="R3" s="124" t="s">
        <v>53</v>
      </c>
      <c r="S3" s="124" t="s">
        <v>54</v>
      </c>
      <c r="T3" s="124" t="s">
        <v>94</v>
      </c>
      <c r="U3" s="124" t="s">
        <v>95</v>
      </c>
      <c r="V3" s="169" t="s">
        <v>99</v>
      </c>
      <c r="W3" s="192" t="s">
        <v>107</v>
      </c>
      <c r="X3" s="199" t="s">
        <v>110</v>
      </c>
      <c r="Y3" s="228" t="s">
        <v>112</v>
      </c>
      <c r="Z3" s="221" t="s">
        <v>116</v>
      </c>
      <c r="AA3" s="221" t="s">
        <v>118</v>
      </c>
      <c r="AB3" s="221" t="s">
        <v>123</v>
      </c>
      <c r="AC3" s="221" t="s">
        <v>124</v>
      </c>
      <c r="AD3" s="221" t="s">
        <v>125</v>
      </c>
      <c r="AE3" s="221" t="s">
        <v>121</v>
      </c>
      <c r="AF3" s="221" t="s">
        <v>120</v>
      </c>
      <c r="AG3" s="221" t="s">
        <v>122</v>
      </c>
      <c r="AH3" s="232" t="s">
        <v>117</v>
      </c>
      <c r="AI3" s="232" t="s">
        <v>121</v>
      </c>
      <c r="AJ3" s="232" t="s">
        <v>120</v>
      </c>
      <c r="AK3" s="232" t="s">
        <v>122</v>
      </c>
      <c r="AL3" s="221" t="s">
        <v>117</v>
      </c>
      <c r="AM3" s="220" t="s">
        <v>121</v>
      </c>
      <c r="AN3" s="220" t="s">
        <v>120</v>
      </c>
      <c r="AO3" s="220" t="s">
        <v>122</v>
      </c>
      <c r="AP3" s="220" t="s">
        <v>117</v>
      </c>
      <c r="AQ3" s="220" t="s">
        <v>121</v>
      </c>
      <c r="AR3" s="238" t="s">
        <v>120</v>
      </c>
      <c r="AS3" s="238" t="s">
        <v>122</v>
      </c>
      <c r="AT3" s="238" t="s">
        <v>117</v>
      </c>
      <c r="AU3" s="238" t="s">
        <v>121</v>
      </c>
      <c r="AV3" s="238" t="s">
        <v>120</v>
      </c>
      <c r="AW3" s="238" t="s">
        <v>122</v>
      </c>
      <c r="AX3" s="238" t="s">
        <v>117</v>
      </c>
      <c r="AY3" s="238" t="s">
        <v>121</v>
      </c>
      <c r="AZ3" s="605" t="s">
        <v>120</v>
      </c>
      <c r="BA3" s="605" t="s">
        <v>122</v>
      </c>
      <c r="BB3" s="605" t="s">
        <v>117</v>
      </c>
      <c r="BC3" s="605" t="s">
        <v>121</v>
      </c>
      <c r="BD3" s="605" t="s">
        <v>120</v>
      </c>
      <c r="BE3" s="605" t="s">
        <v>122</v>
      </c>
      <c r="BF3" s="605" t="s">
        <v>117</v>
      </c>
      <c r="BG3" s="605" t="s">
        <v>121</v>
      </c>
      <c r="BH3" s="605" t="s">
        <v>120</v>
      </c>
      <c r="BI3" s="605" t="s">
        <v>122</v>
      </c>
    </row>
    <row r="4" spans="2:62" ht="16.5" customHeight="1" x14ac:dyDescent="0.3">
      <c r="B4" s="125" t="s">
        <v>2</v>
      </c>
      <c r="C4" s="126">
        <f>4544824.52/B2</f>
        <v>4544.8245199999992</v>
      </c>
      <c r="D4" s="126">
        <f>4517973.33/B2</f>
        <v>4517.9733299999998</v>
      </c>
      <c r="E4" s="126">
        <f>4730839.18/B2</f>
        <v>4730.8391799999999</v>
      </c>
      <c r="F4" s="126">
        <f>4349974.11/B2</f>
        <v>4349.9741100000001</v>
      </c>
      <c r="G4" s="126">
        <f>4039408.8/B2</f>
        <v>4039.4087999999997</v>
      </c>
      <c r="H4" s="126">
        <f>3761093.5/B2</f>
        <v>3761.0934999999999</v>
      </c>
      <c r="I4" s="126">
        <f>3609476.66/B2</f>
        <v>3609.4766600000003</v>
      </c>
      <c r="J4" s="127">
        <f>4386610.74/B2</f>
        <v>4386.6107400000001</v>
      </c>
      <c r="K4" s="126">
        <f>3966338.44/B2</f>
        <v>3966.33844</v>
      </c>
      <c r="L4" s="128">
        <v>3510.3253500000001</v>
      </c>
      <c r="M4" s="128">
        <v>3959.2703999999999</v>
      </c>
      <c r="N4" s="128">
        <v>4295.9474099999998</v>
      </c>
      <c r="O4" s="128">
        <v>4128.0389999999998</v>
      </c>
      <c r="P4" s="129">
        <f>3257+2916+0.26</f>
        <v>6173.26</v>
      </c>
      <c r="Q4" s="129">
        <v>3990</v>
      </c>
      <c r="R4" s="129">
        <v>4129</v>
      </c>
      <c r="S4" s="129">
        <v>3792</v>
      </c>
      <c r="T4" s="129">
        <v>2830</v>
      </c>
      <c r="U4" s="54">
        <v>3793</v>
      </c>
      <c r="V4" s="175">
        <v>3779</v>
      </c>
      <c r="W4" s="1">
        <v>3464</v>
      </c>
      <c r="X4" s="1">
        <v>3172</v>
      </c>
      <c r="Y4" s="220">
        <v>3513</v>
      </c>
      <c r="Z4" s="175">
        <v>3437</v>
      </c>
      <c r="AA4" s="1">
        <v>3018</v>
      </c>
      <c r="AB4" s="1">
        <v>2559</v>
      </c>
      <c r="AC4" s="1">
        <v>2648</v>
      </c>
      <c r="AD4" s="1">
        <v>2725</v>
      </c>
      <c r="AE4" s="1">
        <v>2355.2600000000002</v>
      </c>
      <c r="AF4" s="368">
        <v>2275.65</v>
      </c>
      <c r="AG4" s="368">
        <v>2517.36</v>
      </c>
      <c r="AH4" s="1">
        <v>971</v>
      </c>
      <c r="AI4" s="1">
        <v>2506</v>
      </c>
      <c r="AJ4" s="1">
        <v>2354</v>
      </c>
      <c r="AK4" s="418">
        <v>2446</v>
      </c>
      <c r="AL4" s="175">
        <v>446</v>
      </c>
      <c r="AM4" s="175">
        <v>372</v>
      </c>
      <c r="AN4" s="1">
        <v>329</v>
      </c>
      <c r="AO4" s="1">
        <v>470</v>
      </c>
      <c r="AP4" s="1">
        <v>454</v>
      </c>
      <c r="AQ4" s="1">
        <v>435</v>
      </c>
      <c r="AR4" s="1">
        <v>372</v>
      </c>
      <c r="AS4" s="549">
        <v>467</v>
      </c>
      <c r="AT4" s="549">
        <v>505</v>
      </c>
      <c r="AU4" s="549">
        <v>610</v>
      </c>
      <c r="AV4" s="549">
        <v>0</v>
      </c>
      <c r="AW4" s="549">
        <v>378</v>
      </c>
      <c r="AX4" s="549">
        <v>382</v>
      </c>
      <c r="AY4" s="549">
        <v>319</v>
      </c>
      <c r="AZ4" s="1">
        <v>258</v>
      </c>
      <c r="BA4" s="1">
        <v>267</v>
      </c>
      <c r="BB4" s="1">
        <v>265</v>
      </c>
      <c r="BC4" s="1">
        <v>215</v>
      </c>
      <c r="BD4" s="1">
        <v>176</v>
      </c>
      <c r="BE4" s="1">
        <v>201</v>
      </c>
      <c r="BF4" s="1">
        <v>201</v>
      </c>
      <c r="BG4" s="1">
        <v>201</v>
      </c>
      <c r="BH4" s="1">
        <v>201</v>
      </c>
      <c r="BI4" s="1">
        <v>201</v>
      </c>
    </row>
    <row r="5" spans="2:62" ht="16.5" customHeight="1" x14ac:dyDescent="0.3">
      <c r="B5" s="125" t="s">
        <v>10</v>
      </c>
      <c r="C5" s="126">
        <f>22031743.87/B2</f>
        <v>22031.743870000002</v>
      </c>
      <c r="D5" s="126">
        <f>18253685.67/B2</f>
        <v>18253.685670000003</v>
      </c>
      <c r="E5" s="126">
        <v>16217157.75</v>
      </c>
      <c r="F5" s="126">
        <f>18146451.01/B2</f>
        <v>18146.451010000001</v>
      </c>
      <c r="G5" s="126">
        <f>16901675.53/B2</f>
        <v>16901.67553</v>
      </c>
      <c r="H5" s="126">
        <f>13657732.11/B2</f>
        <v>13657.732109999999</v>
      </c>
      <c r="I5" s="126">
        <f>15881267.29/B2</f>
        <v>15881.26729</v>
      </c>
      <c r="J5" s="127">
        <f>19642835.26/B2</f>
        <v>19642.83526</v>
      </c>
      <c r="K5" s="126">
        <f>17805100.38/B2</f>
        <v>17805.10038</v>
      </c>
      <c r="L5" s="128">
        <v>15231.286300000002</v>
      </c>
      <c r="M5" s="128">
        <v>17220.525109999999</v>
      </c>
      <c r="N5" s="128">
        <v>20176.044539999999</v>
      </c>
      <c r="O5" s="128">
        <v>17700.174999999999</v>
      </c>
      <c r="P5" s="129">
        <v>12862</v>
      </c>
      <c r="Q5" s="129">
        <v>18211</v>
      </c>
      <c r="R5" s="129">
        <v>22449</v>
      </c>
      <c r="S5" s="129">
        <v>19069</v>
      </c>
      <c r="T5" s="129">
        <v>12304</v>
      </c>
      <c r="U5" s="54">
        <v>17139</v>
      </c>
      <c r="V5" s="175">
        <v>20644</v>
      </c>
      <c r="W5" s="1">
        <v>17942</v>
      </c>
      <c r="X5" s="1">
        <v>14791</v>
      </c>
      <c r="Y5" s="220">
        <v>15702</v>
      </c>
      <c r="Z5" s="175">
        <v>18171</v>
      </c>
      <c r="AA5" s="1">
        <v>14728</v>
      </c>
      <c r="AB5" s="1">
        <v>11564</v>
      </c>
      <c r="AC5" s="1">
        <v>12607</v>
      </c>
      <c r="AD5" s="1">
        <v>14649</v>
      </c>
      <c r="AE5" s="1">
        <v>11413.73</v>
      </c>
      <c r="AF5" s="269">
        <v>8908.85</v>
      </c>
      <c r="AG5" s="269">
        <v>10112.620000000001</v>
      </c>
      <c r="AH5" s="1">
        <v>10829</v>
      </c>
      <c r="AI5" s="1">
        <v>10577</v>
      </c>
      <c r="AJ5" s="1">
        <v>8675</v>
      </c>
      <c r="AK5" s="1">
        <v>7894</v>
      </c>
      <c r="AL5" s="175">
        <v>9542</v>
      </c>
      <c r="AM5" s="175">
        <v>7561</v>
      </c>
      <c r="AN5" s="1">
        <v>6440</v>
      </c>
      <c r="AO5" s="175">
        <v>8583</v>
      </c>
      <c r="AP5" s="1">
        <v>8507</v>
      </c>
      <c r="AQ5" s="1">
        <v>6720</v>
      </c>
      <c r="AR5" s="1">
        <v>5514</v>
      </c>
      <c r="AS5" s="549">
        <v>7390</v>
      </c>
      <c r="AT5" s="175">
        <v>7885</v>
      </c>
      <c r="AU5" s="175">
        <v>5767</v>
      </c>
      <c r="AV5" s="175">
        <v>4599</v>
      </c>
      <c r="AW5" s="175">
        <v>4914</v>
      </c>
      <c r="AX5" s="175">
        <v>5040</v>
      </c>
      <c r="AY5" s="175">
        <v>4302</v>
      </c>
      <c r="AZ5" s="1">
        <v>3724</v>
      </c>
      <c r="BA5" s="1">
        <v>3742</v>
      </c>
      <c r="BB5" s="1">
        <v>3741</v>
      </c>
      <c r="BC5" s="1">
        <v>2693</v>
      </c>
      <c r="BD5" s="1">
        <v>2175</v>
      </c>
      <c r="BE5" s="1">
        <v>2530</v>
      </c>
      <c r="BF5" s="1">
        <v>2530</v>
      </c>
      <c r="BG5" s="1">
        <v>2530</v>
      </c>
      <c r="BH5" s="1">
        <v>2530</v>
      </c>
      <c r="BI5" s="1">
        <v>2530</v>
      </c>
    </row>
    <row r="6" spans="2:62" ht="16.5" customHeight="1" x14ac:dyDescent="0.3">
      <c r="B6" s="125" t="s">
        <v>92</v>
      </c>
      <c r="C6" s="126"/>
      <c r="D6" s="126"/>
      <c r="E6" s="126"/>
      <c r="F6" s="126"/>
      <c r="G6" s="126"/>
      <c r="H6" s="126"/>
      <c r="I6" s="126"/>
      <c r="J6" s="127"/>
      <c r="K6" s="126"/>
      <c r="L6" s="128">
        <v>7550.9070700000002</v>
      </c>
      <c r="M6" s="128">
        <v>8685.0316899999998</v>
      </c>
      <c r="N6" s="128">
        <v>9959.24</v>
      </c>
      <c r="O6" s="130">
        <v>9787</v>
      </c>
      <c r="P6" s="131">
        <v>8907</v>
      </c>
      <c r="Q6" s="131">
        <v>9690</v>
      </c>
      <c r="R6" s="131">
        <v>9847</v>
      </c>
      <c r="S6" s="131">
        <v>8793</v>
      </c>
      <c r="T6" s="131">
        <f>7778</f>
        <v>7778</v>
      </c>
      <c r="U6" s="54">
        <v>7436</v>
      </c>
      <c r="V6" s="1">
        <v>8020</v>
      </c>
      <c r="W6" s="1">
        <v>6794</v>
      </c>
      <c r="X6" s="1">
        <v>5653</v>
      </c>
      <c r="Y6" s="220">
        <v>5967</v>
      </c>
      <c r="Z6" s="175">
        <v>6160</v>
      </c>
      <c r="AA6" s="1">
        <v>5180</v>
      </c>
      <c r="AB6" s="1">
        <v>3609</v>
      </c>
      <c r="AC6" s="1">
        <v>3709</v>
      </c>
      <c r="AD6" s="1">
        <v>3567</v>
      </c>
      <c r="AE6" s="1">
        <v>2850.7</v>
      </c>
      <c r="AF6" s="269">
        <v>2231</v>
      </c>
      <c r="AG6" s="269">
        <v>2112.6</v>
      </c>
      <c r="AH6" s="269">
        <v>2250.1999999999998</v>
      </c>
      <c r="AI6" s="269">
        <v>1643</v>
      </c>
      <c r="AJ6" s="1">
        <v>1381.7</v>
      </c>
      <c r="AK6" s="1">
        <v>1392.66</v>
      </c>
      <c r="AL6" s="175">
        <v>1546.9</v>
      </c>
      <c r="AM6" s="175">
        <v>1232.0999999999999</v>
      </c>
      <c r="AN6" s="1">
        <v>1138.5</v>
      </c>
      <c r="AO6" s="1">
        <v>1213.7</v>
      </c>
      <c r="AP6" s="1">
        <v>1213.0999999999999</v>
      </c>
      <c r="AQ6" s="1">
        <v>1037.0999999999999</v>
      </c>
      <c r="AR6" s="1">
        <v>939.97</v>
      </c>
      <c r="AS6" s="549">
        <v>1115.857</v>
      </c>
      <c r="AT6" s="549">
        <v>1209.31</v>
      </c>
      <c r="AU6" s="549">
        <v>1209.31</v>
      </c>
      <c r="AV6" s="549">
        <v>1209.31</v>
      </c>
      <c r="AW6" s="549">
        <v>1119.2</v>
      </c>
      <c r="AX6" s="549">
        <v>1119.2</v>
      </c>
      <c r="AY6" s="549">
        <v>1191.0999999999999</v>
      </c>
      <c r="AZ6" s="1">
        <v>1203.2</v>
      </c>
      <c r="BA6" s="1">
        <v>1156.7</v>
      </c>
      <c r="BB6" s="1">
        <v>1381.2</v>
      </c>
      <c r="BC6" s="1">
        <v>1149.9000000000001</v>
      </c>
      <c r="BD6" s="624">
        <v>1141.4000000000001</v>
      </c>
      <c r="BE6" s="624">
        <v>1210.8</v>
      </c>
      <c r="BF6" s="624">
        <v>541.83000000000004</v>
      </c>
      <c r="BG6" s="624">
        <v>1330.6</v>
      </c>
      <c r="BH6" s="624">
        <v>1095.0999999999999</v>
      </c>
      <c r="BI6" s="624">
        <v>1232.2</v>
      </c>
      <c r="BJ6" s="1">
        <v>6.1</v>
      </c>
    </row>
    <row r="7" spans="2:62" x14ac:dyDescent="0.3">
      <c r="B7" s="125" t="s">
        <v>85</v>
      </c>
      <c r="C7" s="126"/>
      <c r="D7" s="126"/>
      <c r="E7" s="126"/>
      <c r="F7" s="126"/>
      <c r="G7" s="126"/>
      <c r="H7" s="126"/>
      <c r="I7" s="126"/>
      <c r="J7" s="127"/>
      <c r="K7" s="126"/>
      <c r="L7" s="128"/>
      <c r="M7" s="128"/>
      <c r="N7" s="128"/>
      <c r="O7" s="130"/>
      <c r="P7" s="131"/>
      <c r="Q7" s="131"/>
      <c r="R7" s="131"/>
      <c r="S7" s="131"/>
      <c r="T7" s="131">
        <f>713+958</f>
        <v>1671</v>
      </c>
      <c r="U7" s="54">
        <v>1664</v>
      </c>
      <c r="V7" s="1">
        <v>2816</v>
      </c>
      <c r="W7" s="1">
        <v>1423</v>
      </c>
      <c r="X7" s="1">
        <v>740</v>
      </c>
      <c r="Y7" s="220">
        <v>906</v>
      </c>
      <c r="Z7" s="175">
        <v>1772</v>
      </c>
      <c r="AA7" s="1">
        <v>1817</v>
      </c>
      <c r="AB7" s="1">
        <v>626</v>
      </c>
      <c r="AC7" s="1">
        <v>763</v>
      </c>
      <c r="AD7" s="1">
        <v>1467</v>
      </c>
      <c r="AE7" s="1">
        <v>606</v>
      </c>
      <c r="AF7" s="1">
        <v>469</v>
      </c>
      <c r="AG7" s="1">
        <v>502.7</v>
      </c>
      <c r="AH7" s="382">
        <v>3719</v>
      </c>
      <c r="AI7" s="269">
        <f>451.7+69.3+1438.2</f>
        <v>1959.2</v>
      </c>
      <c r="AJ7" s="1">
        <v>1411</v>
      </c>
      <c r="AK7" s="1">
        <v>1129.9000000000001</v>
      </c>
      <c r="AL7" s="175">
        <v>1541</v>
      </c>
      <c r="AM7" s="175">
        <v>772</v>
      </c>
      <c r="AN7" s="1">
        <v>270.7</v>
      </c>
      <c r="AO7" s="1">
        <v>270.7</v>
      </c>
      <c r="AP7" s="1">
        <v>682.2</v>
      </c>
      <c r="AQ7" s="1">
        <v>260.2</v>
      </c>
      <c r="AR7" s="1">
        <v>231.2</v>
      </c>
      <c r="AS7" s="549">
        <v>279</v>
      </c>
      <c r="AT7" s="549">
        <v>279</v>
      </c>
      <c r="AU7" s="549">
        <v>279</v>
      </c>
      <c r="AV7" s="549">
        <v>279</v>
      </c>
      <c r="AW7" s="549">
        <v>249.1</v>
      </c>
      <c r="AX7" s="549">
        <v>249.1</v>
      </c>
      <c r="AY7" s="549">
        <v>145.9</v>
      </c>
      <c r="AZ7" s="1">
        <v>103.8</v>
      </c>
      <c r="BA7" s="1">
        <v>76.099999999999994</v>
      </c>
      <c r="BB7" s="1">
        <v>192.98</v>
      </c>
      <c r="BC7" s="1">
        <v>258.51</v>
      </c>
      <c r="BE7" s="1">
        <v>8.3000000000000007</v>
      </c>
      <c r="BF7" s="1">
        <v>247.23</v>
      </c>
      <c r="BG7" s="1">
        <v>97.1</v>
      </c>
      <c r="BH7" s="1">
        <v>86.4</v>
      </c>
      <c r="BI7" s="1">
        <v>427.5</v>
      </c>
      <c r="BJ7" s="1">
        <v>7.3</v>
      </c>
    </row>
    <row r="8" spans="2:62" x14ac:dyDescent="0.3">
      <c r="B8" s="125" t="s">
        <v>93</v>
      </c>
      <c r="C8" s="126"/>
      <c r="D8" s="126"/>
      <c r="E8" s="126"/>
      <c r="F8" s="126"/>
      <c r="G8" s="126"/>
      <c r="H8" s="126"/>
      <c r="I8" s="126"/>
      <c r="J8" s="127"/>
      <c r="K8" s="126"/>
      <c r="L8" s="128"/>
      <c r="M8" s="128"/>
      <c r="N8" s="128"/>
      <c r="O8" s="130"/>
      <c r="P8" s="131"/>
      <c r="Q8" s="131"/>
      <c r="R8" s="131"/>
      <c r="S8" s="131"/>
      <c r="T8" s="131">
        <v>4721</v>
      </c>
      <c r="U8" s="54">
        <v>780</v>
      </c>
      <c r="V8" s="1">
        <v>1579</v>
      </c>
      <c r="W8" s="1">
        <f>31162-SUM(W4:W7)</f>
        <v>1539</v>
      </c>
      <c r="X8" s="1">
        <v>2156</v>
      </c>
      <c r="Y8" s="220">
        <v>2012</v>
      </c>
      <c r="Z8" s="175">
        <v>2842</v>
      </c>
      <c r="AA8" s="1">
        <v>2573</v>
      </c>
      <c r="AB8" s="290">
        <v>1991.9905399999989</v>
      </c>
      <c r="AC8" s="1">
        <v>1720</v>
      </c>
      <c r="AD8" s="1">
        <v>2937</v>
      </c>
      <c r="AE8" s="1">
        <v>1851.58</v>
      </c>
      <c r="AF8" s="299">
        <v>1711.5</v>
      </c>
      <c r="AG8" s="1">
        <v>2058</v>
      </c>
      <c r="AH8" s="1">
        <v>4945</v>
      </c>
      <c r="AI8" s="1">
        <v>15.1</v>
      </c>
      <c r="AJ8" s="383">
        <f>AJ9-AJ4-AJ5-AJ6-AJ7</f>
        <v>1146.3100000000004</v>
      </c>
      <c r="AK8" s="383">
        <f>AK9-AK4-AK5-AK6-AK7</f>
        <v>3514.5500000000006</v>
      </c>
      <c r="AL8" s="175">
        <v>4836.8</v>
      </c>
      <c r="AM8" s="175">
        <v>5685.08</v>
      </c>
      <c r="AN8" s="1">
        <v>3424.54</v>
      </c>
      <c r="AO8" s="1">
        <v>3906.65</v>
      </c>
      <c r="AP8" s="1">
        <v>7886.39</v>
      </c>
      <c r="AQ8" s="1">
        <v>5898.27</v>
      </c>
      <c r="AR8" s="1">
        <v>5725.26</v>
      </c>
      <c r="AS8" s="1">
        <v>4146.1400000000003</v>
      </c>
      <c r="AT8" s="1">
        <v>7375.16</v>
      </c>
      <c r="AU8" s="1">
        <v>4721.53</v>
      </c>
      <c r="AV8" s="1">
        <v>4449.53</v>
      </c>
      <c r="AW8" s="1">
        <v>5948.26</v>
      </c>
      <c r="AX8" s="1">
        <v>5818.25</v>
      </c>
      <c r="AY8" s="1">
        <v>4228.57</v>
      </c>
      <c r="AZ8" s="383">
        <v>5327.87</v>
      </c>
      <c r="BD8" s="1">
        <v>90.7</v>
      </c>
      <c r="BE8" s="1">
        <v>5684.41</v>
      </c>
      <c r="BF8" s="1">
        <v>8525.07</v>
      </c>
      <c r="BG8" s="1">
        <v>7007.45</v>
      </c>
      <c r="BH8" s="1">
        <v>5325.03</v>
      </c>
      <c r="BI8" s="1">
        <v>6610.89</v>
      </c>
    </row>
    <row r="9" spans="2:62" x14ac:dyDescent="0.3">
      <c r="B9" s="60" t="s">
        <v>29</v>
      </c>
      <c r="C9" s="61">
        <f>39217807.24/B2</f>
        <v>39217.807240000002</v>
      </c>
      <c r="D9" s="61">
        <f>33685568.51/B2</f>
        <v>33685.568509999997</v>
      </c>
      <c r="E9" s="61">
        <f>31487381.83/B2</f>
        <v>31487.381829999998</v>
      </c>
      <c r="F9" s="61">
        <f>35487625.36/B2</f>
        <v>35487.625359999998</v>
      </c>
      <c r="G9" s="61">
        <f>32646022.09/B2</f>
        <v>32646.022089999999</v>
      </c>
      <c r="H9" s="61">
        <f>25726080.45/B2</f>
        <v>25726.080449999998</v>
      </c>
      <c r="I9" s="61">
        <f>28023326.58/B2</f>
        <v>28023.326579999997</v>
      </c>
      <c r="J9" s="61">
        <f>35195026.44/B2</f>
        <v>35195.026439999994</v>
      </c>
      <c r="K9" s="61">
        <f>31257751.42/B2</f>
        <v>31257.751420000001</v>
      </c>
      <c r="L9" s="62">
        <f>L6+L5+L4</f>
        <v>26292.51872</v>
      </c>
      <c r="M9" s="63">
        <f>M6+M5+M4</f>
        <v>29864.8272</v>
      </c>
      <c r="N9" s="63">
        <f>N6+N5+N4</f>
        <v>34431.231950000001</v>
      </c>
      <c r="O9" s="63">
        <f>O6+O5+O4</f>
        <v>31615.214</v>
      </c>
      <c r="P9" s="63">
        <f>SUM(P4:P6)</f>
        <v>27942.260000000002</v>
      </c>
      <c r="Q9" s="63">
        <f>SUM(Q4:Q6)</f>
        <v>31891</v>
      </c>
      <c r="R9" s="63">
        <f>SUM(R4:R6)</f>
        <v>36425</v>
      </c>
      <c r="S9" s="196">
        <f>SUM(S4:S6)</f>
        <v>31654</v>
      </c>
      <c r="T9" s="196">
        <f t="shared" ref="T9:Y9" si="0">SUM(T4:T8)</f>
        <v>29304</v>
      </c>
      <c r="U9" s="197">
        <f t="shared" si="0"/>
        <v>30812</v>
      </c>
      <c r="V9" s="197">
        <f t="shared" si="0"/>
        <v>36838</v>
      </c>
      <c r="W9" s="231">
        <f t="shared" si="0"/>
        <v>31162</v>
      </c>
      <c r="X9" s="231">
        <f>SUM(X4:X8)</f>
        <v>26512</v>
      </c>
      <c r="Y9" s="230">
        <f t="shared" si="0"/>
        <v>28100</v>
      </c>
      <c r="Z9" s="221">
        <v>32382</v>
      </c>
      <c r="AA9" s="286">
        <f>AA8+AA7+AA6+AA5+AA4</f>
        <v>27316</v>
      </c>
      <c r="AB9" s="286">
        <v>20349.990539999999</v>
      </c>
      <c r="AC9" s="286">
        <v>21447</v>
      </c>
      <c r="AD9" s="286">
        <f>SUM(AD4:AD8)</f>
        <v>25345</v>
      </c>
      <c r="AE9" s="286">
        <f>SUM(AE4:AE8)</f>
        <v>19077.269999999997</v>
      </c>
      <c r="AF9" s="414">
        <v>15596</v>
      </c>
      <c r="AG9" s="414">
        <f>SUM(AG4:AG8)</f>
        <v>17303.280000000002</v>
      </c>
      <c r="AH9" s="415">
        <f>SUM(AH4:AH8)</f>
        <v>22714.2</v>
      </c>
      <c r="AI9" s="415">
        <v>16700.3</v>
      </c>
      <c r="AJ9" s="415">
        <v>14968.01</v>
      </c>
      <c r="AK9" s="419">
        <v>16377.11</v>
      </c>
      <c r="AL9" s="446">
        <v>17911.88</v>
      </c>
      <c r="AM9" s="446">
        <v>15622.18</v>
      </c>
      <c r="AN9" s="463">
        <v>11602.74</v>
      </c>
      <c r="AO9" s="463">
        <v>14444.05</v>
      </c>
      <c r="AP9" s="501">
        <v>18742.689999999999</v>
      </c>
      <c r="AQ9" s="463">
        <v>14350.57</v>
      </c>
      <c r="AR9" s="463">
        <v>12782.43</v>
      </c>
      <c r="AS9" s="463">
        <v>13398</v>
      </c>
      <c r="AT9" s="463">
        <v>17253.47</v>
      </c>
      <c r="AU9" s="463">
        <v>12586.84</v>
      </c>
      <c r="AV9" s="463">
        <v>10536.84</v>
      </c>
      <c r="AW9" s="463">
        <v>12608.56</v>
      </c>
      <c r="AX9" s="463">
        <v>12608.55</v>
      </c>
      <c r="AY9" s="463">
        <v>10186.57</v>
      </c>
      <c r="AZ9" s="463">
        <v>9300.17</v>
      </c>
      <c r="BA9" s="463">
        <v>8978.73</v>
      </c>
      <c r="BB9" s="463">
        <v>9293.11708</v>
      </c>
      <c r="BC9" s="463">
        <v>10587.56</v>
      </c>
      <c r="BD9" s="463">
        <v>9148.7900000000009</v>
      </c>
      <c r="BE9" s="463">
        <v>9634.51</v>
      </c>
      <c r="BF9" s="463">
        <v>11844.13</v>
      </c>
      <c r="BG9" s="463">
        <v>11166.15</v>
      </c>
      <c r="BH9" s="463">
        <v>9237.5300000000007</v>
      </c>
      <c r="BI9" s="463">
        <v>11001.59</v>
      </c>
    </row>
    <row r="10" spans="2:62" x14ac:dyDescent="0.3">
      <c r="B10" s="60"/>
      <c r="C10" s="61"/>
      <c r="D10" s="76">
        <f>D9+E9+F9+G9</f>
        <v>133306.59778999997</v>
      </c>
      <c r="E10" s="61"/>
      <c r="F10" s="61"/>
      <c r="G10" s="61"/>
      <c r="H10" s="76">
        <f>H9+I9+J9+K9</f>
        <v>120202.18488999999</v>
      </c>
      <c r="I10" s="61"/>
      <c r="J10" s="61"/>
      <c r="K10" s="61"/>
      <c r="L10" s="62"/>
      <c r="M10" s="63"/>
      <c r="N10" s="63"/>
      <c r="O10" s="63">
        <f>O9+N9+M9+L9</f>
        <v>122203.79186999999</v>
      </c>
      <c r="P10" s="63"/>
      <c r="Q10" s="63"/>
      <c r="R10" s="63"/>
      <c r="S10" s="63">
        <f>S9+R9+Q9+P9</f>
        <v>127912.26000000001</v>
      </c>
      <c r="T10" s="63"/>
      <c r="U10" s="63"/>
      <c r="V10" s="63"/>
      <c r="W10" s="290">
        <f>SUM(T9:W9)</f>
        <v>128116</v>
      </c>
      <c r="AA10" s="295">
        <f>SUM(X9:AA9)</f>
        <v>114310</v>
      </c>
      <c r="AB10" s="287"/>
      <c r="AE10" s="290">
        <f>SUM(AB9:AE9)</f>
        <v>86219.260539999988</v>
      </c>
      <c r="AI10" s="287">
        <f>SUM(AF9:AI9)</f>
        <v>72313.78</v>
      </c>
      <c r="AM10" s="383">
        <f>SUM(AJ9:AM9)</f>
        <v>64879.18</v>
      </c>
    </row>
    <row r="11" spans="2:62" x14ac:dyDescent="0.3">
      <c r="B11" s="60"/>
      <c r="C11" s="61"/>
      <c r="D11" s="61"/>
      <c r="E11" s="61"/>
      <c r="F11" s="61"/>
      <c r="G11" s="61"/>
      <c r="H11" s="61"/>
      <c r="I11" s="61"/>
      <c r="J11" s="61"/>
      <c r="K11" s="61"/>
      <c r="L11" s="62">
        <f>L9/$O$10</f>
        <v>0.21515305145334523</v>
      </c>
      <c r="M11" s="62">
        <f>M9/$O$10</f>
        <v>0.24438543798845547</v>
      </c>
      <c r="N11" s="62">
        <f>N9/$O$10</f>
        <v>0.28175256612845401</v>
      </c>
      <c r="O11" s="62">
        <f>O9/$O$10</f>
        <v>0.2587089444297454</v>
      </c>
      <c r="P11" s="71">
        <f>P9/$S$10</f>
        <v>0.21844864597029245</v>
      </c>
      <c r="Q11" s="71">
        <f>Q9/$S$10</f>
        <v>0.24931933811504853</v>
      </c>
      <c r="R11" s="71">
        <f>R9/$S$10</f>
        <v>0.28476551035842851</v>
      </c>
      <c r="S11" s="71">
        <f>S9/$S$10</f>
        <v>0.24746650555623048</v>
      </c>
      <c r="T11" s="63"/>
      <c r="U11" s="63"/>
      <c r="V11" s="63"/>
      <c r="AB11" s="287"/>
      <c r="AE11" s="309">
        <f>(AD9-AC9)/AC9</f>
        <v>0.18175036135590059</v>
      </c>
      <c r="AH11" s="290"/>
    </row>
    <row r="12" spans="2:62" x14ac:dyDescent="0.3">
      <c r="L12" s="115"/>
      <c r="M12" s="115"/>
      <c r="N12" s="115"/>
      <c r="P12" s="115"/>
      <c r="Q12" s="115"/>
      <c r="R12" s="115"/>
      <c r="S12" s="115"/>
      <c r="T12" s="55"/>
      <c r="U12" s="54"/>
      <c r="AB12" s="287"/>
      <c r="AF12" s="269"/>
    </row>
    <row r="13" spans="2:62" x14ac:dyDescent="0.3">
      <c r="L13" s="115"/>
      <c r="M13" s="115"/>
      <c r="N13" s="115"/>
      <c r="P13" s="115"/>
      <c r="Q13" s="115"/>
      <c r="R13" s="115"/>
      <c r="S13" s="115"/>
      <c r="T13" s="55"/>
      <c r="U13" s="54"/>
      <c r="AB13" s="287"/>
      <c r="AJ13" s="736">
        <v>2016</v>
      </c>
      <c r="AK13" s="736"/>
      <c r="AL13" s="736"/>
      <c r="AM13" s="736"/>
      <c r="AN13" s="1">
        <v>2017</v>
      </c>
      <c r="AV13" s="736">
        <v>2019</v>
      </c>
      <c r="AW13" s="736"/>
      <c r="AX13" s="736"/>
      <c r="AY13" s="591"/>
      <c r="AZ13" s="736">
        <v>2020</v>
      </c>
      <c r="BA13" s="736"/>
      <c r="BD13" s="736">
        <v>2021</v>
      </c>
      <c r="BE13" s="736"/>
      <c r="BF13" s="677"/>
      <c r="BG13" s="682"/>
      <c r="BH13" s="691">
        <v>2022</v>
      </c>
      <c r="BI13" s="697"/>
    </row>
    <row r="14" spans="2:62" x14ac:dyDescent="0.3">
      <c r="B14" s="123" t="s">
        <v>86</v>
      </c>
      <c r="C14" s="124" t="s">
        <v>28</v>
      </c>
      <c r="D14" s="124" t="s">
        <v>13</v>
      </c>
      <c r="E14" s="124" t="s">
        <v>14</v>
      </c>
      <c r="F14" s="124" t="s">
        <v>15</v>
      </c>
      <c r="G14" s="124" t="s">
        <v>16</v>
      </c>
      <c r="H14" s="124" t="s">
        <v>17</v>
      </c>
      <c r="I14" s="124" t="s">
        <v>18</v>
      </c>
      <c r="J14" s="124" t="s">
        <v>19</v>
      </c>
      <c r="K14" s="124" t="s">
        <v>20</v>
      </c>
      <c r="L14" s="132" t="s">
        <v>8</v>
      </c>
      <c r="M14" s="132" t="s">
        <v>1</v>
      </c>
      <c r="N14" s="132" t="s">
        <v>33</v>
      </c>
      <c r="O14" s="132" t="s">
        <v>38</v>
      </c>
      <c r="P14" s="132" t="s">
        <v>41</v>
      </c>
      <c r="Q14" s="132" t="s">
        <v>52</v>
      </c>
      <c r="R14" s="132" t="s">
        <v>53</v>
      </c>
      <c r="S14" s="132" t="s">
        <v>54</v>
      </c>
      <c r="T14" s="132" t="s">
        <v>94</v>
      </c>
      <c r="U14" s="132" t="s">
        <v>95</v>
      </c>
      <c r="V14" s="132" t="s">
        <v>99</v>
      </c>
      <c r="W14" s="132" t="s">
        <v>107</v>
      </c>
      <c r="X14" s="199" t="s">
        <v>110</v>
      </c>
      <c r="Y14" s="221" t="s">
        <v>112</v>
      </c>
      <c r="Z14" s="221" t="s">
        <v>116</v>
      </c>
      <c r="AA14" s="221" t="s">
        <v>118</v>
      </c>
      <c r="AB14" s="221" t="s">
        <v>123</v>
      </c>
      <c r="AC14" s="221" t="s">
        <v>124</v>
      </c>
      <c r="AD14" s="221" t="s">
        <v>125</v>
      </c>
      <c r="AE14" s="221" t="s">
        <v>119</v>
      </c>
      <c r="AF14" s="221" t="s">
        <v>120</v>
      </c>
      <c r="AG14" s="232" t="s">
        <v>122</v>
      </c>
      <c r="AH14" s="232" t="s">
        <v>117</v>
      </c>
      <c r="AI14" s="232" t="s">
        <v>121</v>
      </c>
      <c r="AJ14" s="232" t="s">
        <v>120</v>
      </c>
      <c r="AK14" s="232" t="s">
        <v>122</v>
      </c>
      <c r="AL14" s="221" t="s">
        <v>117</v>
      </c>
      <c r="AM14" s="221" t="s">
        <v>121</v>
      </c>
      <c r="AN14" s="221" t="s">
        <v>120</v>
      </c>
      <c r="AO14" s="220" t="s">
        <v>122</v>
      </c>
      <c r="AP14" s="220" t="s">
        <v>117</v>
      </c>
      <c r="AQ14" s="220" t="s">
        <v>121</v>
      </c>
      <c r="AR14" s="238" t="s">
        <v>120</v>
      </c>
      <c r="AS14" s="238" t="s">
        <v>122</v>
      </c>
      <c r="AT14" s="238" t="s">
        <v>117</v>
      </c>
      <c r="AU14" s="238" t="s">
        <v>121</v>
      </c>
      <c r="AV14" s="238" t="s">
        <v>120</v>
      </c>
      <c r="AW14" s="238" t="s">
        <v>122</v>
      </c>
      <c r="AX14" s="238" t="s">
        <v>117</v>
      </c>
      <c r="AY14" s="238" t="s">
        <v>121</v>
      </c>
      <c r="AZ14" s="605" t="s">
        <v>120</v>
      </c>
      <c r="BA14" s="605" t="s">
        <v>122</v>
      </c>
      <c r="BB14" s="605" t="s">
        <v>117</v>
      </c>
      <c r="BC14" s="605" t="s">
        <v>121</v>
      </c>
      <c r="BD14" s="605" t="s">
        <v>120</v>
      </c>
      <c r="BE14" s="605" t="s">
        <v>122</v>
      </c>
      <c r="BF14" s="605" t="s">
        <v>117</v>
      </c>
      <c r="BG14" s="605" t="s">
        <v>121</v>
      </c>
      <c r="BH14" s="605" t="s">
        <v>191</v>
      </c>
      <c r="BI14" s="605" t="s">
        <v>122</v>
      </c>
    </row>
    <row r="15" spans="2:62" x14ac:dyDescent="0.3">
      <c r="B15" s="133" t="s">
        <v>2</v>
      </c>
      <c r="C15" s="118">
        <v>2.5306830100000002</v>
      </c>
      <c r="D15" s="118">
        <v>7.5579999999999998</v>
      </c>
      <c r="E15" s="118">
        <v>20.376000000000001</v>
      </c>
      <c r="F15" s="118">
        <v>35.149000000000001</v>
      </c>
      <c r="G15" s="118">
        <v>95.533000000000001</v>
      </c>
      <c r="H15" s="118">
        <v>93.903000000000006</v>
      </c>
      <c r="I15" s="118">
        <v>93.765000000000001</v>
      </c>
      <c r="J15" s="118">
        <v>518.16700000000003</v>
      </c>
      <c r="K15" s="134">
        <v>512.15099999999995</v>
      </c>
      <c r="L15" s="134">
        <v>269</v>
      </c>
      <c r="M15" s="134">
        <v>147.84</v>
      </c>
      <c r="N15" s="134">
        <v>572.98</v>
      </c>
      <c r="O15" s="134">
        <v>546</v>
      </c>
      <c r="P15" s="134">
        <v>970</v>
      </c>
      <c r="Q15" s="134">
        <v>1121</v>
      </c>
      <c r="R15" s="134">
        <v>1294</v>
      </c>
      <c r="S15" s="135">
        <v>1263.29</v>
      </c>
      <c r="T15" s="135">
        <v>1432</v>
      </c>
      <c r="U15" s="119">
        <f>36+1417</f>
        <v>1453</v>
      </c>
      <c r="V15" s="1">
        <f>39+1534</f>
        <v>1573</v>
      </c>
      <c r="W15" s="1">
        <f>32+1397</f>
        <v>1429</v>
      </c>
      <c r="X15" s="1">
        <f>1350+30</f>
        <v>1380</v>
      </c>
      <c r="Y15" s="220">
        <v>1567</v>
      </c>
      <c r="Z15" s="268">
        <v>1707</v>
      </c>
      <c r="AA15" s="1">
        <v>1874</v>
      </c>
      <c r="AB15" s="290">
        <v>1541</v>
      </c>
      <c r="AC15" s="1">
        <f>374+1549</f>
        <v>1923</v>
      </c>
      <c r="AD15" s="175">
        <f>213+1588</f>
        <v>1801</v>
      </c>
      <c r="AE15" s="269">
        <v>1843.41099921</v>
      </c>
      <c r="AF15" s="1">
        <v>1759</v>
      </c>
      <c r="AG15" s="1">
        <f>304+1640</f>
        <v>1944</v>
      </c>
      <c r="AH15" s="1">
        <v>2180</v>
      </c>
      <c r="AI15" s="1">
        <f>365+1584</f>
        <v>1949</v>
      </c>
      <c r="AJ15" s="1">
        <v>1889</v>
      </c>
      <c r="AK15" s="1">
        <f>422+1315</f>
        <v>1737</v>
      </c>
      <c r="AL15" s="1">
        <v>1789</v>
      </c>
      <c r="AM15" s="1">
        <v>1673</v>
      </c>
      <c r="AN15" s="175">
        <v>1750</v>
      </c>
      <c r="AO15" s="175">
        <v>1965</v>
      </c>
      <c r="AP15" s="1">
        <v>1983</v>
      </c>
      <c r="AQ15" s="1">
        <v>1913</v>
      </c>
      <c r="AR15" s="1">
        <v>1834.8</v>
      </c>
      <c r="AS15" s="1">
        <v>2017</v>
      </c>
      <c r="AT15" s="1">
        <v>2387</v>
      </c>
      <c r="AU15" s="175">
        <v>2363</v>
      </c>
      <c r="AV15" s="175">
        <v>2131</v>
      </c>
      <c r="AW15" s="175">
        <v>2308</v>
      </c>
      <c r="AX15" s="175">
        <v>2518</v>
      </c>
      <c r="AY15" s="175">
        <v>2507</v>
      </c>
      <c r="AZ15" s="1">
        <v>2511</v>
      </c>
      <c r="BA15" s="1">
        <v>2444</v>
      </c>
      <c r="BB15" s="1">
        <v>2646.8</v>
      </c>
      <c r="BC15" s="1">
        <v>2564</v>
      </c>
      <c r="BD15" s="1">
        <v>2614</v>
      </c>
      <c r="BE15" s="1">
        <v>2869</v>
      </c>
      <c r="BF15" s="1">
        <v>3257</v>
      </c>
      <c r="BG15" s="1">
        <v>3319</v>
      </c>
      <c r="BH15" s="1">
        <v>3267</v>
      </c>
      <c r="BI15" s="1">
        <v>3621</v>
      </c>
    </row>
    <row r="16" spans="2:62" x14ac:dyDescent="0.3">
      <c r="B16" s="133" t="s">
        <v>10</v>
      </c>
      <c r="C16" s="118">
        <v>764.69100000000003</v>
      </c>
      <c r="D16" s="118">
        <v>3480.9580000000001</v>
      </c>
      <c r="E16" s="118">
        <v>6525.5029999999997</v>
      </c>
      <c r="F16" s="118">
        <v>9242.8719999999994</v>
      </c>
      <c r="G16" s="118">
        <v>8631.482</v>
      </c>
      <c r="H16" s="118">
        <v>7836.69</v>
      </c>
      <c r="I16" s="118">
        <v>8142.7</v>
      </c>
      <c r="J16" s="118">
        <v>14131.353999999999</v>
      </c>
      <c r="K16" s="134">
        <v>15358.004999999999</v>
      </c>
      <c r="L16" s="134">
        <v>4698</v>
      </c>
      <c r="M16" s="134">
        <v>5095.1399999999994</v>
      </c>
      <c r="N16" s="134">
        <v>8081.9600000000009</v>
      </c>
      <c r="O16" s="134">
        <v>7107</v>
      </c>
      <c r="P16" s="134">
        <v>5543</v>
      </c>
      <c r="Q16" s="134">
        <v>6011</v>
      </c>
      <c r="R16" s="134">
        <v>7050</v>
      </c>
      <c r="S16" s="135">
        <v>5291.2199999999993</v>
      </c>
      <c r="T16" s="135">
        <v>5108</v>
      </c>
      <c r="U16" s="119">
        <f>290+5174</f>
        <v>5464</v>
      </c>
      <c r="V16" s="1">
        <f>6567+328</f>
        <v>6895</v>
      </c>
      <c r="W16" s="1">
        <f>5116+308</f>
        <v>5424</v>
      </c>
      <c r="X16" s="1">
        <f>4794+296</f>
        <v>5090</v>
      </c>
      <c r="Y16" s="220">
        <v>5497</v>
      </c>
      <c r="Z16" s="268">
        <v>5618.9</v>
      </c>
      <c r="AA16" s="1">
        <v>5714</v>
      </c>
      <c r="AB16" s="290">
        <v>5436</v>
      </c>
      <c r="AC16" s="1">
        <f>5565+150</f>
        <v>5715</v>
      </c>
      <c r="AD16" s="175">
        <f>7629+393</f>
        <v>8022</v>
      </c>
      <c r="AE16" s="269">
        <v>6287.4332280765602</v>
      </c>
      <c r="AF16" s="1">
        <v>5754</v>
      </c>
      <c r="AG16" s="1">
        <f>5122+402</f>
        <v>5524</v>
      </c>
      <c r="AH16" s="1">
        <v>7525</v>
      </c>
      <c r="AI16" s="1">
        <f>5260+421</f>
        <v>5681</v>
      </c>
      <c r="AJ16" s="1">
        <v>5157</v>
      </c>
      <c r="AK16" s="1">
        <f>4554+382</f>
        <v>4936</v>
      </c>
      <c r="AL16" s="1">
        <v>6907</v>
      </c>
      <c r="AM16" s="1">
        <v>6331</v>
      </c>
      <c r="AN16" s="175">
        <v>4712</v>
      </c>
      <c r="AO16" s="175">
        <v>5419</v>
      </c>
      <c r="AP16" s="1">
        <v>7209</v>
      </c>
      <c r="AQ16" s="1">
        <v>5519</v>
      </c>
      <c r="AR16" s="1">
        <v>4954</v>
      </c>
      <c r="AS16" s="1">
        <v>5242</v>
      </c>
      <c r="AT16" s="1">
        <v>7113</v>
      </c>
      <c r="AU16" s="175">
        <v>5433</v>
      </c>
      <c r="AV16" s="175">
        <v>4135</v>
      </c>
      <c r="AW16" s="175">
        <v>4630</v>
      </c>
      <c r="AX16" s="175">
        <v>6664</v>
      </c>
      <c r="AY16" s="175">
        <v>5343</v>
      </c>
      <c r="AZ16" s="1">
        <v>4538</v>
      </c>
      <c r="BA16" s="1">
        <v>3902</v>
      </c>
      <c r="BB16" s="1">
        <v>5407.32</v>
      </c>
      <c r="BC16" s="1">
        <v>5610</v>
      </c>
      <c r="BD16" s="1">
        <v>5504</v>
      </c>
      <c r="BE16" s="1">
        <v>5800</v>
      </c>
      <c r="BF16" s="1">
        <v>8832</v>
      </c>
      <c r="BG16" s="1">
        <v>6450</v>
      </c>
      <c r="BH16" s="1">
        <v>5615</v>
      </c>
      <c r="BI16" s="1">
        <v>6397</v>
      </c>
    </row>
    <row r="17" spans="2:61" x14ac:dyDescent="0.3">
      <c r="B17" s="133" t="s">
        <v>35</v>
      </c>
      <c r="C17" s="118"/>
      <c r="D17" s="118"/>
      <c r="E17" s="118"/>
      <c r="F17" s="118"/>
      <c r="G17" s="118"/>
      <c r="H17" s="118"/>
      <c r="I17" s="118"/>
      <c r="J17" s="118"/>
      <c r="K17" s="134"/>
      <c r="L17" s="134">
        <v>7206</v>
      </c>
      <c r="M17" s="134">
        <v>5504</v>
      </c>
      <c r="N17" s="134">
        <v>5738.74118</v>
      </c>
      <c r="O17" s="134">
        <v>5341</v>
      </c>
      <c r="P17" s="134">
        <v>4830.88</v>
      </c>
      <c r="Q17" s="134">
        <v>5451</v>
      </c>
      <c r="R17" s="134">
        <v>6037</v>
      </c>
      <c r="S17" s="135">
        <v>5465.04</v>
      </c>
      <c r="T17" s="135">
        <v>4874.8999999999996</v>
      </c>
      <c r="U17" s="119">
        <v>4678</v>
      </c>
      <c r="V17" s="1">
        <v>4857</v>
      </c>
      <c r="W17" s="1">
        <v>4051</v>
      </c>
      <c r="X17" s="1">
        <v>4050.78</v>
      </c>
      <c r="Y17" s="220">
        <v>4026.26</v>
      </c>
      <c r="Z17" s="268">
        <v>4207</v>
      </c>
      <c r="AA17" s="1">
        <v>3467</v>
      </c>
      <c r="AB17" s="290">
        <v>2782</v>
      </c>
      <c r="AC17" s="1">
        <v>3043</v>
      </c>
      <c r="AD17" s="175">
        <v>3543</v>
      </c>
      <c r="AE17" s="269">
        <v>3191.7098074613327</v>
      </c>
      <c r="AF17" s="1">
        <v>2745</v>
      </c>
      <c r="AG17" s="1">
        <v>2577</v>
      </c>
      <c r="AH17" s="1">
        <v>2682</v>
      </c>
      <c r="AI17" s="1">
        <v>1889</v>
      </c>
      <c r="AJ17" s="1">
        <v>2336</v>
      </c>
      <c r="AK17" s="1">
        <v>2938</v>
      </c>
      <c r="AL17" s="1">
        <v>2912</v>
      </c>
      <c r="AM17" s="1">
        <v>1976</v>
      </c>
      <c r="AN17" s="175">
        <v>2039</v>
      </c>
      <c r="AO17" s="175">
        <v>3043</v>
      </c>
      <c r="AP17" s="1">
        <v>2719</v>
      </c>
      <c r="AQ17" s="1">
        <v>2064</v>
      </c>
      <c r="AR17" s="1">
        <v>2112</v>
      </c>
      <c r="AS17" s="1">
        <v>2439</v>
      </c>
      <c r="AT17" s="1">
        <v>2601</v>
      </c>
      <c r="AU17" s="175">
        <v>1972</v>
      </c>
      <c r="AV17" s="175">
        <v>1778</v>
      </c>
      <c r="AW17" s="175">
        <v>352</v>
      </c>
      <c r="AX17" s="175">
        <v>804</v>
      </c>
      <c r="AY17" s="175">
        <v>719</v>
      </c>
      <c r="AZ17" s="1">
        <v>770</v>
      </c>
      <c r="BA17" s="1">
        <v>719</v>
      </c>
      <c r="BB17" s="1">
        <v>923.3</v>
      </c>
      <c r="BC17" s="1">
        <v>908</v>
      </c>
      <c r="BD17" s="1">
        <v>832</v>
      </c>
      <c r="BE17" s="1">
        <v>1215</v>
      </c>
      <c r="BF17" s="1">
        <v>2457</v>
      </c>
      <c r="BG17" s="1">
        <v>1758</v>
      </c>
      <c r="BH17" s="1">
        <v>1651</v>
      </c>
      <c r="BI17" s="1">
        <v>2174</v>
      </c>
    </row>
    <row r="18" spans="2:61" x14ac:dyDescent="0.3">
      <c r="B18" s="133" t="s">
        <v>85</v>
      </c>
      <c r="C18" s="118"/>
      <c r="D18" s="118"/>
      <c r="E18" s="118"/>
      <c r="F18" s="118"/>
      <c r="G18" s="118"/>
      <c r="H18" s="118"/>
      <c r="I18" s="118"/>
      <c r="J18" s="118"/>
      <c r="K18" s="134"/>
      <c r="L18" s="134"/>
      <c r="M18" s="134"/>
      <c r="N18" s="134"/>
      <c r="O18" s="134"/>
      <c r="P18" s="134"/>
      <c r="Q18" s="134"/>
      <c r="R18" s="134"/>
      <c r="S18" s="135"/>
      <c r="T18" s="135">
        <v>373.08800000000002</v>
      </c>
      <c r="U18" s="119">
        <v>1010</v>
      </c>
      <c r="V18" s="1">
        <v>2191</v>
      </c>
      <c r="W18" s="1">
        <v>905</v>
      </c>
      <c r="X18" s="1">
        <v>206</v>
      </c>
      <c r="Y18" s="220">
        <v>361</v>
      </c>
      <c r="Z18" s="268">
        <v>747</v>
      </c>
      <c r="AA18" s="1">
        <v>402.26</v>
      </c>
      <c r="AB18" s="294">
        <v>381</v>
      </c>
      <c r="AC18" s="1">
        <v>450</v>
      </c>
      <c r="AD18" s="175">
        <v>519</v>
      </c>
      <c r="AE18" s="287">
        <v>30</v>
      </c>
      <c r="AF18" s="287">
        <v>268</v>
      </c>
      <c r="AG18" s="1">
        <v>259</v>
      </c>
      <c r="AH18" s="1">
        <v>416</v>
      </c>
      <c r="AI18" s="1">
        <v>316</v>
      </c>
      <c r="AJ18" s="1">
        <v>355</v>
      </c>
      <c r="AK18" s="1">
        <v>321</v>
      </c>
      <c r="AL18" s="1">
        <v>926</v>
      </c>
      <c r="AM18" s="1">
        <v>293</v>
      </c>
      <c r="AN18" s="175">
        <v>384</v>
      </c>
      <c r="AO18" s="175">
        <v>295</v>
      </c>
      <c r="AP18" s="1">
        <v>794</v>
      </c>
      <c r="AQ18" s="1">
        <v>-122</v>
      </c>
      <c r="AR18" s="1">
        <v>329</v>
      </c>
      <c r="AS18" s="1">
        <v>414</v>
      </c>
      <c r="AT18" s="1">
        <v>854</v>
      </c>
      <c r="AU18" s="1">
        <v>493</v>
      </c>
      <c r="AV18" s="1">
        <v>413</v>
      </c>
      <c r="AW18" s="1">
        <v>420</v>
      </c>
      <c r="AX18" s="1">
        <v>344</v>
      </c>
      <c r="AY18" s="1">
        <v>230</v>
      </c>
      <c r="AZ18" s="1">
        <v>148</v>
      </c>
      <c r="BA18" s="1">
        <v>75</v>
      </c>
      <c r="BB18" s="1">
        <v>190.4</v>
      </c>
      <c r="BC18" s="1">
        <v>351</v>
      </c>
      <c r="BD18" s="1">
        <v>232</v>
      </c>
      <c r="BE18" s="1">
        <v>233</v>
      </c>
      <c r="BF18" s="1">
        <v>790</v>
      </c>
      <c r="BG18" s="1">
        <v>597</v>
      </c>
      <c r="BH18" s="1">
        <v>467</v>
      </c>
      <c r="BI18" s="1">
        <v>545</v>
      </c>
    </row>
    <row r="19" spans="2:61" x14ac:dyDescent="0.3">
      <c r="B19" s="133" t="s">
        <v>67</v>
      </c>
      <c r="C19" s="118"/>
      <c r="D19" s="118"/>
      <c r="E19" s="118"/>
      <c r="F19" s="118"/>
      <c r="G19" s="118"/>
      <c r="H19" s="118"/>
      <c r="I19" s="118"/>
      <c r="J19" s="118"/>
      <c r="K19" s="134"/>
      <c r="L19" s="134"/>
      <c r="M19" s="134"/>
      <c r="N19" s="134"/>
      <c r="O19" s="134"/>
      <c r="P19" s="134"/>
      <c r="Q19" s="134"/>
      <c r="R19" s="134"/>
      <c r="S19" s="135"/>
      <c r="T19" s="135"/>
      <c r="W19" s="1">
        <f>12411.16-SUM(W15:W18)</f>
        <v>602.15999999999985</v>
      </c>
      <c r="Y19" s="222"/>
      <c r="Z19" s="250"/>
      <c r="AB19" s="287"/>
      <c r="AC19" s="1">
        <v>1.23</v>
      </c>
      <c r="AD19" s="175">
        <v>0</v>
      </c>
      <c r="AF19" s="1" t="s">
        <v>127</v>
      </c>
      <c r="AG19" s="1">
        <v>-1.05</v>
      </c>
      <c r="AH19" s="1">
        <v>0</v>
      </c>
      <c r="AJ19" s="1">
        <f>AJ20-AJ15-AJ16-AJ17-AJ18</f>
        <v>0</v>
      </c>
      <c r="AK19" s="383">
        <f>AK20-AK15-AK16-AK17-AK18</f>
        <v>9</v>
      </c>
      <c r="AL19" s="201">
        <v>-580</v>
      </c>
      <c r="AM19" s="1">
        <v>-1</v>
      </c>
      <c r="AN19" s="1">
        <v>-1</v>
      </c>
      <c r="AO19" s="175">
        <v>-1</v>
      </c>
      <c r="AP19" s="1">
        <v>1</v>
      </c>
      <c r="AQ19" s="1">
        <v>0</v>
      </c>
      <c r="AR19" s="1">
        <v>1</v>
      </c>
      <c r="AS19" s="1">
        <v>-1</v>
      </c>
      <c r="AT19" s="1">
        <v>-1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</row>
    <row r="20" spans="2:61" x14ac:dyDescent="0.3">
      <c r="B20" s="64" t="s">
        <v>29</v>
      </c>
      <c r="C20" s="61">
        <v>926.26700000000005</v>
      </c>
      <c r="D20" s="61">
        <v>4439.9799999999996</v>
      </c>
      <c r="E20" s="61">
        <v>7716.7593070000003</v>
      </c>
      <c r="F20" s="61">
        <v>11420.161312999999</v>
      </c>
      <c r="G20" s="61">
        <v>10351.979380000001</v>
      </c>
      <c r="H20" s="61">
        <v>9461.3109999999997</v>
      </c>
      <c r="I20" s="61">
        <v>9862.8209999999999</v>
      </c>
      <c r="J20" s="61">
        <v>14093.624</v>
      </c>
      <c r="K20" s="61">
        <v>16680.402999999998</v>
      </c>
      <c r="L20" s="61">
        <v>12173</v>
      </c>
      <c r="M20" s="61">
        <v>10746.98</v>
      </c>
      <c r="N20" s="61">
        <v>14393.68118</v>
      </c>
      <c r="O20" s="61">
        <v>12994</v>
      </c>
      <c r="P20" s="61">
        <v>11343.880000000001</v>
      </c>
      <c r="Q20" s="61">
        <v>12583</v>
      </c>
      <c r="R20" s="61">
        <v>14381</v>
      </c>
      <c r="S20" s="61">
        <v>12019.55</v>
      </c>
      <c r="T20" s="61">
        <v>11787.987999999999</v>
      </c>
      <c r="U20" s="61">
        <f>U15+U16+U17+U18</f>
        <v>12605</v>
      </c>
      <c r="V20" s="61">
        <f>V15+V16+V17+V18</f>
        <v>15516</v>
      </c>
      <c r="W20" s="61">
        <f>SUM(W15:W19)</f>
        <v>12411.16</v>
      </c>
      <c r="X20" s="61">
        <f>SUM(X15:X19)</f>
        <v>10726.78</v>
      </c>
      <c r="Y20" s="61">
        <f>SUM(Y15:Y19)</f>
        <v>11451.26</v>
      </c>
      <c r="Z20" s="250">
        <v>13271.28</v>
      </c>
      <c r="AA20" s="287">
        <f>SUM(AA15:AA18)</f>
        <v>11457.26</v>
      </c>
      <c r="AB20" s="290">
        <v>10140</v>
      </c>
      <c r="AC20" s="1">
        <f>SUM(AC15:AC19)</f>
        <v>11132.23</v>
      </c>
      <c r="AD20" s="175">
        <f>SUM(AD15:AD19)</f>
        <v>13885</v>
      </c>
      <c r="AE20" s="175">
        <f>SUM(AE15:AE19)</f>
        <v>11352.554034747893</v>
      </c>
      <c r="AF20" s="326">
        <v>10525.56</v>
      </c>
      <c r="AG20" s="1">
        <v>10302.950000000001</v>
      </c>
      <c r="AH20" s="1">
        <v>12803.64</v>
      </c>
      <c r="AI20" s="269">
        <v>9834.93</v>
      </c>
      <c r="AJ20" s="1">
        <v>9737</v>
      </c>
      <c r="AK20" s="287">
        <v>9941</v>
      </c>
      <c r="AL20" s="175">
        <v>11954</v>
      </c>
      <c r="AM20" s="175">
        <v>10272</v>
      </c>
      <c r="AN20" s="175">
        <v>8884</v>
      </c>
      <c r="AO20" s="175">
        <v>10721</v>
      </c>
      <c r="AP20" s="175">
        <v>12706</v>
      </c>
      <c r="AQ20" s="175">
        <v>9374</v>
      </c>
      <c r="AR20" s="175">
        <v>9230</v>
      </c>
      <c r="AS20" s="175">
        <v>10112</v>
      </c>
      <c r="AT20" s="175">
        <v>12954.44</v>
      </c>
      <c r="AU20" s="175">
        <v>10262</v>
      </c>
      <c r="AV20" s="175">
        <v>8457</v>
      </c>
      <c r="AW20" s="175">
        <v>7710</v>
      </c>
      <c r="AX20" s="175">
        <v>10330</v>
      </c>
      <c r="AY20" s="175">
        <v>8798</v>
      </c>
      <c r="AZ20" s="295">
        <f>SUM(AZ15:AZ19)</f>
        <v>7967</v>
      </c>
      <c r="BA20" s="295">
        <f>SUM(BA15:BA19)</f>
        <v>7140</v>
      </c>
      <c r="BB20" s="619">
        <f>SUM(BB15:BB19)</f>
        <v>9167.82</v>
      </c>
      <c r="BC20" s="619">
        <v>9434</v>
      </c>
      <c r="BD20" s="619">
        <v>9181</v>
      </c>
      <c r="BE20" s="295">
        <v>10116</v>
      </c>
      <c r="BF20" s="295">
        <v>15336</v>
      </c>
      <c r="BG20" s="295">
        <v>12124</v>
      </c>
      <c r="BH20" s="295">
        <v>10999</v>
      </c>
      <c r="BI20" s="295">
        <v>12736</v>
      </c>
    </row>
    <row r="21" spans="2:61" x14ac:dyDescent="0.3">
      <c r="B21" s="64"/>
      <c r="C21" s="61"/>
      <c r="D21" s="61">
        <f>D20+E20+F20+G20</f>
        <v>33928.880000000005</v>
      </c>
      <c r="E21" s="61"/>
      <c r="F21" s="61"/>
      <c r="G21" s="61"/>
      <c r="H21" s="61">
        <f>H20+I20+J20+K20</f>
        <v>50098.158999999992</v>
      </c>
      <c r="I21" s="61"/>
      <c r="J21" s="61"/>
      <c r="K21" s="61"/>
      <c r="L21" s="61"/>
      <c r="M21" s="61"/>
      <c r="N21" s="61"/>
      <c r="O21" s="61">
        <f>O20+N20+M20+L20</f>
        <v>50307.661179999996</v>
      </c>
      <c r="P21" s="61"/>
      <c r="Q21" s="61"/>
      <c r="R21" s="61"/>
      <c r="S21" s="61">
        <f>S20+R20+Q20+P20</f>
        <v>50327.430000000008</v>
      </c>
      <c r="T21" s="61"/>
      <c r="U21" s="61"/>
      <c r="W21" s="287">
        <f>SUM(T20:W20)</f>
        <v>52320.148000000001</v>
      </c>
      <c r="AA21" s="287">
        <f>SUM(X20:AA20)</f>
        <v>46906.58</v>
      </c>
      <c r="AB21" s="287"/>
      <c r="AE21" s="269">
        <f>SUM(AB20:AE20)</f>
        <v>46509.784034747892</v>
      </c>
      <c r="AH21" s="287"/>
      <c r="AI21" s="1">
        <f>SUM(AF20:AI20)</f>
        <v>43467.08</v>
      </c>
      <c r="AM21" s="1">
        <f>SUM(AJ20:AM20)</f>
        <v>41904</v>
      </c>
    </row>
    <row r="22" spans="2:61" x14ac:dyDescent="0.3">
      <c r="B22" s="64"/>
      <c r="C22" s="61"/>
      <c r="D22" s="61"/>
      <c r="E22" s="61"/>
      <c r="F22" s="61"/>
      <c r="G22" s="61"/>
      <c r="H22" s="61"/>
      <c r="I22" s="61"/>
      <c r="J22" s="61"/>
      <c r="K22" s="61"/>
      <c r="L22" s="61">
        <f>L20/$O$21</f>
        <v>0.24197109773092421</v>
      </c>
      <c r="M22" s="61">
        <f>M20/$O$21</f>
        <v>0.2136251168892046</v>
      </c>
      <c r="N22" s="61">
        <f>N20/$O$21</f>
        <v>0.28611310568582471</v>
      </c>
      <c r="O22" s="61">
        <f>O20/$O$21</f>
        <v>0.25829067969404657</v>
      </c>
      <c r="P22" s="61">
        <f>P20/$S$21</f>
        <v>0.2254015355045946</v>
      </c>
      <c r="Q22" s="61">
        <f>Q20/$S$21</f>
        <v>0.25002270133801779</v>
      </c>
      <c r="R22" s="61">
        <f>R20/$S$21</f>
        <v>0.28574874576349313</v>
      </c>
      <c r="S22" s="61">
        <f>S20/$S$21</f>
        <v>0.23882701739389428</v>
      </c>
      <c r="T22" s="61"/>
      <c r="U22" s="61"/>
      <c r="AB22" s="287"/>
      <c r="AH22" s="287"/>
    </row>
    <row r="23" spans="2:61" x14ac:dyDescent="0.3">
      <c r="M23" s="115"/>
      <c r="N23" s="115"/>
      <c r="O23" s="115"/>
      <c r="P23" s="115"/>
      <c r="Q23" s="115"/>
      <c r="R23" s="115"/>
      <c r="S23" s="115"/>
      <c r="T23" s="115"/>
      <c r="U23" s="54"/>
      <c r="AB23" s="287"/>
    </row>
    <row r="24" spans="2:61" x14ac:dyDescent="0.3">
      <c r="M24" s="115"/>
      <c r="N24" s="115"/>
      <c r="O24" s="115"/>
      <c r="P24" s="115"/>
      <c r="Q24" s="115"/>
      <c r="R24" s="115"/>
      <c r="S24" s="115"/>
      <c r="T24" s="115"/>
      <c r="U24" s="54"/>
      <c r="AB24" s="287"/>
      <c r="AF24" s="295"/>
      <c r="AN24" s="1">
        <v>2017</v>
      </c>
      <c r="AV24" s="736">
        <v>2019</v>
      </c>
      <c r="AW24" s="736"/>
      <c r="AX24" s="736"/>
      <c r="AY24" s="591"/>
      <c r="AZ24" s="736">
        <v>2020</v>
      </c>
      <c r="BA24" s="736"/>
      <c r="BD24" s="736">
        <v>2021</v>
      </c>
      <c r="BE24" s="736"/>
      <c r="BF24" s="677"/>
      <c r="BG24" s="682"/>
      <c r="BH24" s="691"/>
      <c r="BI24" s="697"/>
    </row>
    <row r="25" spans="2:61" x14ac:dyDescent="0.3">
      <c r="B25" s="123" t="s">
        <v>34</v>
      </c>
      <c r="C25" s="124" t="s">
        <v>28</v>
      </c>
      <c r="D25" s="124" t="s">
        <v>13</v>
      </c>
      <c r="E25" s="124" t="s">
        <v>14</v>
      </c>
      <c r="F25" s="124" t="s">
        <v>15</v>
      </c>
      <c r="G25" s="124" t="s">
        <v>16</v>
      </c>
      <c r="H25" s="124" t="s">
        <v>17</v>
      </c>
      <c r="I25" s="124" t="s">
        <v>18</v>
      </c>
      <c r="J25" s="124" t="s">
        <v>19</v>
      </c>
      <c r="K25" s="124" t="s">
        <v>20</v>
      </c>
      <c r="L25" s="132" t="s">
        <v>8</v>
      </c>
      <c r="M25" s="132" t="s">
        <v>1</v>
      </c>
      <c r="N25" s="132" t="s">
        <v>33</v>
      </c>
      <c r="O25" s="132" t="s">
        <v>38</v>
      </c>
      <c r="P25" s="132" t="s">
        <v>41</v>
      </c>
      <c r="Q25" s="132" t="s">
        <v>52</v>
      </c>
      <c r="R25" s="132" t="s">
        <v>53</v>
      </c>
      <c r="S25" s="132" t="s">
        <v>54</v>
      </c>
      <c r="T25" s="132" t="s">
        <v>66</v>
      </c>
      <c r="U25" s="132" t="s">
        <v>95</v>
      </c>
      <c r="V25" s="132" t="s">
        <v>99</v>
      </c>
      <c r="W25" s="132" t="s">
        <v>95</v>
      </c>
      <c r="X25" s="199" t="s">
        <v>110</v>
      </c>
      <c r="Y25" s="221" t="s">
        <v>112</v>
      </c>
      <c r="Z25" s="221" t="s">
        <v>116</v>
      </c>
      <c r="AA25" s="221" t="s">
        <v>119</v>
      </c>
      <c r="AB25" s="221" t="s">
        <v>123</v>
      </c>
      <c r="AC25" s="221" t="s">
        <v>124</v>
      </c>
      <c r="AD25" s="221" t="s">
        <v>125</v>
      </c>
      <c r="AE25" s="221" t="s">
        <v>126</v>
      </c>
      <c r="AF25" s="221" t="s">
        <v>120</v>
      </c>
      <c r="AG25" s="221" t="s">
        <v>122</v>
      </c>
      <c r="AH25" s="221" t="s">
        <v>117</v>
      </c>
      <c r="AI25" s="232" t="s">
        <v>121</v>
      </c>
      <c r="AJ25" s="232" t="s">
        <v>120</v>
      </c>
      <c r="AK25" s="232" t="s">
        <v>122</v>
      </c>
      <c r="AL25" s="221" t="s">
        <v>117</v>
      </c>
      <c r="AM25" s="220" t="s">
        <v>121</v>
      </c>
      <c r="AN25" s="220" t="s">
        <v>120</v>
      </c>
      <c r="AO25" s="220" t="s">
        <v>122</v>
      </c>
      <c r="AP25" s="220" t="s">
        <v>117</v>
      </c>
      <c r="AQ25" s="220" t="s">
        <v>121</v>
      </c>
      <c r="AR25" s="238" t="s">
        <v>120</v>
      </c>
      <c r="AS25" s="238" t="s">
        <v>122</v>
      </c>
      <c r="AT25" s="238" t="s">
        <v>117</v>
      </c>
      <c r="AU25" s="238" t="s">
        <v>121</v>
      </c>
      <c r="AV25" s="238" t="s">
        <v>120</v>
      </c>
      <c r="AW25" s="238" t="s">
        <v>122</v>
      </c>
      <c r="AX25" s="238" t="s">
        <v>117</v>
      </c>
      <c r="AY25" s="238" t="s">
        <v>121</v>
      </c>
      <c r="AZ25" s="238" t="s">
        <v>120</v>
      </c>
      <c r="BA25" s="238" t="s">
        <v>122</v>
      </c>
      <c r="BB25" s="238" t="s">
        <v>117</v>
      </c>
      <c r="BC25" s="238" t="s">
        <v>121</v>
      </c>
      <c r="BD25" s="238" t="s">
        <v>120</v>
      </c>
      <c r="BE25" s="238" t="s">
        <v>122</v>
      </c>
      <c r="BF25" s="238" t="s">
        <v>117</v>
      </c>
      <c r="BG25" s="238" t="s">
        <v>121</v>
      </c>
      <c r="BH25" s="238" t="s">
        <v>120</v>
      </c>
      <c r="BI25" s="238" t="s">
        <v>122</v>
      </c>
    </row>
    <row r="26" spans="2:61" x14ac:dyDescent="0.3">
      <c r="B26" s="133" t="s">
        <v>2</v>
      </c>
      <c r="L26" s="115">
        <v>0</v>
      </c>
      <c r="M26" s="115">
        <v>0</v>
      </c>
      <c r="N26" s="115">
        <v>0</v>
      </c>
      <c r="O26" s="115"/>
      <c r="P26" s="115"/>
      <c r="Q26" s="115"/>
      <c r="R26" s="115"/>
      <c r="S26" s="115"/>
      <c r="T26" s="54"/>
      <c r="AB26" s="287"/>
    </row>
    <row r="27" spans="2:61" x14ac:dyDescent="0.3">
      <c r="B27" s="133" t="s">
        <v>10</v>
      </c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66.126337190000001</v>
      </c>
      <c r="I27" s="119">
        <v>132.82697187000002</v>
      </c>
      <c r="J27" s="119">
        <v>46.06347529</v>
      </c>
      <c r="K27" s="119">
        <v>58.723699509999996</v>
      </c>
      <c r="L27" s="115">
        <v>31</v>
      </c>
      <c r="M27" s="115">
        <v>46</v>
      </c>
      <c r="N27" s="115">
        <v>75</v>
      </c>
      <c r="O27" s="115">
        <v>84</v>
      </c>
      <c r="P27" s="115">
        <v>40.520000000000003</v>
      </c>
      <c r="Q27" s="115">
        <v>39.799999999999997</v>
      </c>
      <c r="R27" s="115">
        <v>37.1</v>
      </c>
      <c r="S27" s="115">
        <v>19.07</v>
      </c>
      <c r="T27" s="178">
        <v>29.779</v>
      </c>
      <c r="U27" s="119">
        <f>18.71</f>
        <v>18.71</v>
      </c>
      <c r="V27" s="1">
        <v>15.85</v>
      </c>
      <c r="W27" s="1">
        <v>12.13</v>
      </c>
      <c r="X27" s="1">
        <v>11.77</v>
      </c>
      <c r="Y27" s="234">
        <v>21068</v>
      </c>
      <c r="Z27" s="175">
        <v>22798</v>
      </c>
      <c r="AB27" s="175">
        <v>24320</v>
      </c>
      <c r="AH27" s="1">
        <v>5</v>
      </c>
      <c r="AI27" s="1">
        <v>4</v>
      </c>
      <c r="AL27" s="1">
        <v>4</v>
      </c>
      <c r="AM27" s="1">
        <v>4</v>
      </c>
      <c r="AN27" s="1">
        <v>3</v>
      </c>
      <c r="AO27" s="1">
        <v>3</v>
      </c>
      <c r="AP27" s="1">
        <v>3</v>
      </c>
      <c r="AQ27" s="1">
        <v>2</v>
      </c>
      <c r="AR27" s="1">
        <v>1</v>
      </c>
      <c r="AS27" s="1">
        <v>1</v>
      </c>
      <c r="AT27" s="1">
        <v>2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</row>
    <row r="28" spans="2:61" x14ac:dyDescent="0.3">
      <c r="B28" s="133" t="s">
        <v>35</v>
      </c>
      <c r="L28" s="115"/>
      <c r="M28" s="115"/>
      <c r="N28" s="115"/>
      <c r="O28" s="115"/>
      <c r="P28" s="115"/>
      <c r="Q28" s="115"/>
      <c r="R28" s="115"/>
      <c r="S28" s="115"/>
      <c r="T28" s="54"/>
      <c r="AB28" s="287"/>
      <c r="AH28" s="47"/>
    </row>
    <row r="29" spans="2:61" x14ac:dyDescent="0.3">
      <c r="B29" s="133" t="s">
        <v>85</v>
      </c>
      <c r="L29" s="115"/>
      <c r="M29" s="115"/>
      <c r="N29" s="115"/>
      <c r="O29" s="115"/>
      <c r="P29" s="115"/>
      <c r="Q29" s="115"/>
      <c r="R29" s="115"/>
      <c r="S29" s="115"/>
      <c r="T29" s="54"/>
      <c r="AB29" s="287"/>
    </row>
    <row r="30" spans="2:61" x14ac:dyDescent="0.3">
      <c r="B30" s="133" t="s">
        <v>67</v>
      </c>
      <c r="L30" s="115"/>
      <c r="M30" s="115"/>
      <c r="N30" s="115"/>
      <c r="O30" s="115"/>
      <c r="P30" s="115"/>
      <c r="Q30" s="115"/>
      <c r="R30" s="115"/>
      <c r="S30" s="115"/>
      <c r="T30" s="54"/>
      <c r="AB30" s="287"/>
      <c r="AI30" s="385">
        <v>223.24100000000001</v>
      </c>
      <c r="AJ30" s="1">
        <v>170.3</v>
      </c>
      <c r="AK30" s="1">
        <v>198.23621</v>
      </c>
    </row>
    <row r="31" spans="2:61" x14ac:dyDescent="0.3">
      <c r="B31" s="64" t="s">
        <v>29</v>
      </c>
      <c r="C31" s="61"/>
      <c r="D31" s="61"/>
      <c r="E31" s="61"/>
      <c r="F31" s="61"/>
      <c r="G31" s="61"/>
      <c r="H31" s="61">
        <v>72.188140000000004</v>
      </c>
      <c r="I31" s="61">
        <v>139.2885</v>
      </c>
      <c r="J31" s="61">
        <v>58.188960000000002</v>
      </c>
      <c r="K31" s="61">
        <v>67.618169999999992</v>
      </c>
      <c r="L31" s="61">
        <v>31</v>
      </c>
      <c r="M31" s="61">
        <v>46</v>
      </c>
      <c r="N31" s="61">
        <v>75</v>
      </c>
      <c r="O31" s="61">
        <v>84</v>
      </c>
      <c r="P31" s="61">
        <v>40.520000000000003</v>
      </c>
      <c r="Q31" s="61">
        <v>39.799999999999997</v>
      </c>
      <c r="R31" s="61">
        <v>37.1</v>
      </c>
      <c r="S31" s="61">
        <v>19.07</v>
      </c>
      <c r="T31" s="61">
        <v>29.779</v>
      </c>
      <c r="U31" s="61">
        <v>18.71</v>
      </c>
      <c r="V31" s="61">
        <f>V27</f>
        <v>15.85</v>
      </c>
      <c r="W31" s="61">
        <f>W27</f>
        <v>12.13</v>
      </c>
      <c r="X31" s="202">
        <v>11.77</v>
      </c>
      <c r="Y31" s="222">
        <v>9.85</v>
      </c>
      <c r="Z31" s="1">
        <v>14.3</v>
      </c>
      <c r="AA31" s="1">
        <v>16.37</v>
      </c>
      <c r="AB31" s="291">
        <v>6.77</v>
      </c>
      <c r="AC31" s="1">
        <v>5.43</v>
      </c>
      <c r="AD31" s="1">
        <v>8.9</v>
      </c>
      <c r="AE31" s="326">
        <v>58.65</v>
      </c>
      <c r="AF31" s="1">
        <v>5.4</v>
      </c>
      <c r="AG31" s="1">
        <v>168.262</v>
      </c>
      <c r="AH31" s="1">
        <v>296.41000000000003</v>
      </c>
      <c r="AI31" s="385">
        <f>SUM(AI26:AI30)</f>
        <v>227.24100000000001</v>
      </c>
      <c r="AJ31" s="1">
        <v>170.3</v>
      </c>
      <c r="AK31" s="417">
        <v>198.23621</v>
      </c>
      <c r="AL31" s="269">
        <v>233.68600000000001</v>
      </c>
      <c r="AM31" s="269">
        <v>231.51</v>
      </c>
      <c r="AN31" s="269">
        <v>213.68</v>
      </c>
      <c r="AO31" s="269">
        <v>222.44263000000001</v>
      </c>
      <c r="AP31" s="1">
        <v>251.38900000000001</v>
      </c>
      <c r="AQ31" s="1">
        <v>302.94099999999997</v>
      </c>
      <c r="AR31" s="269">
        <v>226.02795</v>
      </c>
      <c r="AS31" s="175">
        <v>245.006</v>
      </c>
      <c r="AT31" s="175">
        <v>288.387</v>
      </c>
      <c r="AU31" s="175">
        <v>291721.2</v>
      </c>
      <c r="AV31" s="175">
        <v>194.405</v>
      </c>
      <c r="AW31" s="175">
        <v>219135.86</v>
      </c>
      <c r="AX31" s="175">
        <v>29008.2</v>
      </c>
      <c r="AY31" s="175">
        <v>268483.57</v>
      </c>
      <c r="AZ31" s="606">
        <v>177588</v>
      </c>
      <c r="BA31" s="1">
        <v>206480</v>
      </c>
      <c r="BE31" s="1">
        <v>238750</v>
      </c>
      <c r="BF31" s="1">
        <v>237303</v>
      </c>
      <c r="BG31" s="1">
        <v>159754.15</v>
      </c>
      <c r="BH31" s="175">
        <v>105904</v>
      </c>
      <c r="BI31" s="175">
        <v>97081.84</v>
      </c>
    </row>
    <row r="32" spans="2:61" x14ac:dyDescent="0.3">
      <c r="B32" s="64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>
        <f>O31+N31+M31+L31</f>
        <v>236</v>
      </c>
      <c r="P32" s="61"/>
      <c r="Q32" s="61"/>
      <c r="R32" s="61"/>
      <c r="S32" s="61">
        <f>S31+R31+Q31+P31</f>
        <v>136.49</v>
      </c>
      <c r="T32" s="61"/>
      <c r="AB32" s="287"/>
    </row>
    <row r="33" spans="2:61" x14ac:dyDescent="0.3">
      <c r="B33" s="64"/>
      <c r="C33" s="61"/>
      <c r="D33" s="61"/>
      <c r="E33" s="61"/>
      <c r="F33" s="61"/>
      <c r="G33" s="61"/>
      <c r="H33" s="61"/>
      <c r="I33" s="61"/>
      <c r="J33" s="61"/>
      <c r="K33" s="61"/>
      <c r="L33" s="61">
        <f>L31/$O$32</f>
        <v>0.13135593220338984</v>
      </c>
      <c r="M33" s="61">
        <f>M31/$O$32</f>
        <v>0.19491525423728814</v>
      </c>
      <c r="N33" s="61">
        <f>N31/$O$32</f>
        <v>0.31779661016949151</v>
      </c>
      <c r="O33" s="61">
        <f>O31/$O$32</f>
        <v>0.3559322033898305</v>
      </c>
      <c r="P33" s="61">
        <f>P31/$S$32</f>
        <v>0.29687156568246759</v>
      </c>
      <c r="Q33" s="61">
        <f>Q31/$S$32</f>
        <v>0.29159645395267048</v>
      </c>
      <c r="R33" s="61">
        <f>R31/$S$32</f>
        <v>0.27181478496593159</v>
      </c>
      <c r="S33" s="61">
        <f>S31/$S$32</f>
        <v>0.13971719539893032</v>
      </c>
      <c r="T33" s="61"/>
      <c r="AB33" s="287"/>
    </row>
    <row r="34" spans="2:61" x14ac:dyDescent="0.3">
      <c r="L34" s="115"/>
      <c r="M34" s="115"/>
      <c r="N34" s="115"/>
      <c r="O34" s="115"/>
      <c r="P34" s="115"/>
      <c r="Q34" s="115"/>
      <c r="R34" s="115"/>
      <c r="S34" s="115"/>
      <c r="T34" s="54"/>
      <c r="AB34" s="287"/>
    </row>
    <row r="35" spans="2:61" x14ac:dyDescent="0.3">
      <c r="L35" s="115"/>
      <c r="M35" s="115"/>
      <c r="N35" s="115"/>
      <c r="O35" s="115"/>
      <c r="P35" s="115"/>
      <c r="Q35" s="115"/>
      <c r="R35" s="115"/>
      <c r="S35" s="115"/>
      <c r="T35" s="54"/>
      <c r="AB35" s="290">
        <v>2014</v>
      </c>
      <c r="AN35" s="1">
        <v>2017</v>
      </c>
      <c r="AV35" s="1">
        <v>2019</v>
      </c>
    </row>
    <row r="36" spans="2:61" ht="17.25" x14ac:dyDescent="0.3">
      <c r="B36" s="123" t="s">
        <v>12</v>
      </c>
      <c r="C36" s="124" t="s">
        <v>28</v>
      </c>
      <c r="D36" s="124" t="s">
        <v>13</v>
      </c>
      <c r="E36" s="124" t="s">
        <v>14</v>
      </c>
      <c r="F36" s="124" t="s">
        <v>15</v>
      </c>
      <c r="G36" s="124" t="s">
        <v>16</v>
      </c>
      <c r="H36" s="124" t="s">
        <v>17</v>
      </c>
      <c r="I36" s="124" t="s">
        <v>18</v>
      </c>
      <c r="J36" s="124" t="s">
        <v>19</v>
      </c>
      <c r="K36" s="124" t="s">
        <v>20</v>
      </c>
      <c r="L36" s="124" t="s">
        <v>8</v>
      </c>
      <c r="M36" s="124" t="s">
        <v>1</v>
      </c>
      <c r="N36" s="124" t="s">
        <v>33</v>
      </c>
      <c r="O36" s="124" t="s">
        <v>37</v>
      </c>
      <c r="P36" s="124" t="s">
        <v>40</v>
      </c>
      <c r="Q36" s="124" t="s">
        <v>50</v>
      </c>
      <c r="R36" s="124" t="s">
        <v>51</v>
      </c>
      <c r="S36" s="124" t="s">
        <v>42</v>
      </c>
      <c r="T36" s="124" t="s">
        <v>56</v>
      </c>
      <c r="U36" s="132" t="s">
        <v>95</v>
      </c>
      <c r="V36" s="132" t="s">
        <v>99</v>
      </c>
      <c r="W36" s="132" t="s">
        <v>107</v>
      </c>
      <c r="X36" s="199" t="s">
        <v>110</v>
      </c>
      <c r="Y36" s="221" t="s">
        <v>112</v>
      </c>
      <c r="Z36" s="221" t="s">
        <v>116</v>
      </c>
      <c r="AA36" s="221" t="s">
        <v>119</v>
      </c>
      <c r="AB36" s="221" t="s">
        <v>123</v>
      </c>
      <c r="AC36" s="221" t="s">
        <v>124</v>
      </c>
      <c r="AD36" s="221" t="s">
        <v>125</v>
      </c>
      <c r="AE36" s="220" t="s">
        <v>121</v>
      </c>
      <c r="AF36" s="221" t="s">
        <v>120</v>
      </c>
      <c r="AG36" s="221" t="s">
        <v>122</v>
      </c>
      <c r="AH36" s="221" t="s">
        <v>117</v>
      </c>
      <c r="AI36" s="221" t="s">
        <v>121</v>
      </c>
      <c r="AJ36" s="232" t="s">
        <v>120</v>
      </c>
      <c r="AK36" s="232" t="s">
        <v>122</v>
      </c>
      <c r="AL36" s="422" t="s">
        <v>117</v>
      </c>
      <c r="AM36" s="422" t="s">
        <v>121</v>
      </c>
      <c r="AN36" s="422" t="s">
        <v>120</v>
      </c>
      <c r="AO36" s="422" t="s">
        <v>122</v>
      </c>
      <c r="AP36" s="422" t="s">
        <v>117</v>
      </c>
      <c r="AQ36" s="504" t="s">
        <v>121</v>
      </c>
      <c r="AR36" s="535" t="s">
        <v>120</v>
      </c>
      <c r="AS36" s="535" t="s">
        <v>122</v>
      </c>
      <c r="AT36" s="535" t="s">
        <v>117</v>
      </c>
      <c r="AU36" s="535" t="s">
        <v>121</v>
      </c>
      <c r="AV36" s="535" t="s">
        <v>120</v>
      </c>
      <c r="AW36" s="535" t="s">
        <v>122</v>
      </c>
      <c r="AX36" s="535" t="s">
        <v>117</v>
      </c>
      <c r="AY36" s="504" t="s">
        <v>121</v>
      </c>
      <c r="AZ36" s="358"/>
      <c r="BA36" s="358"/>
      <c r="BB36" s="358"/>
      <c r="BC36" s="358"/>
    </row>
    <row r="37" spans="2:61" x14ac:dyDescent="0.3">
      <c r="B37" s="133" t="s">
        <v>2</v>
      </c>
      <c r="K37" s="115"/>
      <c r="L37" s="115">
        <v>4.5</v>
      </c>
      <c r="M37" s="115">
        <v>27.5</v>
      </c>
      <c r="N37" s="115">
        <v>21.497</v>
      </c>
      <c r="O37" s="115">
        <v>38</v>
      </c>
      <c r="P37" s="115">
        <v>30.684000000000001</v>
      </c>
      <c r="Q37" s="115">
        <v>46.813462999999999</v>
      </c>
      <c r="R37" s="115">
        <v>118.042428</v>
      </c>
      <c r="S37" s="54">
        <v>55.527999999999999</v>
      </c>
      <c r="T37" s="54">
        <v>99.313000000000002</v>
      </c>
      <c r="U37" s="119">
        <f>24.721+93.296</f>
        <v>118.01700000000001</v>
      </c>
      <c r="V37" s="1">
        <f>25.63+96.892</f>
        <v>122.52199999999999</v>
      </c>
      <c r="W37" s="1">
        <f>20.682+87.345</f>
        <v>108.027</v>
      </c>
      <c r="X37" s="1">
        <f>78.589+17.921</f>
        <v>96.509999999999991</v>
      </c>
      <c r="Y37" s="220">
        <f>19.638+92.889</f>
        <v>112.527</v>
      </c>
      <c r="Z37" s="175">
        <v>125.67</v>
      </c>
      <c r="AA37" s="1">
        <v>248.64</v>
      </c>
      <c r="AB37" s="294">
        <v>96.220015279999998</v>
      </c>
      <c r="AC37" s="1">
        <f>19.118+115.897</f>
        <v>135.01500000000001</v>
      </c>
      <c r="AD37" s="308">
        <v>86.968671490000006</v>
      </c>
      <c r="AE37" s="1">
        <v>135.69304022</v>
      </c>
      <c r="AF37" s="1">
        <v>123.12</v>
      </c>
      <c r="AG37" s="1">
        <f>17.878+113.846</f>
        <v>131.72399999999999</v>
      </c>
      <c r="AH37" s="1">
        <v>71.516000000000005</v>
      </c>
      <c r="AI37" s="327">
        <f>13.285+84.115</f>
        <v>97.399999999999991</v>
      </c>
      <c r="AJ37" s="359">
        <v>81.8</v>
      </c>
      <c r="AK37" s="359">
        <f>53.638+11.055</f>
        <v>64.692999999999998</v>
      </c>
      <c r="AL37" s="423">
        <v>61.460999999999999</v>
      </c>
      <c r="AM37" s="423">
        <v>48.106000000000002</v>
      </c>
      <c r="AN37" s="359">
        <v>49.427</v>
      </c>
      <c r="AO37" s="423">
        <v>49.082999999999998</v>
      </c>
      <c r="AP37" s="360">
        <v>45</v>
      </c>
      <c r="AQ37" s="360">
        <v>106</v>
      </c>
      <c r="AR37" s="361">
        <v>132.38999999999999</v>
      </c>
      <c r="AS37" s="361">
        <v>154</v>
      </c>
      <c r="AT37" s="361">
        <v>171</v>
      </c>
      <c r="AU37" s="361">
        <v>141</v>
      </c>
      <c r="AV37" s="361">
        <v>147</v>
      </c>
      <c r="AW37" s="361">
        <v>126</v>
      </c>
      <c r="AX37" s="361">
        <v>104</v>
      </c>
      <c r="AY37" s="597"/>
      <c r="AZ37" s="361"/>
      <c r="BA37" s="360"/>
      <c r="BB37" s="360"/>
      <c r="BC37" s="360"/>
    </row>
    <row r="38" spans="2:61" x14ac:dyDescent="0.3">
      <c r="B38" s="133" t="s">
        <v>10</v>
      </c>
      <c r="K38" s="115"/>
      <c r="L38" s="115">
        <v>186.9</v>
      </c>
      <c r="M38" s="115">
        <v>439.7</v>
      </c>
      <c r="N38" s="115">
        <v>613.98200000000008</v>
      </c>
      <c r="O38" s="115">
        <v>915</v>
      </c>
      <c r="P38" s="115">
        <v>631.68799999999999</v>
      </c>
      <c r="Q38" s="115">
        <v>816.55237199999999</v>
      </c>
      <c r="R38" s="115">
        <v>1807.0796809999999</v>
      </c>
      <c r="S38" s="54">
        <v>1205</v>
      </c>
      <c r="T38" s="54">
        <v>1963.4180000000001</v>
      </c>
      <c r="U38" s="119">
        <f>2045.079+129.943</f>
        <v>2175.0219999999999</v>
      </c>
      <c r="V38" s="1">
        <f>2210.759+124.046</f>
        <v>2334.8049999999998</v>
      </c>
      <c r="W38" s="1">
        <f>1936.276+128.625</f>
        <v>2064.9009999999998</v>
      </c>
      <c r="X38" s="1">
        <f>1742.607+127.785</f>
        <v>1870.3920000000001</v>
      </c>
      <c r="Y38" s="220">
        <f>143.53+1961.575</f>
        <v>2105.105</v>
      </c>
      <c r="Z38" s="175">
        <v>2680.37</v>
      </c>
      <c r="AA38" s="175">
        <v>1950</v>
      </c>
      <c r="AB38" s="290">
        <v>1860.0829156500001</v>
      </c>
      <c r="AC38" s="287">
        <f>1929.705798</f>
        <v>1929.705798</v>
      </c>
      <c r="AD38" s="308">
        <v>1807.1792190000001</v>
      </c>
      <c r="AE38" s="287">
        <v>1934.2545096899998</v>
      </c>
      <c r="AF38" s="1">
        <v>1489.53</v>
      </c>
      <c r="AG38" s="1">
        <f>1400.526+136.155</f>
        <v>1536.681</v>
      </c>
      <c r="AH38" s="1">
        <v>1483.288</v>
      </c>
      <c r="AI38" s="328">
        <f>1295.466+104.598</f>
        <v>1400.0639999999999</v>
      </c>
      <c r="AJ38" s="359">
        <v>1194.9000000000001</v>
      </c>
      <c r="AK38" s="355">
        <f>1119.621+87.77</f>
        <v>1207.3910000000001</v>
      </c>
      <c r="AL38" s="424">
        <v>1363.1310000000001</v>
      </c>
      <c r="AM38" s="424">
        <v>1111.277</v>
      </c>
      <c r="AN38" s="355">
        <v>939.96699999999998</v>
      </c>
      <c r="AO38" s="424">
        <v>1038.729</v>
      </c>
      <c r="AP38" s="362">
        <v>1417</v>
      </c>
      <c r="AQ38" s="362">
        <v>1329</v>
      </c>
      <c r="AR38" s="362">
        <v>1004.86</v>
      </c>
      <c r="AS38" s="362">
        <v>1563</v>
      </c>
      <c r="AT38" s="362">
        <v>1890</v>
      </c>
      <c r="AU38" s="362">
        <v>1662</v>
      </c>
      <c r="AV38" s="362">
        <v>1564</v>
      </c>
      <c r="AW38" s="362">
        <v>1439</v>
      </c>
      <c r="AX38" s="362">
        <v>1984</v>
      </c>
      <c r="AY38" s="598"/>
      <c r="AZ38" s="362"/>
      <c r="BA38" s="362"/>
      <c r="BB38" s="362"/>
      <c r="BC38" s="362"/>
    </row>
    <row r="39" spans="2:61" x14ac:dyDescent="0.3">
      <c r="B39" s="133" t="s">
        <v>35</v>
      </c>
      <c r="K39" s="115"/>
      <c r="L39" s="115">
        <v>2.3200000000000003</v>
      </c>
      <c r="M39" s="115">
        <v>6.6999999999999993</v>
      </c>
      <c r="N39" s="115">
        <v>8.1999999999999993</v>
      </c>
      <c r="O39" s="115">
        <v>11</v>
      </c>
      <c r="P39" s="115"/>
      <c r="Q39" s="115">
        <v>0</v>
      </c>
      <c r="R39" s="115">
        <v>0</v>
      </c>
      <c r="S39" s="54"/>
      <c r="T39" s="54"/>
      <c r="Z39" s="175"/>
      <c r="AB39" s="287"/>
      <c r="AH39" s="1">
        <v>0</v>
      </c>
      <c r="AI39" s="328"/>
      <c r="AJ39" s="363"/>
      <c r="AK39" s="363"/>
      <c r="AL39" s="363"/>
      <c r="AM39" s="363"/>
      <c r="AN39" s="363"/>
      <c r="AO39" s="363"/>
      <c r="AP39" s="362"/>
      <c r="AQ39" s="362"/>
      <c r="AR39" s="362"/>
      <c r="AS39" s="362"/>
      <c r="AT39" s="362"/>
      <c r="AU39" s="362"/>
      <c r="AV39" s="362"/>
      <c r="AW39" s="362"/>
      <c r="AX39" s="362"/>
      <c r="AY39" s="598"/>
      <c r="AZ39" s="362"/>
      <c r="BA39" s="364"/>
      <c r="BB39" s="364"/>
      <c r="BC39" s="364"/>
    </row>
    <row r="40" spans="2:61" x14ac:dyDescent="0.3">
      <c r="B40" s="133" t="s">
        <v>85</v>
      </c>
      <c r="K40" s="115"/>
      <c r="L40" s="115"/>
      <c r="M40" s="115"/>
      <c r="N40" s="115"/>
      <c r="O40" s="115"/>
      <c r="P40" s="115"/>
      <c r="Q40" s="115"/>
      <c r="R40" s="115"/>
      <c r="S40" s="54"/>
      <c r="T40" s="54">
        <f>32.688+15.09</f>
        <v>47.778000000000006</v>
      </c>
      <c r="U40" s="119">
        <v>93.456999999999994</v>
      </c>
      <c r="V40" s="1">
        <v>195.559</v>
      </c>
      <c r="X40" s="1">
        <v>29.236999999999998</v>
      </c>
      <c r="Y40" s="223"/>
      <c r="Z40" s="175">
        <v>23.769500000000001</v>
      </c>
      <c r="AB40" s="287">
        <v>30.495999999999999</v>
      </c>
      <c r="AC40" s="1">
        <v>92.986000000000004</v>
      </c>
      <c r="AD40" s="1">
        <v>87.68</v>
      </c>
      <c r="AE40" s="329"/>
      <c r="AF40" s="330">
        <v>25.66</v>
      </c>
      <c r="AH40" s="1">
        <v>0</v>
      </c>
      <c r="AI40" s="328"/>
      <c r="AJ40" s="359"/>
      <c r="AK40" s="359"/>
      <c r="AL40" s="359"/>
      <c r="AM40" s="359"/>
      <c r="AN40" s="359"/>
      <c r="AO40" s="359"/>
      <c r="AP40" s="362"/>
      <c r="AQ40" s="362"/>
      <c r="AR40" s="364"/>
      <c r="AS40" s="364"/>
      <c r="AT40" s="364"/>
      <c r="AU40" s="364"/>
      <c r="AV40" s="364"/>
      <c r="AW40" s="364"/>
      <c r="AX40" s="364"/>
      <c r="AY40" s="599"/>
      <c r="AZ40" s="364"/>
      <c r="BA40" s="364"/>
      <c r="BB40" s="364"/>
      <c r="BC40" s="364"/>
    </row>
    <row r="41" spans="2:61" x14ac:dyDescent="0.3">
      <c r="B41" s="133" t="s">
        <v>67</v>
      </c>
      <c r="K41" s="115"/>
      <c r="L41" s="115"/>
      <c r="M41" s="115"/>
      <c r="N41" s="115"/>
      <c r="O41" s="115"/>
      <c r="P41" s="115"/>
      <c r="Q41" s="115"/>
      <c r="R41" s="115"/>
      <c r="S41" s="54"/>
      <c r="T41" s="54"/>
      <c r="X41" s="201"/>
      <c r="Z41" s="175"/>
      <c r="AB41" s="287"/>
      <c r="AC41" s="287">
        <f>AC42-SUM(AC37:AC40)</f>
        <v>75.524902000000111</v>
      </c>
      <c r="AD41" s="287">
        <v>443.38200000000001</v>
      </c>
      <c r="AE41" s="287"/>
      <c r="AI41" s="328"/>
      <c r="AJ41" s="406">
        <f>AJ42-AJ37-AJ38</f>
        <v>0</v>
      </c>
      <c r="AK41" s="359"/>
      <c r="AL41" s="359"/>
      <c r="AM41" s="359"/>
      <c r="AN41" s="359"/>
      <c r="AO41" s="359"/>
      <c r="AP41" s="362"/>
      <c r="AQ41" s="362"/>
      <c r="AR41" s="364"/>
      <c r="AS41" s="364"/>
      <c r="AT41" s="364"/>
      <c r="AU41" s="364"/>
      <c r="AV41" s="364"/>
      <c r="AW41" s="364"/>
      <c r="AX41" s="364"/>
      <c r="AY41" s="599"/>
      <c r="AZ41" s="364"/>
      <c r="BA41" s="364"/>
      <c r="BB41" s="364"/>
      <c r="BC41" s="364"/>
    </row>
    <row r="42" spans="2:61" x14ac:dyDescent="0.3">
      <c r="B42" s="64" t="s">
        <v>29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193.72</v>
      </c>
      <c r="M42" s="61">
        <v>473.9</v>
      </c>
      <c r="N42" s="61">
        <v>643.67900000000009</v>
      </c>
      <c r="O42" s="61">
        <v>964</v>
      </c>
      <c r="P42" s="61">
        <v>662.37199999999996</v>
      </c>
      <c r="Q42" s="61">
        <v>863.36583499999995</v>
      </c>
      <c r="R42" s="61">
        <v>1925.1221089999999</v>
      </c>
      <c r="S42" s="61">
        <v>1260.528</v>
      </c>
      <c r="T42" s="61">
        <f t="shared" ref="T42:Y42" si="1">SUM(T37:T41)</f>
        <v>2110.509</v>
      </c>
      <c r="U42" s="61">
        <f t="shared" si="1"/>
        <v>2386.4959999999996</v>
      </c>
      <c r="V42" s="61">
        <f t="shared" si="1"/>
        <v>2652.886</v>
      </c>
      <c r="W42" s="61">
        <f t="shared" si="1"/>
        <v>2172.9279999999999</v>
      </c>
      <c r="X42" s="61">
        <f t="shared" si="1"/>
        <v>1996.1390000000001</v>
      </c>
      <c r="Y42" s="61">
        <f t="shared" si="1"/>
        <v>2217.6320000000001</v>
      </c>
      <c r="Z42" s="175">
        <v>2807</v>
      </c>
      <c r="AA42" s="269">
        <v>2198.7570000000001</v>
      </c>
      <c r="AB42" s="292">
        <v>1956.30293093</v>
      </c>
      <c r="AC42" s="269">
        <v>2233.2316999999998</v>
      </c>
      <c r="AD42" s="269">
        <v>2425.2096849999998</v>
      </c>
      <c r="AE42" s="269">
        <f>SUM(AE37:AE41)</f>
        <v>2069.9475499099999</v>
      </c>
      <c r="AF42" s="326">
        <v>1612.4</v>
      </c>
      <c r="AG42" s="269">
        <v>1668.405</v>
      </c>
      <c r="AH42" s="269">
        <v>1987.93</v>
      </c>
      <c r="AI42" s="384">
        <f>SUM(AI37:AI38)</f>
        <v>1497.4639999999999</v>
      </c>
      <c r="AJ42" s="357">
        <v>1276.7</v>
      </c>
      <c r="AK42" s="425">
        <v>1272.0840000000001</v>
      </c>
      <c r="AL42" s="423">
        <v>1424.5920000000001</v>
      </c>
      <c r="AM42" s="428">
        <v>1159</v>
      </c>
      <c r="AN42" s="423">
        <f>AN37+AN38</f>
        <v>989.39400000000001</v>
      </c>
      <c r="AO42" s="423">
        <f>AO37+AO38</f>
        <v>1087.8120000000001</v>
      </c>
      <c r="AP42" s="499">
        <v>1463</v>
      </c>
      <c r="AQ42" s="362">
        <v>1435</v>
      </c>
      <c r="AR42" s="362">
        <f>AR37+AR38</f>
        <v>1137.25</v>
      </c>
      <c r="AS42" s="362">
        <v>1717</v>
      </c>
      <c r="AT42" s="362">
        <v>2061</v>
      </c>
      <c r="AU42" s="362">
        <v>1839</v>
      </c>
      <c r="AV42" s="362">
        <v>1711</v>
      </c>
      <c r="AW42" s="362">
        <v>1565</v>
      </c>
      <c r="AX42" s="362">
        <v>1565</v>
      </c>
      <c r="AY42" s="598"/>
      <c r="AZ42" s="362"/>
      <c r="BA42" s="364"/>
      <c r="BB42" s="364"/>
      <c r="BC42" s="364"/>
    </row>
    <row r="43" spans="2:61" x14ac:dyDescent="0.3">
      <c r="M43" s="115"/>
      <c r="N43" s="115"/>
      <c r="O43" s="115">
        <f>O42+N42+M42+L42</f>
        <v>2275.299</v>
      </c>
      <c r="P43" s="115"/>
      <c r="Q43" s="115"/>
      <c r="R43" s="115"/>
      <c r="S43" s="115">
        <f>S42+R42+Q42+P42</f>
        <v>4711.3879440000001</v>
      </c>
      <c r="T43" s="115"/>
      <c r="U43" s="54"/>
      <c r="Z43" s="295">
        <f>Z42*1000</f>
        <v>2807000</v>
      </c>
      <c r="AA43" s="295">
        <f>AA42*1000</f>
        <v>2198757</v>
      </c>
      <c r="AB43" s="295"/>
      <c r="AD43" s="308"/>
      <c r="AI43" s="328"/>
      <c r="AJ43" s="365"/>
      <c r="AK43" s="359"/>
      <c r="AL43" s="359"/>
      <c r="AM43" s="359"/>
      <c r="AN43" s="359"/>
      <c r="AO43" s="359"/>
      <c r="AP43" s="362"/>
      <c r="AQ43" s="362"/>
      <c r="AR43" s="364"/>
      <c r="AS43" s="364"/>
      <c r="AT43" s="364"/>
      <c r="AU43" s="364"/>
      <c r="AV43" s="364"/>
      <c r="AW43" s="364"/>
      <c r="AX43" s="364"/>
      <c r="AY43" s="364"/>
      <c r="AZ43" s="364"/>
      <c r="BA43" s="364"/>
      <c r="BB43" s="364"/>
      <c r="BC43" s="364"/>
    </row>
    <row r="44" spans="2:61" x14ac:dyDescent="0.3">
      <c r="L44" s="7">
        <f>L42/$O$43</f>
        <v>8.5140458462821811E-2</v>
      </c>
      <c r="M44" s="7">
        <f>M42/$O$43</f>
        <v>0.20828031832299843</v>
      </c>
      <c r="N44" s="7">
        <f>N42/$O$43</f>
        <v>0.28289864321128788</v>
      </c>
      <c r="O44" s="7">
        <f>O42/$O$43</f>
        <v>0.42368058000289194</v>
      </c>
      <c r="P44" s="115">
        <f>P42/$S$43</f>
        <v>0.14058956890687327</v>
      </c>
      <c r="Q44" s="115">
        <f>Q42/$S$43</f>
        <v>0.18325084778881456</v>
      </c>
      <c r="R44" s="115">
        <f>R42/$S$43</f>
        <v>0.40861039928831638</v>
      </c>
      <c r="S44" s="115">
        <f>S42/$S$43</f>
        <v>0.26754918401599576</v>
      </c>
      <c r="T44" s="115"/>
      <c r="U44" s="54"/>
      <c r="AB44" s="287"/>
      <c r="AD44" s="308"/>
      <c r="AI44" s="328"/>
      <c r="AJ44" s="359"/>
      <c r="AK44" s="359"/>
      <c r="AL44" s="359"/>
      <c r="AM44" s="359"/>
      <c r="AN44" s="359"/>
      <c r="AO44" s="359"/>
      <c r="AP44" s="362"/>
      <c r="AQ44" s="362"/>
      <c r="AR44" s="364"/>
      <c r="AS44" s="364"/>
      <c r="AT44" s="364"/>
      <c r="AU44" s="364"/>
      <c r="AV44" s="364"/>
      <c r="AW44" s="364"/>
      <c r="AX44" s="364"/>
      <c r="AY44" s="364"/>
      <c r="AZ44" s="364"/>
      <c r="BA44" s="364"/>
      <c r="BB44" s="364"/>
      <c r="BC44" s="364"/>
    </row>
    <row r="45" spans="2:61" x14ac:dyDescent="0.3">
      <c r="L45" s="115"/>
      <c r="M45" s="115"/>
      <c r="N45" s="115"/>
      <c r="O45" s="115"/>
      <c r="P45" s="115"/>
      <c r="Q45" s="115"/>
      <c r="R45" s="115"/>
      <c r="S45" s="115"/>
      <c r="T45" s="54"/>
      <c r="AB45" s="287"/>
      <c r="AI45" s="328"/>
      <c r="AJ45" s="359"/>
      <c r="AK45" s="359"/>
      <c r="AL45" s="359"/>
      <c r="AM45" s="359"/>
      <c r="AN45" s="359"/>
      <c r="AO45" s="359"/>
      <c r="AP45" s="362"/>
      <c r="AQ45" s="362"/>
      <c r="AR45" s="362"/>
      <c r="AS45" s="362"/>
      <c r="AT45" s="362"/>
      <c r="AU45" s="362"/>
      <c r="AV45" s="362"/>
      <c r="AW45" s="362"/>
      <c r="AX45" s="362"/>
      <c r="AY45" s="362"/>
      <c r="AZ45" s="362"/>
      <c r="BA45" s="364"/>
      <c r="BB45" s="364"/>
      <c r="BC45" s="364"/>
    </row>
    <row r="46" spans="2:61" x14ac:dyDescent="0.3">
      <c r="L46" s="115"/>
      <c r="M46" s="115"/>
      <c r="N46" s="115"/>
      <c r="O46" s="115"/>
      <c r="P46" s="115"/>
      <c r="Q46" s="115"/>
      <c r="R46" s="115"/>
      <c r="S46" s="136" t="s">
        <v>88</v>
      </c>
      <c r="T46" s="137">
        <v>1000</v>
      </c>
      <c r="AB46" s="287"/>
      <c r="AI46" s="328"/>
      <c r="AJ46" s="359"/>
      <c r="AK46" s="359"/>
      <c r="AL46" s="359"/>
      <c r="AM46" s="359"/>
      <c r="AN46" s="359"/>
      <c r="AO46" s="359"/>
      <c r="AP46" s="362"/>
      <c r="AQ46" s="362"/>
      <c r="AR46" s="364"/>
      <c r="AS46" s="364"/>
      <c r="AT46" s="364"/>
      <c r="AU46" s="364"/>
      <c r="AV46" s="364"/>
      <c r="AW46" s="364"/>
      <c r="AX46" s="364"/>
      <c r="AY46" s="364"/>
      <c r="AZ46" s="364"/>
      <c r="BA46" s="364"/>
      <c r="BB46" s="364"/>
      <c r="BC46" s="364"/>
    </row>
    <row r="47" spans="2:61" x14ac:dyDescent="0.3">
      <c r="C47" s="124">
        <v>2007</v>
      </c>
      <c r="D47" s="720">
        <v>2008</v>
      </c>
      <c r="E47" s="720"/>
      <c r="F47" s="720"/>
      <c r="G47" s="720"/>
      <c r="H47" s="720">
        <v>2009</v>
      </c>
      <c r="I47" s="720"/>
      <c r="J47" s="720"/>
      <c r="K47" s="720"/>
      <c r="L47" s="720">
        <v>2010</v>
      </c>
      <c r="M47" s="720"/>
      <c r="N47" s="720"/>
      <c r="O47" s="720"/>
      <c r="P47" s="720">
        <v>2011</v>
      </c>
      <c r="Q47" s="720"/>
      <c r="R47" s="720"/>
      <c r="S47" s="720"/>
      <c r="T47" s="720">
        <v>2012</v>
      </c>
      <c r="U47" s="720"/>
      <c r="V47" s="720"/>
      <c r="W47" s="720"/>
      <c r="X47" s="720">
        <v>2013</v>
      </c>
      <c r="Y47" s="720"/>
      <c r="Z47" s="720"/>
      <c r="AA47" s="720"/>
      <c r="AB47" s="739">
        <v>2014</v>
      </c>
      <c r="AC47" s="739"/>
      <c r="AD47" s="739"/>
      <c r="AE47" s="739"/>
      <c r="AF47" s="736">
        <v>2015</v>
      </c>
      <c r="AG47" s="736"/>
      <c r="AH47" s="736"/>
      <c r="AI47" s="736"/>
      <c r="AJ47" s="738">
        <v>2016</v>
      </c>
      <c r="AK47" s="738"/>
      <c r="AL47" s="738"/>
      <c r="AM47" s="738"/>
      <c r="AN47" s="359">
        <v>2017</v>
      </c>
      <c r="AO47" s="359"/>
      <c r="AP47" s="362"/>
      <c r="AQ47" s="362"/>
      <c r="AR47" s="364"/>
      <c r="AS47" s="364"/>
      <c r="AT47" s="364"/>
      <c r="AU47" s="364"/>
      <c r="AV47" s="364">
        <v>2019</v>
      </c>
      <c r="AW47" s="364"/>
      <c r="AX47" s="364"/>
      <c r="AY47" s="364"/>
      <c r="AZ47" s="735">
        <v>2020</v>
      </c>
      <c r="BA47" s="735"/>
      <c r="BB47" s="364"/>
      <c r="BC47" s="364"/>
      <c r="BH47" s="1">
        <v>2022</v>
      </c>
    </row>
    <row r="48" spans="2:61" ht="17.25" x14ac:dyDescent="0.3">
      <c r="B48" s="123" t="s">
        <v>154</v>
      </c>
      <c r="C48" s="481" t="s">
        <v>28</v>
      </c>
      <c r="D48" s="481" t="s">
        <v>13</v>
      </c>
      <c r="E48" s="481" t="s">
        <v>14</v>
      </c>
      <c r="F48" s="481" t="s">
        <v>15</v>
      </c>
      <c r="G48" s="481" t="s">
        <v>16</v>
      </c>
      <c r="H48" s="481" t="s">
        <v>17</v>
      </c>
      <c r="I48" s="481" t="s">
        <v>18</v>
      </c>
      <c r="J48" s="481" t="s">
        <v>19</v>
      </c>
      <c r="K48" s="481" t="s">
        <v>20</v>
      </c>
      <c r="L48" s="481" t="s">
        <v>8</v>
      </c>
      <c r="M48" s="481" t="s">
        <v>1</v>
      </c>
      <c r="N48" s="481" t="s">
        <v>33</v>
      </c>
      <c r="O48" s="481" t="s">
        <v>37</v>
      </c>
      <c r="P48" s="481" t="s">
        <v>40</v>
      </c>
      <c r="Q48" s="481" t="s">
        <v>50</v>
      </c>
      <c r="R48" s="481" t="s">
        <v>51</v>
      </c>
      <c r="S48" s="481" t="s">
        <v>42</v>
      </c>
      <c r="T48" s="481" t="s">
        <v>56</v>
      </c>
      <c r="U48" s="132" t="s">
        <v>95</v>
      </c>
      <c r="V48" s="132" t="s">
        <v>99</v>
      </c>
      <c r="W48" s="132" t="s">
        <v>107</v>
      </c>
      <c r="X48" s="481" t="s">
        <v>110</v>
      </c>
      <c r="Y48" s="221" t="s">
        <v>112</v>
      </c>
      <c r="Z48" s="221" t="s">
        <v>116</v>
      </c>
      <c r="AA48" s="221" t="s">
        <v>119</v>
      </c>
      <c r="AB48" s="221" t="s">
        <v>123</v>
      </c>
      <c r="AC48" s="221" t="s">
        <v>124</v>
      </c>
      <c r="AD48" s="221" t="s">
        <v>125</v>
      </c>
      <c r="AE48" s="220" t="s">
        <v>121</v>
      </c>
      <c r="AF48" s="221" t="s">
        <v>120</v>
      </c>
      <c r="AG48" s="221" t="s">
        <v>122</v>
      </c>
      <c r="AH48" s="221" t="s">
        <v>117</v>
      </c>
      <c r="AI48" s="221" t="s">
        <v>121</v>
      </c>
      <c r="AJ48" s="232" t="s">
        <v>120</v>
      </c>
      <c r="AK48" s="232" t="s">
        <v>122</v>
      </c>
      <c r="AL48" s="422" t="s">
        <v>117</v>
      </c>
      <c r="AM48" s="422" t="s">
        <v>121</v>
      </c>
      <c r="AN48" s="422" t="s">
        <v>120</v>
      </c>
      <c r="AO48" s="422" t="s">
        <v>122</v>
      </c>
      <c r="AP48" s="422" t="s">
        <v>117</v>
      </c>
      <c r="AQ48" s="504" t="s">
        <v>121</v>
      </c>
      <c r="AR48" s="535" t="s">
        <v>120</v>
      </c>
      <c r="AS48" s="535" t="s">
        <v>122</v>
      </c>
      <c r="AT48" s="535" t="s">
        <v>117</v>
      </c>
      <c r="AU48" s="535" t="s">
        <v>121</v>
      </c>
      <c r="AV48" s="535" t="s">
        <v>120</v>
      </c>
      <c r="AW48" s="535" t="s">
        <v>122</v>
      </c>
      <c r="AX48" s="535" t="s">
        <v>117</v>
      </c>
      <c r="AY48" s="535" t="s">
        <v>121</v>
      </c>
      <c r="AZ48" s="535" t="s">
        <v>120</v>
      </c>
      <c r="BA48" s="535" t="s">
        <v>122</v>
      </c>
      <c r="BB48" s="535" t="s">
        <v>117</v>
      </c>
      <c r="BC48" s="535" t="s">
        <v>121</v>
      </c>
      <c r="BD48" s="535" t="s">
        <v>120</v>
      </c>
      <c r="BE48" s="535" t="s">
        <v>122</v>
      </c>
      <c r="BF48" s="535" t="s">
        <v>117</v>
      </c>
      <c r="BG48" s="535" t="s">
        <v>121</v>
      </c>
      <c r="BH48" s="535" t="s">
        <v>120</v>
      </c>
      <c r="BI48" s="535" t="s">
        <v>122</v>
      </c>
    </row>
    <row r="49" spans="2:61" x14ac:dyDescent="0.3">
      <c r="B49" s="133" t="s">
        <v>2</v>
      </c>
      <c r="C49" s="482"/>
      <c r="D49" s="482"/>
      <c r="E49" s="482"/>
      <c r="F49" s="482"/>
      <c r="G49" s="482"/>
      <c r="H49" s="482"/>
      <c r="I49" s="482"/>
      <c r="J49" s="482"/>
      <c r="K49" s="115"/>
      <c r="L49" s="115">
        <v>4.5</v>
      </c>
      <c r="M49" s="115">
        <v>27.5</v>
      </c>
      <c r="N49" s="115">
        <v>21.497</v>
      </c>
      <c r="O49" s="115">
        <v>38</v>
      </c>
      <c r="P49" s="115">
        <v>30.684000000000001</v>
      </c>
      <c r="Q49" s="115">
        <v>46.813462999999999</v>
      </c>
      <c r="R49" s="115">
        <v>118.042428</v>
      </c>
      <c r="S49" s="54">
        <v>55.527999999999999</v>
      </c>
      <c r="T49" s="54">
        <v>99.313000000000002</v>
      </c>
      <c r="U49" s="482">
        <f>24.721+93.296</f>
        <v>118.01700000000001</v>
      </c>
      <c r="V49" s="1">
        <f>25.63+96.892</f>
        <v>122.52199999999999</v>
      </c>
      <c r="W49" s="1">
        <f>20.682+87.345</f>
        <v>108.027</v>
      </c>
      <c r="X49" s="1">
        <f>78.589+17.921</f>
        <v>96.509999999999991</v>
      </c>
      <c r="Y49" s="220">
        <f>19.638+92.889</f>
        <v>112.527</v>
      </c>
      <c r="Z49" s="175">
        <v>125.67</v>
      </c>
      <c r="AB49" s="294"/>
      <c r="AD49" s="308"/>
      <c r="AI49" s="327"/>
      <c r="AJ49" s="359"/>
      <c r="AK49" s="359"/>
      <c r="AL49" s="423"/>
      <c r="AM49" s="423"/>
      <c r="AN49" s="359"/>
      <c r="AO49" s="423">
        <f>233+53</f>
        <v>286</v>
      </c>
      <c r="AP49" s="360">
        <v>76</v>
      </c>
      <c r="AQ49" s="360">
        <v>70</v>
      </c>
      <c r="AR49" s="361">
        <v>61</v>
      </c>
      <c r="AS49" s="361">
        <v>66</v>
      </c>
      <c r="AT49" s="361">
        <v>71</v>
      </c>
      <c r="AU49" s="361">
        <v>67</v>
      </c>
      <c r="AV49" s="361"/>
      <c r="AW49" s="361">
        <v>62</v>
      </c>
      <c r="AX49" s="361">
        <v>64</v>
      </c>
      <c r="AY49" s="361">
        <v>53</v>
      </c>
      <c r="AZ49" s="361">
        <v>43</v>
      </c>
      <c r="BA49" s="360">
        <v>47</v>
      </c>
      <c r="BB49" s="360">
        <v>47</v>
      </c>
      <c r="BC49" s="360">
        <v>44</v>
      </c>
      <c r="BD49" s="1">
        <v>41</v>
      </c>
      <c r="BE49" s="1">
        <v>32</v>
      </c>
      <c r="BF49" s="1">
        <v>37</v>
      </c>
      <c r="BG49" s="1">
        <v>37</v>
      </c>
      <c r="BH49" s="1">
        <v>37</v>
      </c>
      <c r="BI49" s="1">
        <v>632350</v>
      </c>
    </row>
    <row r="50" spans="2:61" x14ac:dyDescent="0.3">
      <c r="B50" s="133" t="s">
        <v>10</v>
      </c>
      <c r="C50" s="482"/>
      <c r="D50" s="482"/>
      <c r="E50" s="482"/>
      <c r="F50" s="482"/>
      <c r="G50" s="482"/>
      <c r="H50" s="482"/>
      <c r="I50" s="482"/>
      <c r="J50" s="482"/>
      <c r="K50" s="115"/>
      <c r="L50" s="115">
        <v>186.9</v>
      </c>
      <c r="M50" s="115">
        <v>439.7</v>
      </c>
      <c r="N50" s="115">
        <v>613.98200000000008</v>
      </c>
      <c r="O50" s="115">
        <v>915</v>
      </c>
      <c r="P50" s="115">
        <v>631.68799999999999</v>
      </c>
      <c r="Q50" s="115">
        <v>816.55237199999999</v>
      </c>
      <c r="R50" s="115">
        <v>1807.0796809999999</v>
      </c>
      <c r="S50" s="54">
        <v>1205</v>
      </c>
      <c r="T50" s="54">
        <v>1963.4180000000001</v>
      </c>
      <c r="U50" s="482">
        <f>2045.079+129.943</f>
        <v>2175.0219999999999</v>
      </c>
      <c r="V50" s="1">
        <f>2210.759+124.046</f>
        <v>2334.8049999999998</v>
      </c>
      <c r="W50" s="1">
        <f>1936.276+128.625</f>
        <v>2064.9009999999998</v>
      </c>
      <c r="X50" s="1">
        <f>1742.607+127.785</f>
        <v>1870.3920000000001</v>
      </c>
      <c r="Y50" s="220">
        <f>143.53+1961.575</f>
        <v>2105.105</v>
      </c>
      <c r="Z50" s="175">
        <v>2680.37</v>
      </c>
      <c r="AA50" s="175"/>
      <c r="AB50" s="290"/>
      <c r="AC50" s="287"/>
      <c r="AD50" s="308"/>
      <c r="AE50" s="287"/>
      <c r="AI50" s="328"/>
      <c r="AJ50" s="359"/>
      <c r="AK50" s="355"/>
      <c r="AL50" s="424"/>
      <c r="AM50" s="424"/>
      <c r="AN50" s="355"/>
      <c r="AO50" s="424">
        <v>5</v>
      </c>
      <c r="AP50" s="362">
        <v>21</v>
      </c>
      <c r="AQ50" s="362">
        <v>19</v>
      </c>
      <c r="AR50" s="362">
        <v>17</v>
      </c>
      <c r="AS50" s="362">
        <v>18</v>
      </c>
      <c r="AT50" s="362">
        <v>18</v>
      </c>
      <c r="AU50" s="362">
        <v>16</v>
      </c>
      <c r="AV50" s="362"/>
      <c r="AW50" s="362">
        <v>17</v>
      </c>
      <c r="AX50" s="362">
        <v>18</v>
      </c>
      <c r="AY50" s="362">
        <v>17</v>
      </c>
      <c r="AZ50" s="362">
        <v>12</v>
      </c>
      <c r="BA50" s="362">
        <v>14</v>
      </c>
      <c r="BB50" s="362">
        <v>16</v>
      </c>
      <c r="BC50" s="362">
        <v>15</v>
      </c>
      <c r="BD50" s="1">
        <v>14</v>
      </c>
      <c r="BE50" s="1">
        <v>23</v>
      </c>
      <c r="BF50" s="1">
        <v>24</v>
      </c>
      <c r="BG50" s="1">
        <v>24</v>
      </c>
      <c r="BH50" s="1">
        <v>24</v>
      </c>
      <c r="BI50" s="1">
        <v>191596</v>
      </c>
    </row>
    <row r="51" spans="2:61" x14ac:dyDescent="0.3">
      <c r="B51" s="133" t="s">
        <v>35</v>
      </c>
      <c r="C51" s="482"/>
      <c r="D51" s="482"/>
      <c r="E51" s="482"/>
      <c r="F51" s="482"/>
      <c r="G51" s="482"/>
      <c r="H51" s="482"/>
      <c r="I51" s="482"/>
      <c r="J51" s="482"/>
      <c r="K51" s="115"/>
      <c r="L51" s="115">
        <v>2.3200000000000003</v>
      </c>
      <c r="M51" s="115">
        <v>6.6999999999999993</v>
      </c>
      <c r="N51" s="115">
        <v>8.1999999999999993</v>
      </c>
      <c r="O51" s="115">
        <v>11</v>
      </c>
      <c r="P51" s="115"/>
      <c r="Q51" s="115">
        <v>0</v>
      </c>
      <c r="R51" s="115">
        <v>0</v>
      </c>
      <c r="S51" s="54"/>
      <c r="T51" s="54"/>
      <c r="U51" s="482"/>
      <c r="Z51" s="175"/>
      <c r="AB51" s="287"/>
      <c r="AI51" s="328"/>
      <c r="AJ51" s="363"/>
      <c r="AK51" s="363"/>
      <c r="AL51" s="363"/>
      <c r="AM51" s="363"/>
      <c r="AN51" s="363"/>
      <c r="AO51" s="363"/>
      <c r="AP51" s="362">
        <v>60</v>
      </c>
      <c r="AQ51" s="362">
        <v>62</v>
      </c>
      <c r="AR51" s="362">
        <v>59</v>
      </c>
      <c r="AS51" s="362">
        <v>150</v>
      </c>
      <c r="AT51" s="362">
        <v>150</v>
      </c>
      <c r="AU51" s="362">
        <v>150</v>
      </c>
      <c r="AV51" s="362">
        <v>150</v>
      </c>
      <c r="AW51" s="362">
        <v>150</v>
      </c>
      <c r="AX51" s="362">
        <v>150</v>
      </c>
      <c r="AY51" s="362">
        <v>150</v>
      </c>
      <c r="AZ51" s="362">
        <v>150</v>
      </c>
      <c r="BA51" s="364">
        <v>151</v>
      </c>
      <c r="BB51" s="364">
        <v>151</v>
      </c>
      <c r="BC51" s="364">
        <v>151</v>
      </c>
      <c r="BD51" s="1">
        <v>151</v>
      </c>
      <c r="BE51" s="1">
        <v>151</v>
      </c>
      <c r="BF51" s="1">
        <v>151</v>
      </c>
      <c r="BG51" s="1">
        <v>151</v>
      </c>
      <c r="BH51" s="1">
        <v>151</v>
      </c>
      <c r="BI51" s="1">
        <v>151</v>
      </c>
    </row>
    <row r="52" spans="2:61" x14ac:dyDescent="0.3">
      <c r="B52" s="133" t="s">
        <v>85</v>
      </c>
      <c r="C52" s="482"/>
      <c r="D52" s="482"/>
      <c r="E52" s="482"/>
      <c r="F52" s="482"/>
      <c r="G52" s="482"/>
      <c r="H52" s="482"/>
      <c r="I52" s="482"/>
      <c r="J52" s="482"/>
      <c r="K52" s="115"/>
      <c r="L52" s="115"/>
      <c r="M52" s="115"/>
      <c r="N52" s="115"/>
      <c r="O52" s="115"/>
      <c r="P52" s="115"/>
      <c r="Q52" s="115"/>
      <c r="R52" s="115"/>
      <c r="S52" s="54"/>
      <c r="T52" s="54">
        <f>32.688+15.09</f>
        <v>47.778000000000006</v>
      </c>
      <c r="U52" s="482">
        <v>93.456999999999994</v>
      </c>
      <c r="V52" s="1">
        <v>195.559</v>
      </c>
      <c r="X52" s="1">
        <v>29.236999999999998</v>
      </c>
      <c r="Y52" s="223"/>
      <c r="Z52" s="175">
        <v>23.769500000000001</v>
      </c>
      <c r="AB52" s="287"/>
      <c r="AE52" s="329"/>
      <c r="AF52" s="330"/>
      <c r="AI52" s="328"/>
      <c r="AJ52" s="359"/>
      <c r="AK52" s="359"/>
      <c r="AL52" s="359"/>
      <c r="AM52" s="359"/>
      <c r="AN52" s="359"/>
      <c r="AO52" s="359"/>
      <c r="AP52" s="362"/>
      <c r="AQ52" s="362"/>
      <c r="AR52" s="364">
        <v>0</v>
      </c>
      <c r="AS52" s="364">
        <v>0</v>
      </c>
      <c r="AT52" s="364">
        <v>0</v>
      </c>
      <c r="AU52" s="364">
        <v>0</v>
      </c>
      <c r="AV52" s="364">
        <v>0</v>
      </c>
      <c r="AW52" s="364">
        <v>0</v>
      </c>
      <c r="AX52" s="364">
        <v>0</v>
      </c>
      <c r="AY52" s="364">
        <v>0</v>
      </c>
      <c r="AZ52" s="364">
        <v>0</v>
      </c>
      <c r="BA52" s="364"/>
      <c r="BB52" s="364">
        <v>0</v>
      </c>
      <c r="BC52" s="364"/>
    </row>
    <row r="53" spans="2:61" x14ac:dyDescent="0.3">
      <c r="B53" s="133" t="s">
        <v>67</v>
      </c>
      <c r="C53" s="482"/>
      <c r="D53" s="482"/>
      <c r="E53" s="482"/>
      <c r="F53" s="482"/>
      <c r="G53" s="482"/>
      <c r="H53" s="482"/>
      <c r="I53" s="482"/>
      <c r="J53" s="482"/>
      <c r="K53" s="115"/>
      <c r="L53" s="115"/>
      <c r="M53" s="115"/>
      <c r="N53" s="115"/>
      <c r="O53" s="115"/>
      <c r="P53" s="115"/>
      <c r="Q53" s="115"/>
      <c r="R53" s="115"/>
      <c r="S53" s="54"/>
      <c r="T53" s="54"/>
      <c r="U53" s="482"/>
      <c r="X53" s="201"/>
      <c r="Z53" s="175"/>
      <c r="AB53" s="287"/>
      <c r="AC53" s="287"/>
      <c r="AD53" s="287"/>
      <c r="AE53" s="287"/>
      <c r="AI53" s="328"/>
      <c r="AJ53" s="406"/>
      <c r="AK53" s="359"/>
      <c r="AL53" s="359"/>
      <c r="AM53" s="359"/>
      <c r="AN53" s="359"/>
      <c r="AO53" s="359">
        <v>2</v>
      </c>
      <c r="AP53" s="362">
        <v>531.09</v>
      </c>
      <c r="AQ53" s="362">
        <v>257.58999999999997</v>
      </c>
      <c r="AR53" s="364">
        <v>274.41000000000003</v>
      </c>
      <c r="AS53" s="364">
        <v>180</v>
      </c>
      <c r="AT53" s="364">
        <v>230</v>
      </c>
      <c r="AU53" s="364">
        <v>104</v>
      </c>
      <c r="AV53" s="364"/>
      <c r="AW53" s="364"/>
      <c r="AX53" s="364"/>
      <c r="AY53" s="364"/>
      <c r="AZ53" s="364"/>
      <c r="BA53" s="364"/>
      <c r="BB53" s="364"/>
      <c r="BC53" s="364"/>
    </row>
    <row r="54" spans="2:61" x14ac:dyDescent="0.3">
      <c r="B54" s="64" t="s">
        <v>29</v>
      </c>
      <c r="C54" s="61">
        <v>0</v>
      </c>
      <c r="D54" s="61">
        <v>0</v>
      </c>
      <c r="E54" s="61">
        <v>0</v>
      </c>
      <c r="F54" s="61">
        <v>0</v>
      </c>
      <c r="G54" s="61">
        <v>0</v>
      </c>
      <c r="H54" s="61">
        <v>0</v>
      </c>
      <c r="I54" s="61">
        <v>0</v>
      </c>
      <c r="J54" s="61">
        <v>0</v>
      </c>
      <c r="K54" s="61">
        <v>0</v>
      </c>
      <c r="L54" s="61">
        <v>193.72</v>
      </c>
      <c r="M54" s="61">
        <v>473.9</v>
      </c>
      <c r="N54" s="61">
        <v>643.67900000000009</v>
      </c>
      <c r="O54" s="61">
        <v>964</v>
      </c>
      <c r="P54" s="61">
        <v>662.37199999999996</v>
      </c>
      <c r="Q54" s="61">
        <v>863.36583499999995</v>
      </c>
      <c r="R54" s="61">
        <v>1925.1221089999999</v>
      </c>
      <c r="S54" s="61">
        <v>1260.528</v>
      </c>
      <c r="T54" s="61">
        <f t="shared" ref="T54:Y54" si="2">SUM(T49:T53)</f>
        <v>2110.509</v>
      </c>
      <c r="U54" s="61">
        <f t="shared" si="2"/>
        <v>2386.4959999999996</v>
      </c>
      <c r="V54" s="61">
        <f t="shared" si="2"/>
        <v>2652.886</v>
      </c>
      <c r="W54" s="61">
        <f t="shared" si="2"/>
        <v>2172.9279999999999</v>
      </c>
      <c r="X54" s="61">
        <f t="shared" si="2"/>
        <v>1996.1390000000001</v>
      </c>
      <c r="Y54" s="61">
        <f t="shared" si="2"/>
        <v>2217.6320000000001</v>
      </c>
      <c r="Z54" s="175">
        <v>2807</v>
      </c>
      <c r="AA54" s="269"/>
      <c r="AB54" s="292"/>
      <c r="AC54" s="269"/>
      <c r="AD54" s="269"/>
      <c r="AE54" s="269"/>
      <c r="AF54" s="326"/>
      <c r="AG54" s="269"/>
      <c r="AH54" s="269"/>
      <c r="AI54" s="384"/>
      <c r="AJ54" s="357"/>
      <c r="AK54" s="425"/>
      <c r="AL54" s="423"/>
      <c r="AM54" s="428"/>
      <c r="AN54" s="423"/>
      <c r="AO54" s="423">
        <f>AO49+AO50+AO53</f>
        <v>293</v>
      </c>
      <c r="AP54" s="503">
        <v>688.09</v>
      </c>
      <c r="AQ54" s="362">
        <v>408.59</v>
      </c>
      <c r="AR54" s="362">
        <v>411.41</v>
      </c>
      <c r="AS54" s="362">
        <v>414</v>
      </c>
      <c r="AT54" s="362">
        <v>469</v>
      </c>
      <c r="AU54" s="362">
        <v>337</v>
      </c>
      <c r="AV54" s="362">
        <v>310</v>
      </c>
      <c r="AW54" s="362">
        <v>757</v>
      </c>
      <c r="AX54" s="362">
        <v>757</v>
      </c>
      <c r="AY54" s="362">
        <v>813.57</v>
      </c>
      <c r="AZ54" s="362">
        <v>782.04</v>
      </c>
      <c r="BA54" s="362">
        <v>771.56</v>
      </c>
      <c r="BB54" s="362">
        <v>854.07</v>
      </c>
      <c r="BC54" s="364">
        <v>835.5</v>
      </c>
      <c r="BD54" s="1">
        <v>831</v>
      </c>
      <c r="BE54" s="1">
        <v>831.47</v>
      </c>
      <c r="BF54" s="1">
        <v>873.04</v>
      </c>
      <c r="BG54" s="1">
        <v>872.77</v>
      </c>
      <c r="BH54" s="1">
        <v>863.1</v>
      </c>
      <c r="BI54" s="1">
        <v>823.95</v>
      </c>
    </row>
    <row r="55" spans="2:61" x14ac:dyDescent="0.3"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115"/>
      <c r="N55" s="115"/>
      <c r="O55" s="115">
        <f>O54+N54+M54+L54</f>
        <v>2275.299</v>
      </c>
      <c r="P55" s="115"/>
      <c r="Q55" s="115"/>
      <c r="R55" s="115"/>
      <c r="S55" s="115">
        <f>S54+R54+Q54+P54</f>
        <v>4711.3879440000001</v>
      </c>
      <c r="T55" s="115"/>
      <c r="U55" s="54"/>
      <c r="Z55" s="295">
        <f>Z54*1000</f>
        <v>2807000</v>
      </c>
      <c r="AA55" s="295"/>
      <c r="AB55" s="295"/>
      <c r="AD55" s="308"/>
      <c r="AI55" s="328"/>
      <c r="AJ55" s="365"/>
      <c r="AK55" s="359"/>
      <c r="AL55" s="359"/>
      <c r="AM55" s="359"/>
      <c r="AN55" s="359"/>
      <c r="AO55" s="359"/>
      <c r="AP55" s="362"/>
      <c r="AQ55" s="362"/>
      <c r="AR55" s="364"/>
      <c r="AS55" s="364"/>
      <c r="AT55" s="364"/>
      <c r="AU55" s="364"/>
      <c r="AV55" s="364"/>
      <c r="AW55" s="364"/>
      <c r="AX55" s="364"/>
      <c r="AY55" s="364"/>
      <c r="AZ55" s="364"/>
      <c r="BA55" s="364"/>
      <c r="BB55" s="364"/>
      <c r="BC55" s="364"/>
    </row>
    <row r="56" spans="2:61" x14ac:dyDescent="0.3">
      <c r="B56" s="482"/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115"/>
      <c r="N56" s="115"/>
      <c r="O56" s="115"/>
      <c r="P56" s="115"/>
      <c r="Q56" s="115"/>
      <c r="R56" s="115"/>
      <c r="S56" s="115"/>
      <c r="T56" s="115"/>
      <c r="U56" s="54"/>
      <c r="Z56" s="295"/>
      <c r="AA56" s="295"/>
      <c r="AB56" s="295"/>
      <c r="AD56" s="308"/>
      <c r="AI56" s="328"/>
      <c r="AJ56" s="365"/>
      <c r="AK56" s="359"/>
      <c r="AL56" s="359"/>
      <c r="AM56" s="359"/>
      <c r="AN56" s="359"/>
      <c r="AO56" s="359"/>
      <c r="AP56" s="362"/>
      <c r="AQ56" s="362"/>
      <c r="AR56" s="364"/>
      <c r="AS56" s="364"/>
      <c r="AT56" s="364"/>
      <c r="AU56" s="364"/>
      <c r="AV56" s="364"/>
      <c r="AW56" s="364"/>
      <c r="AX56" s="364"/>
      <c r="AY56" s="364"/>
      <c r="AZ56" s="364"/>
      <c r="BA56" s="364"/>
      <c r="BB56" s="364"/>
      <c r="BC56" s="364"/>
    </row>
    <row r="57" spans="2:61" x14ac:dyDescent="0.3">
      <c r="B57" s="482"/>
      <c r="C57" s="482"/>
      <c r="D57" s="482"/>
      <c r="E57" s="482"/>
      <c r="F57" s="482"/>
      <c r="G57" s="482"/>
      <c r="H57" s="482"/>
      <c r="I57" s="482"/>
      <c r="J57" s="482"/>
      <c r="K57" s="482"/>
      <c r="L57" s="482"/>
      <c r="M57" s="115"/>
      <c r="N57" s="115"/>
      <c r="O57" s="115"/>
      <c r="P57" s="115"/>
      <c r="Q57" s="115"/>
      <c r="R57" s="115"/>
      <c r="S57" s="115"/>
      <c r="T57" s="115"/>
      <c r="U57" s="54"/>
      <c r="Z57" s="295"/>
      <c r="AA57" s="295"/>
      <c r="AB57" s="295"/>
      <c r="AD57" s="308"/>
      <c r="AI57" s="328"/>
      <c r="AJ57" s="365"/>
      <c r="AK57" s="359"/>
      <c r="AL57" s="359"/>
      <c r="AM57" s="359"/>
      <c r="AN57" s="359"/>
      <c r="AO57" s="359"/>
      <c r="AP57" s="362"/>
      <c r="AQ57" s="362"/>
      <c r="AR57" s="364"/>
      <c r="AS57" s="364"/>
      <c r="AT57" s="364"/>
      <c r="AU57" s="364"/>
      <c r="AV57" s="364"/>
      <c r="AW57" s="364"/>
      <c r="AX57" s="364"/>
      <c r="AY57" s="364"/>
      <c r="AZ57" s="364"/>
      <c r="BA57" s="364"/>
      <c r="BB57" s="364"/>
      <c r="BC57" s="364"/>
    </row>
    <row r="58" spans="2:61" x14ac:dyDescent="0.3">
      <c r="B58" s="482"/>
      <c r="C58" s="482"/>
      <c r="D58" s="482"/>
      <c r="E58" s="482"/>
      <c r="F58" s="482"/>
      <c r="G58" s="482"/>
      <c r="H58" s="482"/>
      <c r="I58" s="482"/>
      <c r="J58" s="482"/>
      <c r="K58" s="482"/>
      <c r="L58" s="482"/>
      <c r="M58" s="115"/>
      <c r="N58" s="115"/>
      <c r="O58" s="115"/>
      <c r="P58" s="115"/>
      <c r="Q58" s="115"/>
      <c r="R58" s="115"/>
      <c r="S58" s="115"/>
      <c r="T58" s="115"/>
      <c r="U58" s="54"/>
      <c r="Z58" s="295"/>
      <c r="AA58" s="295"/>
      <c r="AB58" s="295"/>
      <c r="AD58" s="308"/>
      <c r="AI58" s="328"/>
      <c r="AJ58" s="365"/>
      <c r="AK58" s="359"/>
      <c r="AL58" s="359"/>
      <c r="AM58" s="359"/>
      <c r="AN58" s="359">
        <v>2017</v>
      </c>
      <c r="AO58" s="359"/>
      <c r="AP58" s="362"/>
      <c r="AQ58" s="362"/>
      <c r="AR58" s="364"/>
      <c r="AS58" s="364"/>
      <c r="AT58" s="364"/>
      <c r="AU58" s="364"/>
      <c r="AV58" s="364"/>
      <c r="AW58" s="364"/>
      <c r="AX58" s="364"/>
      <c r="AY58" s="364"/>
      <c r="AZ58" s="735">
        <v>2020</v>
      </c>
      <c r="BA58" s="735"/>
      <c r="BB58" s="735"/>
      <c r="BC58" s="735"/>
      <c r="BD58" s="670">
        <v>2021</v>
      </c>
      <c r="BE58" s="670"/>
      <c r="BF58" s="670"/>
      <c r="BG58" s="670"/>
      <c r="BH58" s="670"/>
      <c r="BI58" s="670"/>
    </row>
    <row r="59" spans="2:61" x14ac:dyDescent="0.3">
      <c r="C59" s="124" t="s">
        <v>47</v>
      </c>
      <c r="D59" s="124" t="s">
        <v>43</v>
      </c>
      <c r="E59" s="124" t="s">
        <v>46</v>
      </c>
      <c r="F59" s="124" t="s">
        <v>45</v>
      </c>
      <c r="G59" s="124" t="s">
        <v>44</v>
      </c>
      <c r="H59" s="124" t="s">
        <v>43</v>
      </c>
      <c r="I59" s="124" t="s">
        <v>46</v>
      </c>
      <c r="J59" s="124" t="s">
        <v>45</v>
      </c>
      <c r="K59" s="124" t="s">
        <v>44</v>
      </c>
      <c r="L59" s="124" t="s">
        <v>43</v>
      </c>
      <c r="M59" s="124" t="s">
        <v>46</v>
      </c>
      <c r="N59" s="124" t="s">
        <v>45</v>
      </c>
      <c r="O59" s="124" t="s">
        <v>44</v>
      </c>
      <c r="P59" s="124" t="s">
        <v>48</v>
      </c>
      <c r="Q59" s="124" t="s">
        <v>49</v>
      </c>
      <c r="R59" s="124" t="s">
        <v>45</v>
      </c>
      <c r="S59" s="124" t="s">
        <v>47</v>
      </c>
      <c r="T59" s="124" t="s">
        <v>48</v>
      </c>
      <c r="U59" s="124" t="s">
        <v>49</v>
      </c>
      <c r="V59" s="174" t="s">
        <v>45</v>
      </c>
      <c r="W59" s="192" t="s">
        <v>47</v>
      </c>
      <c r="X59" s="199" t="s">
        <v>48</v>
      </c>
      <c r="Y59" s="228" t="s">
        <v>49</v>
      </c>
      <c r="Z59" s="238" t="s">
        <v>45</v>
      </c>
      <c r="AA59" s="238" t="s">
        <v>47</v>
      </c>
      <c r="AB59" s="301" t="s">
        <v>120</v>
      </c>
      <c r="AC59" s="301" t="s">
        <v>122</v>
      </c>
      <c r="AD59" s="301" t="s">
        <v>117</v>
      </c>
      <c r="AE59" s="301" t="s">
        <v>121</v>
      </c>
      <c r="AF59" s="221" t="s">
        <v>120</v>
      </c>
      <c r="AG59" s="221" t="s">
        <v>122</v>
      </c>
      <c r="AH59" s="232" t="s">
        <v>117</v>
      </c>
      <c r="AI59" s="232" t="s">
        <v>121</v>
      </c>
      <c r="AJ59" s="232" t="s">
        <v>120</v>
      </c>
      <c r="AK59" s="232" t="s">
        <v>122</v>
      </c>
      <c r="AL59" s="221" t="s">
        <v>117</v>
      </c>
      <c r="AM59" s="220" t="s">
        <v>121</v>
      </c>
      <c r="AN59" s="220" t="s">
        <v>120</v>
      </c>
      <c r="AO59" s="220" t="s">
        <v>122</v>
      </c>
      <c r="AP59" s="220" t="s">
        <v>117</v>
      </c>
      <c r="AQ59" s="220" t="s">
        <v>121</v>
      </c>
      <c r="AR59" s="238" t="s">
        <v>120</v>
      </c>
      <c r="AS59" s="238" t="s">
        <v>122</v>
      </c>
      <c r="AT59" s="238" t="s">
        <v>117</v>
      </c>
      <c r="AU59" s="238" t="s">
        <v>121</v>
      </c>
      <c r="AV59" s="238" t="s">
        <v>120</v>
      </c>
      <c r="AW59" s="238" t="s">
        <v>122</v>
      </c>
      <c r="AX59" s="238" t="s">
        <v>117</v>
      </c>
      <c r="AY59" s="238" t="s">
        <v>121</v>
      </c>
      <c r="AZ59" s="238" t="s">
        <v>120</v>
      </c>
      <c r="BA59" s="238" t="s">
        <v>122</v>
      </c>
      <c r="BB59" s="220" t="s">
        <v>192</v>
      </c>
      <c r="BC59" s="220" t="s">
        <v>192</v>
      </c>
      <c r="BD59" s="220" t="s">
        <v>120</v>
      </c>
      <c r="BE59" s="220" t="s">
        <v>122</v>
      </c>
      <c r="BF59" s="220" t="s">
        <v>117</v>
      </c>
      <c r="BG59" s="220" t="s">
        <v>121</v>
      </c>
      <c r="BH59" s="220" t="s">
        <v>120</v>
      </c>
      <c r="BI59" s="220" t="s">
        <v>122</v>
      </c>
    </row>
    <row r="60" spans="2:61" x14ac:dyDescent="0.3">
      <c r="B60" s="119" t="s">
        <v>7</v>
      </c>
      <c r="C60" s="7">
        <f>C9</f>
        <v>39217.807240000002</v>
      </c>
      <c r="D60" s="7">
        <f t="shared" ref="D60:K60" si="3">D9</f>
        <v>33685.568509999997</v>
      </c>
      <c r="E60" s="7">
        <f t="shared" si="3"/>
        <v>31487.381829999998</v>
      </c>
      <c r="F60" s="7">
        <f t="shared" si="3"/>
        <v>35487.625359999998</v>
      </c>
      <c r="G60" s="7">
        <f t="shared" si="3"/>
        <v>32646.022089999999</v>
      </c>
      <c r="H60" s="7">
        <f t="shared" si="3"/>
        <v>25726.080449999998</v>
      </c>
      <c r="I60" s="7">
        <f t="shared" si="3"/>
        <v>28023.326579999997</v>
      </c>
      <c r="J60" s="7">
        <f t="shared" si="3"/>
        <v>35195.026439999994</v>
      </c>
      <c r="K60" s="7">
        <f t="shared" si="3"/>
        <v>31257.751420000001</v>
      </c>
      <c r="L60" s="7">
        <f t="shared" ref="L60:R60" si="4">L9</f>
        <v>26292.51872</v>
      </c>
      <c r="M60" s="7">
        <f t="shared" si="4"/>
        <v>29864.8272</v>
      </c>
      <c r="N60" s="7">
        <f t="shared" si="4"/>
        <v>34431.231950000001</v>
      </c>
      <c r="O60" s="7">
        <f t="shared" si="4"/>
        <v>31615.214</v>
      </c>
      <c r="P60" s="7">
        <f t="shared" si="4"/>
        <v>27942.260000000002</v>
      </c>
      <c r="Q60" s="7">
        <f t="shared" si="4"/>
        <v>31891</v>
      </c>
      <c r="R60" s="7">
        <f t="shared" si="4"/>
        <v>36425</v>
      </c>
      <c r="S60" s="7">
        <f t="shared" ref="S60:AC60" si="5">S9</f>
        <v>31654</v>
      </c>
      <c r="T60" s="7">
        <f t="shared" si="5"/>
        <v>29304</v>
      </c>
      <c r="U60" s="7">
        <f t="shared" si="5"/>
        <v>30812</v>
      </c>
      <c r="V60" s="7">
        <f t="shared" si="5"/>
        <v>36838</v>
      </c>
      <c r="W60" s="7">
        <f t="shared" si="5"/>
        <v>31162</v>
      </c>
      <c r="X60" s="7">
        <f t="shared" si="5"/>
        <v>26512</v>
      </c>
      <c r="Y60" s="7">
        <f t="shared" si="5"/>
        <v>28100</v>
      </c>
      <c r="Z60" s="176">
        <f t="shared" si="5"/>
        <v>32382</v>
      </c>
      <c r="AA60" s="176">
        <f t="shared" si="5"/>
        <v>27316</v>
      </c>
      <c r="AB60" s="176">
        <f t="shared" si="5"/>
        <v>20349.990539999999</v>
      </c>
      <c r="AC60" s="176">
        <f t="shared" si="5"/>
        <v>21447</v>
      </c>
      <c r="AD60" s="176">
        <f t="shared" ref="AD60:AJ60" si="6">AD9</f>
        <v>25345</v>
      </c>
      <c r="AE60" s="176">
        <f t="shared" si="6"/>
        <v>19077.269999999997</v>
      </c>
      <c r="AF60" s="176">
        <f t="shared" si="6"/>
        <v>15596</v>
      </c>
      <c r="AG60" s="176">
        <f t="shared" si="6"/>
        <v>17303.280000000002</v>
      </c>
      <c r="AH60" s="176">
        <f t="shared" si="6"/>
        <v>22714.2</v>
      </c>
      <c r="AI60" s="176">
        <f t="shared" si="6"/>
        <v>16700.3</v>
      </c>
      <c r="AJ60" s="411">
        <f t="shared" si="6"/>
        <v>14968.01</v>
      </c>
      <c r="AK60" s="420">
        <f t="shared" ref="AK60:AY60" si="7">AK9</f>
        <v>16377.11</v>
      </c>
      <c r="AL60" s="411">
        <f t="shared" si="7"/>
        <v>17911.88</v>
      </c>
      <c r="AM60" s="411">
        <f t="shared" si="7"/>
        <v>15622.18</v>
      </c>
      <c r="AN60" s="411">
        <f t="shared" si="7"/>
        <v>11602.74</v>
      </c>
      <c r="AO60" s="411">
        <f t="shared" si="7"/>
        <v>14444.05</v>
      </c>
      <c r="AP60" s="411">
        <f t="shared" si="7"/>
        <v>18742.689999999999</v>
      </c>
      <c r="AQ60" s="411">
        <f t="shared" si="7"/>
        <v>14350.57</v>
      </c>
      <c r="AR60" s="411">
        <f t="shared" si="7"/>
        <v>12782.43</v>
      </c>
      <c r="AS60" s="411">
        <f t="shared" si="7"/>
        <v>13398</v>
      </c>
      <c r="AT60" s="411">
        <f t="shared" si="7"/>
        <v>17253.47</v>
      </c>
      <c r="AU60" s="411">
        <f t="shared" si="7"/>
        <v>12586.84</v>
      </c>
      <c r="AV60" s="411">
        <f t="shared" si="7"/>
        <v>10536.84</v>
      </c>
      <c r="AW60" s="411">
        <f t="shared" si="7"/>
        <v>12608.56</v>
      </c>
      <c r="AX60" s="411">
        <f t="shared" si="7"/>
        <v>12608.55</v>
      </c>
      <c r="AY60" s="411">
        <f t="shared" si="7"/>
        <v>10186.57</v>
      </c>
      <c r="AZ60" s="411">
        <f t="shared" ref="AZ60:BI60" si="8">AZ9</f>
        <v>9300.17</v>
      </c>
      <c r="BA60" s="411">
        <f t="shared" si="8"/>
        <v>8978.73</v>
      </c>
      <c r="BB60" s="411">
        <f t="shared" si="8"/>
        <v>9293.11708</v>
      </c>
      <c r="BC60" s="411">
        <f t="shared" si="8"/>
        <v>10587.56</v>
      </c>
      <c r="BD60" s="411">
        <f t="shared" si="8"/>
        <v>9148.7900000000009</v>
      </c>
      <c r="BE60" s="411">
        <f t="shared" si="8"/>
        <v>9634.51</v>
      </c>
      <c r="BF60" s="411">
        <f t="shared" si="8"/>
        <v>11844.13</v>
      </c>
      <c r="BG60" s="411">
        <f t="shared" si="8"/>
        <v>11166.15</v>
      </c>
      <c r="BH60" s="411">
        <f t="shared" si="8"/>
        <v>9237.5300000000007</v>
      </c>
      <c r="BI60" s="411">
        <f t="shared" si="8"/>
        <v>11001.59</v>
      </c>
    </row>
    <row r="61" spans="2:61" x14ac:dyDescent="0.3">
      <c r="B61" s="119" t="s">
        <v>31</v>
      </c>
      <c r="C61" s="5">
        <f>C20</f>
        <v>926.26700000000005</v>
      </c>
      <c r="D61" s="5">
        <f t="shared" ref="D61:T61" si="9">D20</f>
        <v>4439.9799999999996</v>
      </c>
      <c r="E61" s="5">
        <f t="shared" si="9"/>
        <v>7716.7593070000003</v>
      </c>
      <c r="F61" s="5">
        <f t="shared" si="9"/>
        <v>11420.161312999999</v>
      </c>
      <c r="G61" s="5">
        <f t="shared" si="9"/>
        <v>10351.979380000001</v>
      </c>
      <c r="H61" s="5">
        <f t="shared" si="9"/>
        <v>9461.3109999999997</v>
      </c>
      <c r="I61" s="5">
        <f t="shared" si="9"/>
        <v>9862.8209999999999</v>
      </c>
      <c r="J61" s="5">
        <f t="shared" si="9"/>
        <v>14093.624</v>
      </c>
      <c r="K61" s="5">
        <f t="shared" si="9"/>
        <v>16680.402999999998</v>
      </c>
      <c r="L61" s="5">
        <f t="shared" si="9"/>
        <v>12173</v>
      </c>
      <c r="M61" s="5">
        <f t="shared" si="9"/>
        <v>10746.98</v>
      </c>
      <c r="N61" s="5">
        <f>N20</f>
        <v>14393.68118</v>
      </c>
      <c r="O61" s="5">
        <f t="shared" si="9"/>
        <v>12994</v>
      </c>
      <c r="P61" s="5">
        <f t="shared" si="9"/>
        <v>11343.880000000001</v>
      </c>
      <c r="Q61" s="5">
        <f t="shared" si="9"/>
        <v>12583</v>
      </c>
      <c r="R61" s="5">
        <f t="shared" si="9"/>
        <v>14381</v>
      </c>
      <c r="S61" s="5">
        <f t="shared" si="9"/>
        <v>12019.55</v>
      </c>
      <c r="T61" s="5">
        <f t="shared" si="9"/>
        <v>11787.987999999999</v>
      </c>
      <c r="U61" s="5">
        <f t="shared" ref="U61:AC61" si="10">U20</f>
        <v>12605</v>
      </c>
      <c r="V61" s="5">
        <f t="shared" si="10"/>
        <v>15516</v>
      </c>
      <c r="W61" s="5">
        <f t="shared" si="10"/>
        <v>12411.16</v>
      </c>
      <c r="X61" s="5">
        <f t="shared" si="10"/>
        <v>10726.78</v>
      </c>
      <c r="Y61" s="5">
        <f t="shared" si="10"/>
        <v>11451.26</v>
      </c>
      <c r="Z61" s="176">
        <f t="shared" si="10"/>
        <v>13271.28</v>
      </c>
      <c r="AA61" s="176">
        <f t="shared" si="10"/>
        <v>11457.26</v>
      </c>
      <c r="AB61" s="176">
        <f t="shared" si="10"/>
        <v>10140</v>
      </c>
      <c r="AC61" s="176">
        <f t="shared" si="10"/>
        <v>11132.23</v>
      </c>
      <c r="AD61" s="176">
        <f t="shared" ref="AD61:AJ61" si="11">AD20</f>
        <v>13885</v>
      </c>
      <c r="AE61" s="176">
        <f t="shared" si="11"/>
        <v>11352.554034747893</v>
      </c>
      <c r="AF61" s="176">
        <f t="shared" si="11"/>
        <v>10525.56</v>
      </c>
      <c r="AG61" s="176">
        <f t="shared" si="11"/>
        <v>10302.950000000001</v>
      </c>
      <c r="AH61" s="176">
        <f t="shared" si="11"/>
        <v>12803.64</v>
      </c>
      <c r="AI61" s="176">
        <f t="shared" si="11"/>
        <v>9834.93</v>
      </c>
      <c r="AJ61" s="176">
        <f t="shared" si="11"/>
        <v>9737</v>
      </c>
      <c r="AK61" s="420">
        <f t="shared" ref="AK61:AR61" si="12">AK20</f>
        <v>9941</v>
      </c>
      <c r="AL61" s="176">
        <f t="shared" si="12"/>
        <v>11954</v>
      </c>
      <c r="AM61" s="176">
        <f t="shared" si="12"/>
        <v>10272</v>
      </c>
      <c r="AN61" s="176">
        <f t="shared" si="12"/>
        <v>8884</v>
      </c>
      <c r="AO61" s="176">
        <f t="shared" si="12"/>
        <v>10721</v>
      </c>
      <c r="AP61" s="176">
        <f t="shared" si="12"/>
        <v>12706</v>
      </c>
      <c r="AQ61" s="176">
        <f t="shared" si="12"/>
        <v>9374</v>
      </c>
      <c r="AR61" s="176">
        <f t="shared" si="12"/>
        <v>9230</v>
      </c>
      <c r="AS61" s="176">
        <f t="shared" ref="AS61:AZ61" si="13">AS20</f>
        <v>10112</v>
      </c>
      <c r="AT61" s="176">
        <f t="shared" si="13"/>
        <v>12954.44</v>
      </c>
      <c r="AU61" s="176">
        <f t="shared" si="13"/>
        <v>10262</v>
      </c>
      <c r="AV61" s="176">
        <f t="shared" si="13"/>
        <v>8457</v>
      </c>
      <c r="AW61" s="176">
        <f t="shared" si="13"/>
        <v>7710</v>
      </c>
      <c r="AX61" s="176">
        <f t="shared" si="13"/>
        <v>10330</v>
      </c>
      <c r="AY61" s="176">
        <f t="shared" si="13"/>
        <v>8798</v>
      </c>
      <c r="AZ61" s="176">
        <f t="shared" si="13"/>
        <v>7967</v>
      </c>
      <c r="BA61" s="176">
        <f t="shared" ref="BA61:BH61" si="14">BA20</f>
        <v>7140</v>
      </c>
      <c r="BB61" s="176">
        <f t="shared" si="14"/>
        <v>9167.82</v>
      </c>
      <c r="BC61" s="176">
        <f t="shared" si="14"/>
        <v>9434</v>
      </c>
      <c r="BD61" s="176">
        <f t="shared" si="14"/>
        <v>9181</v>
      </c>
      <c r="BE61" s="176">
        <f t="shared" si="14"/>
        <v>10116</v>
      </c>
      <c r="BF61" s="176">
        <f t="shared" si="14"/>
        <v>15336</v>
      </c>
      <c r="BG61" s="176">
        <f t="shared" si="14"/>
        <v>12124</v>
      </c>
      <c r="BH61" s="176">
        <f t="shared" si="14"/>
        <v>10999</v>
      </c>
      <c r="BI61" s="176">
        <f>BI20</f>
        <v>12736</v>
      </c>
    </row>
    <row r="62" spans="2:61" x14ac:dyDescent="0.3">
      <c r="B62" s="119" t="s">
        <v>21</v>
      </c>
      <c r="C62" s="7"/>
      <c r="D62" s="7"/>
      <c r="E62" s="7"/>
      <c r="F62" s="7"/>
      <c r="G62" s="7"/>
      <c r="H62" s="7">
        <f>H31</f>
        <v>72.188140000000004</v>
      </c>
      <c r="I62" s="7">
        <f t="shared" ref="I62:T62" si="15">I31</f>
        <v>139.2885</v>
      </c>
      <c r="J62" s="7">
        <f t="shared" si="15"/>
        <v>58.188960000000002</v>
      </c>
      <c r="K62" s="7">
        <f t="shared" si="15"/>
        <v>67.618169999999992</v>
      </c>
      <c r="L62" s="7">
        <f t="shared" si="15"/>
        <v>31</v>
      </c>
      <c r="M62" s="7">
        <f t="shared" si="15"/>
        <v>46</v>
      </c>
      <c r="N62" s="7">
        <f t="shared" si="15"/>
        <v>75</v>
      </c>
      <c r="O62" s="7">
        <f t="shared" si="15"/>
        <v>84</v>
      </c>
      <c r="P62" s="7">
        <f t="shared" si="15"/>
        <v>40.520000000000003</v>
      </c>
      <c r="Q62" s="7">
        <f t="shared" si="15"/>
        <v>39.799999999999997</v>
      </c>
      <c r="R62" s="7">
        <f t="shared" si="15"/>
        <v>37.1</v>
      </c>
      <c r="S62" s="7">
        <f t="shared" si="15"/>
        <v>19.07</v>
      </c>
      <c r="T62" s="7">
        <f t="shared" si="15"/>
        <v>29.779</v>
      </c>
      <c r="U62" s="7">
        <f t="shared" ref="U62:AC62" si="16">U31</f>
        <v>18.71</v>
      </c>
      <c r="V62" s="7">
        <f t="shared" si="16"/>
        <v>15.85</v>
      </c>
      <c r="W62" s="7">
        <f t="shared" si="16"/>
        <v>12.13</v>
      </c>
      <c r="X62" s="7">
        <f t="shared" si="16"/>
        <v>11.77</v>
      </c>
      <c r="Y62" s="7">
        <f t="shared" si="16"/>
        <v>9.85</v>
      </c>
      <c r="Z62" s="176">
        <f t="shared" si="16"/>
        <v>14.3</v>
      </c>
      <c r="AA62" s="176">
        <f t="shared" si="16"/>
        <v>16.37</v>
      </c>
      <c r="AB62" s="176">
        <f t="shared" si="16"/>
        <v>6.77</v>
      </c>
      <c r="AC62" s="176">
        <f t="shared" si="16"/>
        <v>5.43</v>
      </c>
      <c r="AD62" s="176">
        <f t="shared" ref="AD62:AJ62" si="17">AD31</f>
        <v>8.9</v>
      </c>
      <c r="AE62" s="176">
        <f t="shared" si="17"/>
        <v>58.65</v>
      </c>
      <c r="AF62" s="176">
        <f t="shared" si="17"/>
        <v>5.4</v>
      </c>
      <c r="AG62" s="176">
        <f t="shared" si="17"/>
        <v>168.262</v>
      </c>
      <c r="AH62" s="176">
        <f t="shared" si="17"/>
        <v>296.41000000000003</v>
      </c>
      <c r="AI62" s="176">
        <f t="shared" si="17"/>
        <v>227.24100000000001</v>
      </c>
      <c r="AJ62" s="176">
        <f t="shared" si="17"/>
        <v>170.3</v>
      </c>
      <c r="AK62" s="420">
        <f t="shared" ref="AK62:AQ62" si="18">AK31</f>
        <v>198.23621</v>
      </c>
      <c r="AL62" s="411">
        <f t="shared" si="18"/>
        <v>233.68600000000001</v>
      </c>
      <c r="AM62" s="411">
        <f t="shared" si="18"/>
        <v>231.51</v>
      </c>
      <c r="AN62" s="454">
        <f t="shared" si="18"/>
        <v>213.68</v>
      </c>
      <c r="AO62" s="454">
        <f t="shared" si="18"/>
        <v>222.44263000000001</v>
      </c>
      <c r="AP62" s="454">
        <f t="shared" si="18"/>
        <v>251.38900000000001</v>
      </c>
      <c r="AQ62" s="454">
        <f t="shared" si="18"/>
        <v>302.94099999999997</v>
      </c>
      <c r="AR62" s="176">
        <v>226</v>
      </c>
      <c r="AS62" s="176">
        <f>AS31</f>
        <v>245.006</v>
      </c>
      <c r="AT62" s="176">
        <f>AT31</f>
        <v>288.387</v>
      </c>
      <c r="AU62" s="176">
        <v>291</v>
      </c>
      <c r="AV62" s="176">
        <v>291</v>
      </c>
      <c r="AW62" s="176">
        <v>291</v>
      </c>
      <c r="AX62" s="176">
        <v>291</v>
      </c>
      <c r="AY62" s="176">
        <v>291</v>
      </c>
      <c r="AZ62" s="176">
        <v>291</v>
      </c>
      <c r="BA62" s="176">
        <v>292</v>
      </c>
      <c r="BB62" s="176">
        <v>293</v>
      </c>
      <c r="BC62" s="176">
        <v>293</v>
      </c>
      <c r="BD62" s="176">
        <v>293</v>
      </c>
      <c r="BE62" s="176">
        <v>293</v>
      </c>
      <c r="BF62" s="176">
        <v>237</v>
      </c>
      <c r="BG62" s="176">
        <v>237</v>
      </c>
      <c r="BH62" s="176">
        <v>237</v>
      </c>
      <c r="BI62" s="176">
        <v>237</v>
      </c>
    </row>
    <row r="63" spans="2:61" x14ac:dyDescent="0.3">
      <c r="B63" s="119" t="s">
        <v>36</v>
      </c>
      <c r="K63" s="52"/>
      <c r="L63" s="52">
        <f>L42</f>
        <v>193.72</v>
      </c>
      <c r="M63" s="52">
        <f>M42</f>
        <v>473.9</v>
      </c>
      <c r="N63" s="52">
        <f t="shared" ref="N63:T63" si="19">N42</f>
        <v>643.67900000000009</v>
      </c>
      <c r="O63" s="52">
        <f t="shared" si="19"/>
        <v>964</v>
      </c>
      <c r="P63" s="52">
        <f t="shared" si="19"/>
        <v>662.37199999999996</v>
      </c>
      <c r="Q63" s="52">
        <f t="shared" si="19"/>
        <v>863.36583499999995</v>
      </c>
      <c r="R63" s="52">
        <f t="shared" si="19"/>
        <v>1925.1221089999999</v>
      </c>
      <c r="S63" s="52">
        <f t="shared" si="19"/>
        <v>1260.528</v>
      </c>
      <c r="T63" s="52">
        <f t="shared" si="19"/>
        <v>2110.509</v>
      </c>
      <c r="U63" s="52">
        <f t="shared" ref="U63:AC63" si="20">U42</f>
        <v>2386.4959999999996</v>
      </c>
      <c r="V63" s="52">
        <f t="shared" si="20"/>
        <v>2652.886</v>
      </c>
      <c r="W63" s="52">
        <f t="shared" si="20"/>
        <v>2172.9279999999999</v>
      </c>
      <c r="X63" s="52">
        <f t="shared" si="20"/>
        <v>1996.1390000000001</v>
      </c>
      <c r="Y63" s="52">
        <f t="shared" si="20"/>
        <v>2217.6320000000001</v>
      </c>
      <c r="Z63" s="176">
        <f t="shared" si="20"/>
        <v>2807</v>
      </c>
      <c r="AA63" s="176">
        <f t="shared" si="20"/>
        <v>2198.7570000000001</v>
      </c>
      <c r="AB63" s="176">
        <f t="shared" si="20"/>
        <v>1956.30293093</v>
      </c>
      <c r="AC63" s="176">
        <f t="shared" si="20"/>
        <v>2233.2316999999998</v>
      </c>
      <c r="AD63" s="176">
        <f t="shared" ref="AD63:AJ63" si="21">AD42</f>
        <v>2425.2096849999998</v>
      </c>
      <c r="AE63" s="176">
        <f t="shared" si="21"/>
        <v>2069.9475499099999</v>
      </c>
      <c r="AF63" s="176">
        <f t="shared" si="21"/>
        <v>1612.4</v>
      </c>
      <c r="AG63" s="176">
        <f t="shared" si="21"/>
        <v>1668.405</v>
      </c>
      <c r="AH63" s="176">
        <f t="shared" si="21"/>
        <v>1987.93</v>
      </c>
      <c r="AI63" s="176">
        <f t="shared" si="21"/>
        <v>1497.4639999999999</v>
      </c>
      <c r="AJ63" s="176">
        <f t="shared" si="21"/>
        <v>1276.7</v>
      </c>
      <c r="AK63" s="420">
        <f>AK42</f>
        <v>1272.0840000000001</v>
      </c>
      <c r="AL63" s="176">
        <f>AL42</f>
        <v>1424.5920000000001</v>
      </c>
      <c r="AM63" s="176">
        <v>1159</v>
      </c>
      <c r="AN63" s="176">
        <v>989</v>
      </c>
      <c r="AO63" s="295">
        <f t="shared" ref="AO63:AZ63" si="22">AO42</f>
        <v>1087.8120000000001</v>
      </c>
      <c r="AP63" s="295">
        <f t="shared" si="22"/>
        <v>1463</v>
      </c>
      <c r="AQ63" s="295">
        <f t="shared" si="22"/>
        <v>1435</v>
      </c>
      <c r="AR63" s="295">
        <f t="shared" si="22"/>
        <v>1137.25</v>
      </c>
      <c r="AS63" s="295">
        <f t="shared" si="22"/>
        <v>1717</v>
      </c>
      <c r="AT63" s="295">
        <f t="shared" si="22"/>
        <v>2061</v>
      </c>
      <c r="AU63" s="295">
        <f t="shared" si="22"/>
        <v>1839</v>
      </c>
      <c r="AV63" s="295">
        <f t="shared" si="22"/>
        <v>1711</v>
      </c>
      <c r="AW63" s="295">
        <f t="shared" si="22"/>
        <v>1565</v>
      </c>
      <c r="AX63" s="295">
        <f t="shared" si="22"/>
        <v>1565</v>
      </c>
      <c r="AY63" s="295">
        <f t="shared" si="22"/>
        <v>0</v>
      </c>
      <c r="AZ63" s="295">
        <f t="shared" si="22"/>
        <v>0</v>
      </c>
      <c r="BA63" s="295">
        <f>BA42</f>
        <v>0</v>
      </c>
      <c r="BB63" s="295">
        <f>BB42</f>
        <v>0</v>
      </c>
      <c r="BC63" s="295">
        <f>BC42</f>
        <v>0</v>
      </c>
      <c r="BD63" s="295">
        <f>BD42</f>
        <v>0</v>
      </c>
    </row>
    <row r="64" spans="2:61" x14ac:dyDescent="0.3">
      <c r="B64" s="482" t="s">
        <v>155</v>
      </c>
      <c r="C64" s="482"/>
      <c r="D64" s="482"/>
      <c r="E64" s="482"/>
      <c r="F64" s="482"/>
      <c r="G64" s="482"/>
      <c r="H64" s="482"/>
      <c r="I64" s="482"/>
      <c r="J64" s="48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420"/>
      <c r="AL64" s="176"/>
      <c r="AM64" s="176"/>
      <c r="AN64" s="176"/>
      <c r="AO64" s="176">
        <f t="shared" ref="AO64:AZ64" si="23">AO54</f>
        <v>293</v>
      </c>
      <c r="AP64" s="176">
        <f t="shared" si="23"/>
        <v>688.09</v>
      </c>
      <c r="AQ64" s="176">
        <f t="shared" si="23"/>
        <v>408.59</v>
      </c>
      <c r="AR64" s="176">
        <f t="shared" si="23"/>
        <v>411.41</v>
      </c>
      <c r="AS64" s="176">
        <f t="shared" si="23"/>
        <v>414</v>
      </c>
      <c r="AT64" s="176">
        <f t="shared" si="23"/>
        <v>469</v>
      </c>
      <c r="AU64" s="176">
        <f t="shared" si="23"/>
        <v>337</v>
      </c>
      <c r="AV64" s="176">
        <f t="shared" si="23"/>
        <v>310</v>
      </c>
      <c r="AW64" s="176">
        <f t="shared" si="23"/>
        <v>757</v>
      </c>
      <c r="AX64" s="176">
        <f t="shared" si="23"/>
        <v>757</v>
      </c>
      <c r="AY64" s="176">
        <f t="shared" si="23"/>
        <v>813.57</v>
      </c>
      <c r="AZ64" s="176">
        <f t="shared" si="23"/>
        <v>782.04</v>
      </c>
      <c r="BA64" s="176">
        <f t="shared" ref="BA64:BI64" si="24">BA54</f>
        <v>771.56</v>
      </c>
      <c r="BB64" s="176">
        <f t="shared" si="24"/>
        <v>854.07</v>
      </c>
      <c r="BC64" s="176">
        <f t="shared" si="24"/>
        <v>835.5</v>
      </c>
      <c r="BD64" s="176">
        <f t="shared" si="24"/>
        <v>831</v>
      </c>
      <c r="BE64" s="176">
        <f t="shared" si="24"/>
        <v>831.47</v>
      </c>
      <c r="BF64" s="176">
        <f t="shared" si="24"/>
        <v>873.04</v>
      </c>
      <c r="BG64" s="176">
        <f t="shared" si="24"/>
        <v>872.77</v>
      </c>
      <c r="BH64" s="176">
        <f t="shared" si="24"/>
        <v>863.1</v>
      </c>
      <c r="BI64" s="176">
        <f t="shared" si="24"/>
        <v>823.95</v>
      </c>
    </row>
    <row r="65" spans="2:61" x14ac:dyDescent="0.3">
      <c r="B65" s="112" t="s">
        <v>32</v>
      </c>
      <c r="C65" s="136">
        <f>C63+C62+C61+C60</f>
        <v>40144.074240000002</v>
      </c>
      <c r="D65" s="136">
        <f t="shared" ref="D65:L65" si="25">D63+D62+D61+D60</f>
        <v>38125.548509999993</v>
      </c>
      <c r="E65" s="136">
        <f t="shared" si="25"/>
        <v>39204.141136999999</v>
      </c>
      <c r="F65" s="136">
        <f t="shared" si="25"/>
        <v>46907.786672999995</v>
      </c>
      <c r="G65" s="136">
        <f t="shared" si="25"/>
        <v>42998.001470000003</v>
      </c>
      <c r="H65" s="136">
        <f t="shared" si="25"/>
        <v>35259.579589999994</v>
      </c>
      <c r="I65" s="136">
        <f t="shared" si="25"/>
        <v>38025.436079999999</v>
      </c>
      <c r="J65" s="136">
        <f t="shared" si="25"/>
        <v>49346.839399999997</v>
      </c>
      <c r="K65" s="136">
        <f t="shared" si="25"/>
        <v>48005.77259</v>
      </c>
      <c r="L65" s="136">
        <f t="shared" si="25"/>
        <v>38690.238720000001</v>
      </c>
      <c r="M65" s="136">
        <f t="shared" ref="M65:R65" si="26">M63+M62+M61+M60</f>
        <v>41131.707199999997</v>
      </c>
      <c r="N65" s="136">
        <f t="shared" si="26"/>
        <v>49543.592130000005</v>
      </c>
      <c r="O65" s="136">
        <f t="shared" si="26"/>
        <v>45657.214</v>
      </c>
      <c r="P65" s="136">
        <f t="shared" si="26"/>
        <v>39989.032000000007</v>
      </c>
      <c r="Q65" s="136">
        <f t="shared" si="26"/>
        <v>45377.165835</v>
      </c>
      <c r="R65" s="136">
        <f t="shared" si="26"/>
        <v>52768.222109000002</v>
      </c>
      <c r="S65" s="136">
        <f t="shared" ref="S65:AC65" si="27">S63+S62+S61+S60</f>
        <v>44953.148000000001</v>
      </c>
      <c r="T65" s="136">
        <f t="shared" si="27"/>
        <v>43232.275999999998</v>
      </c>
      <c r="U65" s="136">
        <f t="shared" si="27"/>
        <v>45822.205999999998</v>
      </c>
      <c r="V65" s="136">
        <f t="shared" si="27"/>
        <v>55022.736000000004</v>
      </c>
      <c r="W65" s="136">
        <f t="shared" si="27"/>
        <v>45758.218000000001</v>
      </c>
      <c r="X65" s="136">
        <f t="shared" si="27"/>
        <v>39246.688999999998</v>
      </c>
      <c r="Y65" s="136">
        <f t="shared" si="27"/>
        <v>41778.741999999998</v>
      </c>
      <c r="Z65" s="251">
        <f t="shared" si="27"/>
        <v>48474.58</v>
      </c>
      <c r="AA65" s="251">
        <f t="shared" si="27"/>
        <v>40988.387000000002</v>
      </c>
      <c r="AB65" s="251">
        <f t="shared" si="27"/>
        <v>32453.063470929999</v>
      </c>
      <c r="AC65" s="251">
        <f t="shared" si="27"/>
        <v>34817.8917</v>
      </c>
      <c r="AD65" s="317">
        <f t="shared" ref="AD65:AJ65" si="28">AD63+AD62+AD61+AD60</f>
        <v>41664.109685000003</v>
      </c>
      <c r="AE65" s="345">
        <f t="shared" si="28"/>
        <v>32558.421584657888</v>
      </c>
      <c r="AF65" s="345">
        <f t="shared" si="28"/>
        <v>27739.360000000001</v>
      </c>
      <c r="AG65" s="345">
        <f t="shared" si="28"/>
        <v>29442.897000000004</v>
      </c>
      <c r="AH65" s="345">
        <f t="shared" si="28"/>
        <v>37802.18</v>
      </c>
      <c r="AI65" s="317">
        <f t="shared" si="28"/>
        <v>28259.934999999998</v>
      </c>
      <c r="AJ65" s="317">
        <f t="shared" si="28"/>
        <v>26152.010000000002</v>
      </c>
      <c r="AK65" s="317">
        <f>AK63+AK62+AK61+AK60</f>
        <v>27788.430209999999</v>
      </c>
      <c r="AL65" s="251">
        <f>AL60+AL61+AL62+AL63</f>
        <v>31524.158000000003</v>
      </c>
      <c r="AM65" s="317">
        <f>AM60+AM61+AM62+AM63</f>
        <v>27284.69</v>
      </c>
      <c r="AN65" s="317">
        <f>AN60+AN61+AN62+AN63</f>
        <v>21689.42</v>
      </c>
      <c r="AO65" s="317">
        <f t="shared" ref="AO65:AT65" si="29">AO60+AO61+AO62+AO63+AO64</f>
        <v>26768.304630000002</v>
      </c>
      <c r="AP65" s="317">
        <f t="shared" si="29"/>
        <v>33851.168999999994</v>
      </c>
      <c r="AQ65" s="317">
        <f t="shared" si="29"/>
        <v>25871.100999999999</v>
      </c>
      <c r="AR65" s="317">
        <f t="shared" si="29"/>
        <v>23787.09</v>
      </c>
      <c r="AS65" s="317">
        <f t="shared" si="29"/>
        <v>25886.006000000001</v>
      </c>
      <c r="AT65" s="317">
        <f t="shared" si="29"/>
        <v>33026.297000000006</v>
      </c>
      <c r="AU65" s="317">
        <f t="shared" ref="AU65:BA65" si="30">AU60+AU61+AU62+AU63+AU64</f>
        <v>25315.84</v>
      </c>
      <c r="AV65" s="317">
        <f t="shared" si="30"/>
        <v>21305.84</v>
      </c>
      <c r="AW65" s="317">
        <f t="shared" si="30"/>
        <v>22931.559999999998</v>
      </c>
      <c r="AX65" s="317">
        <f t="shared" si="30"/>
        <v>25551.55</v>
      </c>
      <c r="AY65" s="317">
        <f t="shared" si="30"/>
        <v>20089.14</v>
      </c>
      <c r="AZ65" s="317">
        <f t="shared" si="30"/>
        <v>18340.21</v>
      </c>
      <c r="BA65" s="317">
        <f t="shared" si="30"/>
        <v>17182.29</v>
      </c>
      <c r="BB65" s="317">
        <f t="shared" ref="BB65:BC65" si="31">BB60+BB61+BB62+BB63+BB64</f>
        <v>19608.007079999999</v>
      </c>
      <c r="BC65" s="317">
        <f t="shared" si="31"/>
        <v>21150.059999999998</v>
      </c>
      <c r="BD65" s="317">
        <f t="shared" ref="BD65:BI65" si="32">BD60+BD61+BD62+BD63+BD64</f>
        <v>19453.79</v>
      </c>
      <c r="BE65" s="317">
        <f t="shared" si="32"/>
        <v>20874.980000000003</v>
      </c>
      <c r="BF65" s="317">
        <f t="shared" si="32"/>
        <v>28290.17</v>
      </c>
      <c r="BG65" s="317">
        <f t="shared" si="32"/>
        <v>24399.920000000002</v>
      </c>
      <c r="BH65" s="317">
        <f t="shared" si="32"/>
        <v>21336.629999999997</v>
      </c>
      <c r="BI65" s="317">
        <f t="shared" si="32"/>
        <v>24798.54</v>
      </c>
    </row>
    <row r="66" spans="2:61" x14ac:dyDescent="0.3">
      <c r="B66" s="112" t="s">
        <v>90</v>
      </c>
      <c r="C66" s="136">
        <f t="shared" ref="C66:W66" si="33">C65/$T$46</f>
        <v>40.144074240000002</v>
      </c>
      <c r="D66" s="136">
        <f t="shared" si="33"/>
        <v>38.125548509999994</v>
      </c>
      <c r="E66" s="136">
        <f t="shared" si="33"/>
        <v>39.204141137000001</v>
      </c>
      <c r="F66" s="136">
        <f t="shared" si="33"/>
        <v>46.907786672999997</v>
      </c>
      <c r="G66" s="136">
        <f t="shared" si="33"/>
        <v>42.998001470000005</v>
      </c>
      <c r="H66" s="136">
        <f t="shared" si="33"/>
        <v>35.259579589999994</v>
      </c>
      <c r="I66" s="136">
        <f t="shared" si="33"/>
        <v>38.025436079999999</v>
      </c>
      <c r="J66" s="136">
        <f t="shared" si="33"/>
        <v>49.3468394</v>
      </c>
      <c r="K66" s="136">
        <f t="shared" si="33"/>
        <v>48.005772589999999</v>
      </c>
      <c r="L66" s="136">
        <f t="shared" si="33"/>
        <v>38.690238720000004</v>
      </c>
      <c r="M66" s="136">
        <f t="shared" si="33"/>
        <v>41.131707199999994</v>
      </c>
      <c r="N66" s="136">
        <f t="shared" si="33"/>
        <v>49.543592130000008</v>
      </c>
      <c r="O66" s="136">
        <f t="shared" si="33"/>
        <v>45.657214000000003</v>
      </c>
      <c r="P66" s="136">
        <f t="shared" si="33"/>
        <v>39.989032000000009</v>
      </c>
      <c r="Q66" s="136">
        <f t="shared" si="33"/>
        <v>45.377165835</v>
      </c>
      <c r="R66" s="136">
        <f t="shared" si="33"/>
        <v>52.768222109</v>
      </c>
      <c r="S66" s="136">
        <f t="shared" si="33"/>
        <v>44.953147999999999</v>
      </c>
      <c r="T66" s="136">
        <f t="shared" si="33"/>
        <v>43.232275999999999</v>
      </c>
      <c r="U66" s="136">
        <f t="shared" si="33"/>
        <v>45.822206000000001</v>
      </c>
      <c r="V66" s="136">
        <f t="shared" si="33"/>
        <v>55.022736000000002</v>
      </c>
      <c r="W66" s="136">
        <f t="shared" si="33"/>
        <v>45.758217999999999</v>
      </c>
      <c r="X66" s="136">
        <f t="shared" ref="X66:AC66" si="34">X65/$T$46</f>
        <v>39.246688999999996</v>
      </c>
      <c r="Y66" s="136">
        <f t="shared" si="34"/>
        <v>41.778742000000001</v>
      </c>
      <c r="Z66" s="251">
        <f t="shared" si="34"/>
        <v>48.474580000000003</v>
      </c>
      <c r="AA66" s="251">
        <f t="shared" si="34"/>
        <v>40.988387000000003</v>
      </c>
      <c r="AB66" s="251">
        <f t="shared" si="34"/>
        <v>32.453063470929997</v>
      </c>
      <c r="AC66" s="251">
        <f t="shared" si="34"/>
        <v>34.817891699999997</v>
      </c>
      <c r="AD66" s="251">
        <f t="shared" ref="AD66:AT66" si="35">AD65/$T$46</f>
        <v>41.664109685</v>
      </c>
      <c r="AE66" s="251">
        <f t="shared" si="35"/>
        <v>32.558421584657886</v>
      </c>
      <c r="AF66" s="251">
        <f t="shared" si="35"/>
        <v>27.739360000000001</v>
      </c>
      <c r="AG66" s="251">
        <f t="shared" si="35"/>
        <v>29.442897000000006</v>
      </c>
      <c r="AH66" s="251">
        <f t="shared" si="35"/>
        <v>37.80218</v>
      </c>
      <c r="AI66" s="251">
        <f t="shared" si="35"/>
        <v>28.259934999999999</v>
      </c>
      <c r="AJ66" s="251">
        <f t="shared" si="35"/>
        <v>26.152010000000001</v>
      </c>
      <c r="AK66" s="251">
        <f t="shared" si="35"/>
        <v>27.788430209999998</v>
      </c>
      <c r="AL66" s="251">
        <f t="shared" si="35"/>
        <v>31.524158000000003</v>
      </c>
      <c r="AM66" s="251">
        <f t="shared" si="35"/>
        <v>27.284689999999998</v>
      </c>
      <c r="AN66" s="251">
        <f t="shared" si="35"/>
        <v>21.689419999999998</v>
      </c>
      <c r="AO66" s="251">
        <f t="shared" si="35"/>
        <v>26.768304630000003</v>
      </c>
      <c r="AP66" s="251">
        <f t="shared" si="35"/>
        <v>33.851168999999992</v>
      </c>
      <c r="AQ66" s="251">
        <f t="shared" si="35"/>
        <v>25.871100999999999</v>
      </c>
      <c r="AR66" s="251">
        <f t="shared" si="35"/>
        <v>23.787089999999999</v>
      </c>
      <c r="AS66" s="251">
        <f t="shared" si="35"/>
        <v>25.886006000000002</v>
      </c>
      <c r="AT66" s="251">
        <f t="shared" si="35"/>
        <v>33.026297000000007</v>
      </c>
      <c r="AU66" s="251">
        <f t="shared" ref="AU66:AZ66" si="36">AU65/$T$46</f>
        <v>25.315840000000001</v>
      </c>
      <c r="AV66" s="251">
        <f t="shared" si="36"/>
        <v>21.30584</v>
      </c>
      <c r="AW66" s="251">
        <f t="shared" si="36"/>
        <v>22.931559999999998</v>
      </c>
      <c r="AX66" s="251">
        <f t="shared" si="36"/>
        <v>25.551549999999999</v>
      </c>
      <c r="AY66" s="251">
        <f t="shared" si="36"/>
        <v>20.08914</v>
      </c>
      <c r="AZ66" s="251">
        <f t="shared" si="36"/>
        <v>18.340209999999999</v>
      </c>
    </row>
    <row r="67" spans="2:61" s="47" customFormat="1" x14ac:dyDescent="0.3">
      <c r="B67" s="4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4"/>
      <c r="Y67" s="220"/>
      <c r="AB67" s="289"/>
      <c r="AF67" s="193"/>
    </row>
    <row r="68" spans="2:61" s="47" customFormat="1" ht="17.25" thickBot="1" x14ac:dyDescent="0.35">
      <c r="B68" s="4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>
        <f>N65+M65+L65</f>
        <v>129365.53805</v>
      </c>
      <c r="O68" s="53"/>
      <c r="P68" s="53"/>
      <c r="Q68" s="53"/>
      <c r="R68" s="53">
        <f>R65+Q65+P65</f>
        <v>138134.41994400002</v>
      </c>
      <c r="S68" s="53"/>
      <c r="T68" s="53"/>
      <c r="U68" s="4"/>
      <c r="V68" s="193">
        <f>V65+U65+T65</f>
        <v>144077.21799999999</v>
      </c>
      <c r="Y68" s="220"/>
      <c r="AB68" s="289"/>
      <c r="AI68" s="319"/>
      <c r="AJ68" s="318"/>
    </row>
    <row r="69" spans="2:61" s="47" customFormat="1" x14ac:dyDescent="0.3">
      <c r="B69" s="4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194">
        <f>((V68-N68)/N68)</f>
        <v>0.11372178535147359</v>
      </c>
      <c r="V69" s="194">
        <f>((V68-R68)/R68)</f>
        <v>4.3021848272206106E-2</v>
      </c>
      <c r="Y69" s="220"/>
      <c r="AB69" s="289"/>
      <c r="AI69" s="320"/>
    </row>
    <row r="70" spans="2:61" s="47" customFormat="1" x14ac:dyDescent="0.3">
      <c r="B70" s="4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4"/>
      <c r="Y70" s="220"/>
      <c r="AB70" s="737">
        <v>2014</v>
      </c>
      <c r="AC70" s="737"/>
      <c r="AD70" s="306"/>
      <c r="AE70" s="307"/>
      <c r="AN70" s="47">
        <v>2017</v>
      </c>
    </row>
    <row r="71" spans="2:61" x14ac:dyDescent="0.3">
      <c r="B71" s="138" t="s">
        <v>87</v>
      </c>
      <c r="C71" s="124" t="s">
        <v>28</v>
      </c>
      <c r="D71" s="124" t="s">
        <v>13</v>
      </c>
      <c r="E71" s="124" t="s">
        <v>14</v>
      </c>
      <c r="F71" s="124" t="s">
        <v>15</v>
      </c>
      <c r="G71" s="124" t="s">
        <v>16</v>
      </c>
      <c r="H71" s="124" t="s">
        <v>17</v>
      </c>
      <c r="I71" s="124" t="s">
        <v>18</v>
      </c>
      <c r="J71" s="124" t="s">
        <v>19</v>
      </c>
      <c r="K71" s="124" t="s">
        <v>20</v>
      </c>
      <c r="L71" s="124" t="s">
        <v>8</v>
      </c>
      <c r="M71" s="124" t="s">
        <v>1</v>
      </c>
      <c r="N71" s="124" t="s">
        <v>33</v>
      </c>
      <c r="O71" s="124" t="s">
        <v>37</v>
      </c>
      <c r="P71" s="124" t="s">
        <v>40</v>
      </c>
      <c r="Q71" s="124" t="s">
        <v>50</v>
      </c>
      <c r="R71" s="124" t="s">
        <v>51</v>
      </c>
      <c r="S71" s="124" t="s">
        <v>42</v>
      </c>
      <c r="T71" s="124" t="s">
        <v>56</v>
      </c>
      <c r="U71" s="149" t="s">
        <v>98</v>
      </c>
      <c r="V71" s="174" t="s">
        <v>100</v>
      </c>
      <c r="W71" s="192" t="s">
        <v>108</v>
      </c>
      <c r="X71" s="199" t="s">
        <v>110</v>
      </c>
      <c r="Y71" s="232" t="s">
        <v>113</v>
      </c>
      <c r="Z71" s="239" t="s">
        <v>117</v>
      </c>
      <c r="AA71" s="220" t="s">
        <v>121</v>
      </c>
      <c r="AB71" s="302" t="s">
        <v>120</v>
      </c>
      <c r="AC71" s="302" t="s">
        <v>122</v>
      </c>
      <c r="AD71" s="302" t="s">
        <v>117</v>
      </c>
      <c r="AE71" s="302" t="s">
        <v>121</v>
      </c>
      <c r="AF71" s="221" t="s">
        <v>120</v>
      </c>
      <c r="AG71" s="221" t="s">
        <v>122</v>
      </c>
      <c r="AH71" s="232" t="s">
        <v>117</v>
      </c>
      <c r="AI71" s="232" t="s">
        <v>121</v>
      </c>
      <c r="AJ71" s="232" t="s">
        <v>120</v>
      </c>
      <c r="AK71" s="232" t="s">
        <v>122</v>
      </c>
      <c r="AL71" s="221" t="s">
        <v>117</v>
      </c>
      <c r="AM71" s="220" t="s">
        <v>121</v>
      </c>
      <c r="AN71" s="220" t="s">
        <v>120</v>
      </c>
      <c r="AO71" s="220" t="s">
        <v>122</v>
      </c>
      <c r="AP71" s="220" t="s">
        <v>117</v>
      </c>
      <c r="AQ71" s="220" t="s">
        <v>121</v>
      </c>
      <c r="AR71" s="238" t="s">
        <v>120</v>
      </c>
      <c r="AS71" s="238" t="s">
        <v>122</v>
      </c>
      <c r="AT71" s="238" t="s">
        <v>117</v>
      </c>
      <c r="AU71" s="238" t="s">
        <v>121</v>
      </c>
      <c r="AV71" s="238" t="s">
        <v>120</v>
      </c>
      <c r="AW71" s="238" t="s">
        <v>122</v>
      </c>
      <c r="AX71" s="238" t="s">
        <v>117</v>
      </c>
      <c r="AY71" s="238" t="s">
        <v>121</v>
      </c>
      <c r="AZ71" s="238" t="s">
        <v>120</v>
      </c>
      <c r="BA71" s="238" t="s">
        <v>122</v>
      </c>
      <c r="BB71" s="238" t="s">
        <v>117</v>
      </c>
      <c r="BC71" s="220" t="s">
        <v>121</v>
      </c>
      <c r="BD71" s="220" t="s">
        <v>191</v>
      </c>
      <c r="BE71" s="220" t="s">
        <v>122</v>
      </c>
      <c r="BF71" s="220" t="s">
        <v>117</v>
      </c>
      <c r="BG71" s="220" t="s">
        <v>121</v>
      </c>
      <c r="BH71" s="220" t="s">
        <v>120</v>
      </c>
      <c r="BI71" s="220" t="s">
        <v>122</v>
      </c>
    </row>
    <row r="72" spans="2:61" x14ac:dyDescent="0.3">
      <c r="B72" s="119" t="s">
        <v>7</v>
      </c>
      <c r="C72" s="6">
        <f>C60/C65</f>
        <v>0.97692643266694001</v>
      </c>
      <c r="D72" s="6">
        <f t="shared" ref="D72:O72" si="37">D60/D65</f>
        <v>0.88354318367812001</v>
      </c>
      <c r="E72" s="6">
        <f t="shared" si="37"/>
        <v>0.80316468915787331</v>
      </c>
      <c r="F72" s="6">
        <f t="shared" si="37"/>
        <v>0.75654017972300935</v>
      </c>
      <c r="G72" s="6">
        <f t="shared" si="37"/>
        <v>0.75924510381668198</v>
      </c>
      <c r="H72" s="6">
        <f t="shared" si="37"/>
        <v>0.72961960264824588</v>
      </c>
      <c r="I72" s="6">
        <f t="shared" si="37"/>
        <v>0.73696266154694412</v>
      </c>
      <c r="J72" s="6">
        <f t="shared" si="37"/>
        <v>0.71321743941315108</v>
      </c>
      <c r="K72" s="6">
        <f t="shared" si="37"/>
        <v>0.65112484881685351</v>
      </c>
      <c r="L72" s="6">
        <f t="shared" si="37"/>
        <v>0.67956465480293626</v>
      </c>
      <c r="M72" s="6">
        <f t="shared" si="37"/>
        <v>0.72607798783513666</v>
      </c>
      <c r="N72" s="6">
        <f t="shared" si="37"/>
        <v>0.69496842012694804</v>
      </c>
      <c r="O72" s="6">
        <f t="shared" si="37"/>
        <v>0.69244728773858166</v>
      </c>
      <c r="P72" s="6">
        <f t="shared" ref="P72:U72" si="38">P60/P65</f>
        <v>0.69874809672812277</v>
      </c>
      <c r="Q72" s="6">
        <f t="shared" si="38"/>
        <v>0.70279841001885701</v>
      </c>
      <c r="R72" s="6">
        <f t="shared" si="38"/>
        <v>0.6902828737485065</v>
      </c>
      <c r="S72" s="6">
        <f t="shared" si="38"/>
        <v>0.70415535748464153</v>
      </c>
      <c r="T72" s="6">
        <f t="shared" si="38"/>
        <v>0.67782690876603402</v>
      </c>
      <c r="U72" s="6">
        <f t="shared" si="38"/>
        <v>0.6724250683173133</v>
      </c>
      <c r="V72" s="6">
        <f t="shared" ref="V72:AB72" si="39">V60/V65</f>
        <v>0.66950505696408835</v>
      </c>
      <c r="W72" s="6">
        <f t="shared" si="39"/>
        <v>0.68101428250549445</v>
      </c>
      <c r="X72" s="6">
        <f t="shared" si="39"/>
        <v>0.67552195294741935</v>
      </c>
      <c r="Y72" s="6">
        <f t="shared" si="39"/>
        <v>0.67259085972478538</v>
      </c>
      <c r="Z72" s="6">
        <f t="shared" si="39"/>
        <v>0.66802022833410823</v>
      </c>
      <c r="AA72" s="6">
        <f t="shared" si="39"/>
        <v>0.66643266542789303</v>
      </c>
      <c r="AB72" s="6">
        <f t="shared" si="39"/>
        <v>0.62705915446868699</v>
      </c>
      <c r="AC72" s="6">
        <f t="shared" ref="AC72:AH72" si="40">AC60/AC65</f>
        <v>0.61597641192042651</v>
      </c>
      <c r="AD72" s="6">
        <f t="shared" si="40"/>
        <v>0.60831733095030605</v>
      </c>
      <c r="AE72" s="6">
        <f t="shared" si="40"/>
        <v>0.58593964545841337</v>
      </c>
      <c r="AF72" s="6">
        <f t="shared" si="40"/>
        <v>0.56223359154645236</v>
      </c>
      <c r="AG72" s="6">
        <f t="shared" si="40"/>
        <v>0.58768945189055277</v>
      </c>
      <c r="AH72" s="6">
        <f t="shared" si="40"/>
        <v>0.60087010854929535</v>
      </c>
      <c r="AI72" s="6">
        <f t="shared" ref="AI72:AN72" si="41">AI60/AI65</f>
        <v>0.59095323467658367</v>
      </c>
      <c r="AJ72" s="331">
        <f t="shared" si="41"/>
        <v>0.57234644679319102</v>
      </c>
      <c r="AK72" s="6">
        <f t="shared" si="41"/>
        <v>0.5893499516250652</v>
      </c>
      <c r="AL72" s="6">
        <f t="shared" si="41"/>
        <v>0.56819535037224467</v>
      </c>
      <c r="AM72" s="6">
        <f t="shared" si="41"/>
        <v>0.57256212183462596</v>
      </c>
      <c r="AN72" s="6">
        <f t="shared" si="41"/>
        <v>0.53494929786043155</v>
      </c>
      <c r="AO72" s="6">
        <f t="shared" ref="AO72:AT72" si="42">AO60/AO65</f>
        <v>0.53959524892032729</v>
      </c>
      <c r="AP72" s="6">
        <f t="shared" si="42"/>
        <v>0.55367925403107943</v>
      </c>
      <c r="AQ72" s="6">
        <f t="shared" si="42"/>
        <v>0.55469498572944387</v>
      </c>
      <c r="AR72" s="6">
        <f t="shared" si="42"/>
        <v>0.53736837923428216</v>
      </c>
      <c r="AS72" s="6">
        <f t="shared" si="42"/>
        <v>0.51757694871893334</v>
      </c>
      <c r="AT72" s="6">
        <f t="shared" si="42"/>
        <v>0.52241612191642306</v>
      </c>
      <c r="AU72" s="6">
        <f t="shared" ref="AU72:AX72" si="43">AU60/AU65</f>
        <v>0.49719227171604813</v>
      </c>
      <c r="AV72" s="6">
        <f t="shared" si="43"/>
        <v>0.49455172854015611</v>
      </c>
      <c r="AW72" s="6">
        <f t="shared" si="43"/>
        <v>0.54983437672796798</v>
      </c>
      <c r="AX72" s="6">
        <f t="shared" si="43"/>
        <v>0.49345538724656623</v>
      </c>
      <c r="AY72" s="6">
        <f t="shared" ref="AY72:BI72" si="44">AY60/AY65</f>
        <v>0.5070684957146</v>
      </c>
      <c r="AZ72" s="6">
        <f t="shared" si="44"/>
        <v>0.50709179447781683</v>
      </c>
      <c r="BA72" s="6">
        <f t="shared" si="44"/>
        <v>0.52255723771394846</v>
      </c>
      <c r="BB72" s="6">
        <f t="shared" si="44"/>
        <v>0.47394500838786929</v>
      </c>
      <c r="BC72" s="6">
        <f t="shared" si="44"/>
        <v>0.50059243330751779</v>
      </c>
      <c r="BD72" s="6">
        <f t="shared" si="44"/>
        <v>0.47028316847257012</v>
      </c>
      <c r="BE72" s="6">
        <f t="shared" si="44"/>
        <v>0.46153385536177755</v>
      </c>
      <c r="BF72" s="6">
        <f t="shared" si="44"/>
        <v>0.41866591823237542</v>
      </c>
      <c r="BG72" s="6">
        <f t="shared" si="44"/>
        <v>0.45763059878884843</v>
      </c>
      <c r="BH72" s="6">
        <f t="shared" si="44"/>
        <v>0.43294231563278746</v>
      </c>
      <c r="BI72" s="6">
        <f t="shared" si="44"/>
        <v>0.44363861743473609</v>
      </c>
    </row>
    <row r="73" spans="2:61" x14ac:dyDescent="0.3">
      <c r="B73" s="119" t="s">
        <v>31</v>
      </c>
      <c r="C73" s="6">
        <f>C61/C65</f>
        <v>2.3073567333060013E-2</v>
      </c>
      <c r="D73" s="6">
        <f t="shared" ref="D73:O73" si="45">D61/D65</f>
        <v>0.11645681632188012</v>
      </c>
      <c r="E73" s="6">
        <f t="shared" si="45"/>
        <v>0.19683531084212669</v>
      </c>
      <c r="F73" s="6">
        <f t="shared" si="45"/>
        <v>0.2434598202769907</v>
      </c>
      <c r="G73" s="6">
        <f t="shared" si="45"/>
        <v>0.24075489618331788</v>
      </c>
      <c r="H73" s="6">
        <f t="shared" si="45"/>
        <v>0.26833306324172201</v>
      </c>
      <c r="I73" s="6">
        <f t="shared" si="45"/>
        <v>0.25937430353855917</v>
      </c>
      <c r="J73" s="6">
        <f t="shared" si="45"/>
        <v>0.28560337746777764</v>
      </c>
      <c r="K73" s="6">
        <f t="shared" si="45"/>
        <v>0.34746660870269308</v>
      </c>
      <c r="L73" s="6">
        <f t="shared" si="45"/>
        <v>0.31462716185587802</v>
      </c>
      <c r="M73" s="6">
        <f t="shared" si="45"/>
        <v>0.26128212835279546</v>
      </c>
      <c r="N73" s="6">
        <f t="shared" si="45"/>
        <v>0.29052558688582114</v>
      </c>
      <c r="O73" s="6">
        <f t="shared" si="45"/>
        <v>0.28459905591260998</v>
      </c>
      <c r="P73" s="6">
        <f t="shared" ref="P73:U73" si="46">P61/P65</f>
        <v>0.28367478362567011</v>
      </c>
      <c r="Q73" s="6">
        <f t="shared" si="46"/>
        <v>0.27729805880239811</v>
      </c>
      <c r="R73" s="6">
        <f t="shared" si="46"/>
        <v>0.27253144838372745</v>
      </c>
      <c r="S73" s="6">
        <f t="shared" si="46"/>
        <v>0.26737949475751954</v>
      </c>
      <c r="T73" s="6">
        <f t="shared" si="46"/>
        <v>0.27266637546447936</v>
      </c>
      <c r="U73" s="6">
        <f t="shared" si="46"/>
        <v>0.27508496644618113</v>
      </c>
      <c r="V73" s="6">
        <f t="shared" ref="V73:AC73" si="47">V61/V65</f>
        <v>0.28199252032832389</v>
      </c>
      <c r="W73" s="6">
        <f t="shared" si="47"/>
        <v>0.27123346455493524</v>
      </c>
      <c r="X73" s="6">
        <f t="shared" si="47"/>
        <v>0.27331681406296465</v>
      </c>
      <c r="Y73" s="6">
        <f t="shared" si="47"/>
        <v>0.2740929825029198</v>
      </c>
      <c r="Z73" s="6">
        <f t="shared" si="47"/>
        <v>0.27377813278629748</v>
      </c>
      <c r="AA73" s="6">
        <f t="shared" si="47"/>
        <v>0.27952453947504691</v>
      </c>
      <c r="AB73" s="6">
        <f t="shared" si="47"/>
        <v>0.31245124236369726</v>
      </c>
      <c r="AC73" s="6">
        <f t="shared" si="47"/>
        <v>0.31972728549787521</v>
      </c>
      <c r="AD73" s="6">
        <f t="shared" ref="AD73:AJ73" si="48">AD61/AD65</f>
        <v>0.33326045138074573</v>
      </c>
      <c r="AE73" s="6">
        <f t="shared" si="48"/>
        <v>0.34868256758790234</v>
      </c>
      <c r="AF73" s="6">
        <f t="shared" si="48"/>
        <v>0.37944494754024605</v>
      </c>
      <c r="AG73" s="6">
        <f t="shared" si="48"/>
        <v>0.34992989990081474</v>
      </c>
      <c r="AH73" s="6">
        <f t="shared" si="48"/>
        <v>0.33870110136505355</v>
      </c>
      <c r="AI73" s="6">
        <f t="shared" si="48"/>
        <v>0.34801672402997391</v>
      </c>
      <c r="AJ73" s="331">
        <f t="shared" si="48"/>
        <v>0.37232319810217263</v>
      </c>
      <c r="AK73" s="6">
        <f t="shared" ref="AK73:AT73" si="49">AK61/AK65</f>
        <v>0.35773881161601612</v>
      </c>
      <c r="AL73" s="6">
        <f t="shared" si="49"/>
        <v>0.37920124623154089</v>
      </c>
      <c r="AM73" s="6">
        <f t="shared" si="49"/>
        <v>0.3764748655747967</v>
      </c>
      <c r="AN73" s="6">
        <f t="shared" si="49"/>
        <v>0.40960062555845206</v>
      </c>
      <c r="AO73" s="6">
        <f t="shared" si="49"/>
        <v>0.40051098297740789</v>
      </c>
      <c r="AP73" s="6">
        <f t="shared" si="49"/>
        <v>0.37534892812712028</v>
      </c>
      <c r="AQ73" s="6">
        <f t="shared" si="49"/>
        <v>0.36233479201368357</v>
      </c>
      <c r="AR73" s="6">
        <f t="shared" si="49"/>
        <v>0.38802560548600101</v>
      </c>
      <c r="AS73" s="6">
        <f t="shared" si="49"/>
        <v>0.39063577440258646</v>
      </c>
      <c r="AT73" s="6">
        <f t="shared" si="49"/>
        <v>0.39224621519027697</v>
      </c>
      <c r="AU73" s="6">
        <f t="shared" ref="AU73:AZ73" si="50">AU61/AU65</f>
        <v>0.40535885832743451</v>
      </c>
      <c r="AV73" s="6">
        <f t="shared" si="50"/>
        <v>0.39693342294882528</v>
      </c>
      <c r="AW73" s="6">
        <f t="shared" si="50"/>
        <v>0.33621785870651627</v>
      </c>
      <c r="AX73" s="6">
        <f t="shared" si="50"/>
        <v>0.40428075791879553</v>
      </c>
      <c r="AY73" s="6">
        <f t="shared" si="50"/>
        <v>0.43794806547219045</v>
      </c>
      <c r="AZ73" s="6">
        <f t="shared" si="50"/>
        <v>0.43440069661143466</v>
      </c>
      <c r="BA73" s="6">
        <f t="shared" ref="BA73:BB73" si="51">BA61/BA65</f>
        <v>0.41554414458142658</v>
      </c>
      <c r="BB73" s="6">
        <f t="shared" si="51"/>
        <v>0.46755491073598693</v>
      </c>
      <c r="BC73" s="6">
        <f t="shared" ref="BC73:BI73" si="52">BC61/BC65</f>
        <v>0.44605074406408307</v>
      </c>
      <c r="BD73" s="6">
        <f t="shared" si="52"/>
        <v>0.471938886972667</v>
      </c>
      <c r="BE73" s="6">
        <f t="shared" si="52"/>
        <v>0.48459926668193209</v>
      </c>
      <c r="BF73" s="6">
        <f t="shared" si="52"/>
        <v>0.54209642430568639</v>
      </c>
      <c r="BG73" s="6">
        <f t="shared" si="52"/>
        <v>0.49688687503893453</v>
      </c>
      <c r="BH73" s="6">
        <f t="shared" si="52"/>
        <v>0.51549846437792668</v>
      </c>
      <c r="BI73" s="6">
        <f t="shared" si="52"/>
        <v>0.51357862196726101</v>
      </c>
    </row>
    <row r="74" spans="2:61" x14ac:dyDescent="0.3">
      <c r="B74" s="119" t="s">
        <v>21</v>
      </c>
      <c r="J74" s="6">
        <f t="shared" ref="J74:O74" si="53">J62/J65</f>
        <v>1.1791831190712491E-3</v>
      </c>
      <c r="K74" s="6">
        <f t="shared" si="53"/>
        <v>1.4085424804533907E-3</v>
      </c>
      <c r="L74" s="6">
        <f t="shared" si="53"/>
        <v>8.0123568697381244E-4</v>
      </c>
      <c r="M74" s="6">
        <f t="shared" si="53"/>
        <v>1.1183586369592751E-3</v>
      </c>
      <c r="N74" s="6">
        <f t="shared" si="53"/>
        <v>1.5138183723780788E-3</v>
      </c>
      <c r="O74" s="6">
        <f t="shared" si="53"/>
        <v>1.8397968829197506E-3</v>
      </c>
      <c r="P74" s="6">
        <f t="shared" ref="P74:U74" si="54">P62/P65</f>
        <v>1.0132778407839428E-3</v>
      </c>
      <c r="Q74" s="6">
        <f t="shared" si="54"/>
        <v>8.7709312090403268E-4</v>
      </c>
      <c r="R74" s="6">
        <f t="shared" si="54"/>
        <v>7.0307466344734647E-4</v>
      </c>
      <c r="S74" s="6">
        <f t="shared" si="54"/>
        <v>4.2421945622139745E-4</v>
      </c>
      <c r="T74" s="6">
        <f t="shared" si="54"/>
        <v>6.8881407030247494E-4</v>
      </c>
      <c r="U74" s="6">
        <f t="shared" si="54"/>
        <v>4.0831731235287978E-4</v>
      </c>
      <c r="V74" s="6">
        <f t="shared" ref="V74:AC74" si="55">V62/V65</f>
        <v>2.8806273828331616E-4</v>
      </c>
      <c r="W74" s="6">
        <f t="shared" si="55"/>
        <v>2.6508899450586126E-4</v>
      </c>
      <c r="X74" s="6">
        <f t="shared" si="55"/>
        <v>2.9989790985935147E-4</v>
      </c>
      <c r="Y74" s="224">
        <f t="shared" si="55"/>
        <v>2.3576583517043189E-4</v>
      </c>
      <c r="Z74" s="224">
        <f t="shared" si="55"/>
        <v>2.9499997730769408E-4</v>
      </c>
      <c r="AA74" s="224">
        <f t="shared" si="55"/>
        <v>3.9938141503348255E-4</v>
      </c>
      <c r="AB74" s="224">
        <f t="shared" si="55"/>
        <v>2.0860896556235015E-4</v>
      </c>
      <c r="AC74" s="224">
        <f t="shared" si="55"/>
        <v>1.5595430208084653E-4</v>
      </c>
      <c r="AD74" s="224">
        <f t="shared" ref="AD74:AJ74" si="56">AD62/AD65</f>
        <v>2.1361310891527814E-4</v>
      </c>
      <c r="AE74" s="224">
        <f t="shared" si="56"/>
        <v>1.8013772518885537E-3</v>
      </c>
      <c r="AF74" s="224">
        <f t="shared" si="56"/>
        <v>1.9466923533924361E-4</v>
      </c>
      <c r="AG74" s="224">
        <f t="shared" si="56"/>
        <v>5.7148588333546108E-3</v>
      </c>
      <c r="AH74" s="224">
        <f t="shared" si="56"/>
        <v>7.8410821809747483E-3</v>
      </c>
      <c r="AI74" s="224">
        <f t="shared" si="56"/>
        <v>8.0411012976498372E-3</v>
      </c>
      <c r="AJ74" s="224">
        <f t="shared" si="56"/>
        <v>6.5119277638697754E-3</v>
      </c>
      <c r="AK74" s="224">
        <f t="shared" ref="AK74:AT74" si="57">AK62/AK65</f>
        <v>7.1337678487740676E-3</v>
      </c>
      <c r="AL74" s="224">
        <f t="shared" si="57"/>
        <v>7.4129180547819864E-3</v>
      </c>
      <c r="AM74" s="224">
        <f t="shared" si="57"/>
        <v>8.484978205726362E-3</v>
      </c>
      <c r="AN74" s="224">
        <f t="shared" si="57"/>
        <v>9.8518079321623184E-3</v>
      </c>
      <c r="AO74" s="224">
        <f t="shared" si="57"/>
        <v>8.3099259768099846E-3</v>
      </c>
      <c r="AP74" s="224">
        <f t="shared" si="57"/>
        <v>7.4263018804461393E-3</v>
      </c>
      <c r="AQ74" s="224">
        <f t="shared" si="57"/>
        <v>1.1709629211373725E-2</v>
      </c>
      <c r="AR74" s="224">
        <f t="shared" si="57"/>
        <v>9.5009519869811727E-3</v>
      </c>
      <c r="AS74" s="224">
        <f t="shared" si="57"/>
        <v>9.4648050379034909E-3</v>
      </c>
      <c r="AT74" s="224">
        <f t="shared" si="57"/>
        <v>8.7320416212571441E-3</v>
      </c>
      <c r="AU74" s="224">
        <f t="shared" ref="AU74:AZ74" si="58">AU62/AU65</f>
        <v>1.149477955303873E-2</v>
      </c>
      <c r="AV74" s="224">
        <f t="shared" si="58"/>
        <v>1.3658227040097927E-2</v>
      </c>
      <c r="AW74" s="224">
        <f t="shared" si="58"/>
        <v>1.2689934744954117E-2</v>
      </c>
      <c r="AX74" s="224">
        <f t="shared" si="58"/>
        <v>1.1388741583191626E-2</v>
      </c>
      <c r="AY74" s="224">
        <f t="shared" si="58"/>
        <v>1.4485438401046536E-2</v>
      </c>
      <c r="AZ74" s="224">
        <f t="shared" si="58"/>
        <v>1.5866775789372095E-2</v>
      </c>
      <c r="BA74" s="224">
        <f t="shared" ref="BA74:BB74" si="59">BA62/BA65</f>
        <v>1.6994242327419685E-2</v>
      </c>
      <c r="BB74" s="224">
        <f t="shared" si="59"/>
        <v>1.4942875061426181E-2</v>
      </c>
      <c r="BC74" s="224">
        <f t="shared" ref="BC74:BI74" si="60">BC62/BC65</f>
        <v>1.385338859558791E-2</v>
      </c>
      <c r="BD74" s="224">
        <f t="shared" si="60"/>
        <v>1.5061332521837646E-2</v>
      </c>
      <c r="BE74" s="224">
        <f t="shared" si="60"/>
        <v>1.4035941591321283E-2</v>
      </c>
      <c r="BF74" s="224">
        <f t="shared" si="60"/>
        <v>8.3774682159916333E-3</v>
      </c>
      <c r="BG74" s="224">
        <f t="shared" si="60"/>
        <v>9.7131466004806571E-3</v>
      </c>
      <c r="BH74" s="224">
        <f t="shared" si="60"/>
        <v>1.1107658519644388E-2</v>
      </c>
      <c r="BI74" s="224">
        <f t="shared" si="60"/>
        <v>9.5570142435804691E-3</v>
      </c>
    </row>
    <row r="75" spans="2:61" x14ac:dyDescent="0.3">
      <c r="B75" s="119" t="s">
        <v>36</v>
      </c>
      <c r="L75" s="6">
        <f t="shared" ref="L75:R75" si="61">L63/L65</f>
        <v>5.0069476542118369E-3</v>
      </c>
      <c r="M75" s="6">
        <f t="shared" si="61"/>
        <v>1.1521525175108707E-2</v>
      </c>
      <c r="N75" s="6">
        <f t="shared" si="61"/>
        <v>1.2992174614852661E-2</v>
      </c>
      <c r="O75" s="6">
        <f t="shared" si="61"/>
        <v>2.1113859465888566E-2</v>
      </c>
      <c r="P75" s="6">
        <f t="shared" si="61"/>
        <v>1.6563841805423044E-2</v>
      </c>
      <c r="Q75" s="6">
        <f t="shared" si="61"/>
        <v>1.9026438057840857E-2</v>
      </c>
      <c r="R75" s="6">
        <f t="shared" si="61"/>
        <v>3.6482603204318613E-2</v>
      </c>
      <c r="S75" s="6">
        <f t="shared" ref="S75:AB75" si="62">S63/S65</f>
        <v>2.8040928301617498E-2</v>
      </c>
      <c r="T75" s="6">
        <f t="shared" si="62"/>
        <v>4.8817901699184194E-2</v>
      </c>
      <c r="U75" s="6">
        <f t="shared" si="62"/>
        <v>5.2081647924152749E-2</v>
      </c>
      <c r="V75" s="6">
        <f t="shared" si="62"/>
        <v>4.8214359969304323E-2</v>
      </c>
      <c r="W75" s="6">
        <f t="shared" si="62"/>
        <v>4.7487163945064463E-2</v>
      </c>
      <c r="X75" s="6">
        <f t="shared" si="62"/>
        <v>5.0861335079756667E-2</v>
      </c>
      <c r="Y75" s="6">
        <f t="shared" si="62"/>
        <v>5.308039193712439E-2</v>
      </c>
      <c r="Z75" s="6">
        <f t="shared" si="62"/>
        <v>5.7906638902286513E-2</v>
      </c>
      <c r="AA75" s="6">
        <f t="shared" si="62"/>
        <v>5.3643413682026568E-2</v>
      </c>
      <c r="AB75" s="6">
        <f t="shared" si="62"/>
        <v>6.028099420205333E-2</v>
      </c>
      <c r="AC75" s="6">
        <f t="shared" ref="AC75:AH75" si="63">AC63/AC65</f>
        <v>6.4140348279617398E-2</v>
      </c>
      <c r="AD75" s="6">
        <f t="shared" si="63"/>
        <v>5.8208604560032844E-2</v>
      </c>
      <c r="AE75" s="6">
        <f t="shared" si="63"/>
        <v>6.3576409701795747E-2</v>
      </c>
      <c r="AF75" s="6">
        <f t="shared" si="63"/>
        <v>5.8126791677962288E-2</v>
      </c>
      <c r="AG75" s="6">
        <f t="shared" si="63"/>
        <v>5.6665789375277838E-2</v>
      </c>
      <c r="AH75" s="6">
        <f t="shared" si="63"/>
        <v>5.2587707904676401E-2</v>
      </c>
      <c r="AI75" s="6">
        <f>AI63/AI65</f>
        <v>5.2988939995792635E-2</v>
      </c>
      <c r="AJ75" s="6">
        <f>AJ63/AJ65</f>
        <v>4.8818427340766538E-2</v>
      </c>
      <c r="AK75" s="6">
        <f>AK63/AK65</f>
        <v>4.5777468910144677E-2</v>
      </c>
      <c r="AL75" s="6">
        <f>AL63/AL65</f>
        <v>4.5190485341432433E-2</v>
      </c>
      <c r="AM75" s="6">
        <f>AM63/AM65</f>
        <v>4.2478034384850996E-2</v>
      </c>
      <c r="AN75" s="6">
        <f t="shared" ref="AN75:AT75" si="64">AN63/AN65</f>
        <v>4.5598268648954193E-2</v>
      </c>
      <c r="AO75" s="6">
        <f t="shared" si="64"/>
        <v>4.0638061133720746E-2</v>
      </c>
      <c r="AP75" s="6">
        <f t="shared" si="64"/>
        <v>4.3218596084525183E-2</v>
      </c>
      <c r="AQ75" s="6">
        <f t="shared" si="64"/>
        <v>5.5467295342397686E-2</v>
      </c>
      <c r="AR75" s="6">
        <f t="shared" si="64"/>
        <v>4.7809547111479375E-2</v>
      </c>
      <c r="AS75" s="6">
        <f t="shared" si="64"/>
        <v>6.6329274589521453E-2</v>
      </c>
      <c r="AT75" s="6">
        <f t="shared" si="64"/>
        <v>6.240481638011066E-2</v>
      </c>
      <c r="AU75" s="6">
        <f>AU63/AU65</f>
        <v>7.2642266659925167E-2</v>
      </c>
      <c r="AV75" s="6">
        <f>AV63/AV65</f>
        <v>8.0306620156726988E-2</v>
      </c>
      <c r="AW75" s="6">
        <f>AW63/AW65</f>
        <v>6.8246556274409592E-2</v>
      </c>
      <c r="AX75" s="6">
        <f>AX63/AX65</f>
        <v>6.1248730507542599E-2</v>
      </c>
      <c r="AY75" s="6">
        <f>AY63/AY65</f>
        <v>0</v>
      </c>
      <c r="AZ75" s="6"/>
      <c r="BA75" s="6"/>
      <c r="BB75" s="6"/>
      <c r="BC75" s="6"/>
      <c r="BD75" s="6"/>
      <c r="BE75" s="6"/>
      <c r="BF75" s="6"/>
      <c r="BG75" s="6"/>
      <c r="BH75" s="6"/>
      <c r="BI75" s="6"/>
    </row>
    <row r="76" spans="2:61" x14ac:dyDescent="0.3">
      <c r="B76" s="119" t="s">
        <v>155</v>
      </c>
      <c r="K76" s="7"/>
      <c r="L76" s="7"/>
      <c r="AB76" s="287"/>
      <c r="AO76" s="6">
        <f t="shared" ref="AO76:AT76" si="65">AO64/AO65</f>
        <v>1.0945780991734029E-2</v>
      </c>
      <c r="AP76" s="6">
        <f t="shared" si="65"/>
        <v>2.0326919876829073E-2</v>
      </c>
      <c r="AQ76" s="6">
        <f t="shared" si="65"/>
        <v>1.5793297703101231E-2</v>
      </c>
      <c r="AR76" s="6">
        <f t="shared" si="65"/>
        <v>1.7295516181256305E-2</v>
      </c>
      <c r="AS76" s="6">
        <f t="shared" si="65"/>
        <v>1.5993197251055261E-2</v>
      </c>
      <c r="AT76" s="6">
        <f t="shared" si="65"/>
        <v>1.4200804891932024E-2</v>
      </c>
      <c r="AU76" s="6">
        <f t="shared" ref="AU76:AZ76" si="66">AU64/AU65</f>
        <v>1.3311823743553443E-2</v>
      </c>
      <c r="AV76" s="6">
        <f t="shared" si="66"/>
        <v>1.4550001314193668E-2</v>
      </c>
      <c r="AW76" s="6">
        <f t="shared" si="66"/>
        <v>3.3011273546152117E-2</v>
      </c>
      <c r="AX76" s="6">
        <f t="shared" si="66"/>
        <v>2.962638274390399E-2</v>
      </c>
      <c r="AY76" s="6">
        <f t="shared" si="66"/>
        <v>4.0498000412162991E-2</v>
      </c>
      <c r="AZ76" s="6">
        <f t="shared" si="66"/>
        <v>4.2640733121376471E-2</v>
      </c>
      <c r="BA76" s="6">
        <f t="shared" ref="BA76:BB76" si="67">BA64/BA65</f>
        <v>4.4904375377205243E-2</v>
      </c>
      <c r="BB76" s="6">
        <f t="shared" si="67"/>
        <v>4.3557205814717607E-2</v>
      </c>
      <c r="BC76" s="6">
        <f t="shared" ref="BC76" si="68">BC64/BC65</f>
        <v>3.9503434032811258E-2</v>
      </c>
      <c r="BD76" s="6">
        <f t="shared" ref="BD76:BI76" si="69">BD64/BD65</f>
        <v>4.2716612032925205E-2</v>
      </c>
      <c r="BE76" s="6">
        <f t="shared" si="69"/>
        <v>3.9830936364968969E-2</v>
      </c>
      <c r="BF76" s="6">
        <f t="shared" si="69"/>
        <v>3.0860189245946561E-2</v>
      </c>
      <c r="BG76" s="6">
        <f t="shared" si="69"/>
        <v>3.5769379571736294E-2</v>
      </c>
      <c r="BH76" s="6">
        <f t="shared" si="69"/>
        <v>4.0451561469641649E-2</v>
      </c>
      <c r="BI76" s="6">
        <f t="shared" si="69"/>
        <v>3.3225746354422478E-2</v>
      </c>
    </row>
    <row r="77" spans="2:61" x14ac:dyDescent="0.3">
      <c r="AB77" s="287"/>
      <c r="AH77" s="372">
        <f t="shared" ref="AH77:AN77" si="70">SUM(AH72:AH75)</f>
        <v>1.0000000000000002</v>
      </c>
      <c r="AI77" s="372">
        <f t="shared" si="70"/>
        <v>1</v>
      </c>
      <c r="AJ77" s="372">
        <f t="shared" si="70"/>
        <v>1</v>
      </c>
      <c r="AK77" s="372">
        <f t="shared" si="70"/>
        <v>1.0000000000000002</v>
      </c>
      <c r="AL77" s="372">
        <f t="shared" si="70"/>
        <v>1</v>
      </c>
      <c r="AM77" s="372">
        <f t="shared" si="70"/>
        <v>1</v>
      </c>
      <c r="AN77" s="372">
        <f t="shared" si="70"/>
        <v>1.0000000000000002</v>
      </c>
      <c r="AO77" s="372">
        <f t="shared" ref="AO77:AZ77" si="71">SUM(AO72:AO76)</f>
        <v>0.99999999999999989</v>
      </c>
      <c r="AP77" s="372">
        <f t="shared" si="71"/>
        <v>1</v>
      </c>
      <c r="AQ77" s="372">
        <f t="shared" si="71"/>
        <v>1.0000000000000002</v>
      </c>
      <c r="AR77" s="372">
        <f t="shared" si="71"/>
        <v>1</v>
      </c>
      <c r="AS77" s="372">
        <f t="shared" si="71"/>
        <v>1</v>
      </c>
      <c r="AT77" s="372">
        <f t="shared" si="71"/>
        <v>0.99999999999999978</v>
      </c>
      <c r="AU77" s="372">
        <f t="shared" si="71"/>
        <v>0.99999999999999989</v>
      </c>
      <c r="AV77" s="372">
        <f t="shared" si="71"/>
        <v>1</v>
      </c>
      <c r="AW77" s="372">
        <f t="shared" si="71"/>
        <v>1</v>
      </c>
      <c r="AX77" s="372">
        <f t="shared" si="71"/>
        <v>1</v>
      </c>
      <c r="AY77" s="372">
        <f t="shared" si="71"/>
        <v>1</v>
      </c>
      <c r="AZ77" s="372">
        <f t="shared" si="71"/>
        <v>1</v>
      </c>
      <c r="BA77" s="372">
        <f t="shared" ref="BA77:BB77" si="72">SUM(BA72:BA76)</f>
        <v>0.99999999999999989</v>
      </c>
      <c r="BB77" s="372">
        <f t="shared" si="72"/>
        <v>1</v>
      </c>
      <c r="BC77" s="372">
        <f t="shared" ref="BC77:BI77" si="73">SUM(BC72:BC76)</f>
        <v>1</v>
      </c>
      <c r="BD77" s="372">
        <f t="shared" si="73"/>
        <v>1</v>
      </c>
      <c r="BE77" s="372">
        <f t="shared" si="73"/>
        <v>0.99999999999999989</v>
      </c>
      <c r="BF77" s="372">
        <f t="shared" si="73"/>
        <v>1</v>
      </c>
      <c r="BG77" s="372">
        <f t="shared" si="73"/>
        <v>0.99999999999999989</v>
      </c>
      <c r="BH77" s="372">
        <f t="shared" si="73"/>
        <v>1.0000000000000002</v>
      </c>
      <c r="BI77" s="372">
        <f t="shared" si="73"/>
        <v>1</v>
      </c>
    </row>
    <row r="78" spans="2:61" x14ac:dyDescent="0.3">
      <c r="L78" s="139"/>
      <c r="M78" s="139"/>
      <c r="AB78" s="287"/>
    </row>
    <row r="79" spans="2:61" x14ac:dyDescent="0.3">
      <c r="AB79" s="287"/>
    </row>
    <row r="80" spans="2:61" x14ac:dyDescent="0.3">
      <c r="T80" s="115"/>
      <c r="AB80" s="287"/>
    </row>
    <row r="84" spans="19:19" x14ac:dyDescent="0.3">
      <c r="S84" s="115"/>
    </row>
    <row r="85" spans="19:19" x14ac:dyDescent="0.3">
      <c r="S85" s="115"/>
    </row>
    <row r="141" spans="6:7" x14ac:dyDescent="0.3">
      <c r="F141" s="56"/>
      <c r="G141" s="57"/>
    </row>
    <row r="143" spans="6:7" x14ac:dyDescent="0.3">
      <c r="G143" s="5"/>
    </row>
    <row r="148" spans="5:10" x14ac:dyDescent="0.3">
      <c r="G148" s="4"/>
      <c r="H148" s="4"/>
      <c r="I148" s="4"/>
      <c r="J148" s="4"/>
    </row>
    <row r="149" spans="5:10" x14ac:dyDescent="0.3">
      <c r="E149" s="56"/>
      <c r="F149" s="57"/>
      <c r="G149" s="58"/>
      <c r="H149" s="59"/>
      <c r="I149" s="58"/>
      <c r="J149" s="4"/>
    </row>
    <row r="151" spans="5:10" x14ac:dyDescent="0.3">
      <c r="E151" s="5"/>
    </row>
    <row r="152" spans="5:10" x14ac:dyDescent="0.3">
      <c r="G152" s="5"/>
    </row>
  </sheetData>
  <mergeCells count="24">
    <mergeCell ref="AZ2:BA2"/>
    <mergeCell ref="H47:K47"/>
    <mergeCell ref="D47:G47"/>
    <mergeCell ref="T47:W47"/>
    <mergeCell ref="AB47:AE47"/>
    <mergeCell ref="AF47:AI47"/>
    <mergeCell ref="X47:AA47"/>
    <mergeCell ref="P47:S47"/>
    <mergeCell ref="L47:O47"/>
    <mergeCell ref="AV2:AX2"/>
    <mergeCell ref="AF2:AI2"/>
    <mergeCell ref="AB2:AE2"/>
    <mergeCell ref="AJ2:AM2"/>
    <mergeCell ref="AZ47:BA47"/>
    <mergeCell ref="AZ13:BA13"/>
    <mergeCell ref="AZ24:BA24"/>
    <mergeCell ref="AZ58:BC58"/>
    <mergeCell ref="BD24:BE24"/>
    <mergeCell ref="BD13:BE13"/>
    <mergeCell ref="AB70:AC70"/>
    <mergeCell ref="AJ47:AM47"/>
    <mergeCell ref="AJ13:AM13"/>
    <mergeCell ref="AV24:AX24"/>
    <mergeCell ref="AV13:AX1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BU138"/>
  <sheetViews>
    <sheetView zoomScale="110" zoomScaleNormal="110" workbookViewId="0">
      <pane xSplit="2" ySplit="2" topLeftCell="BB13" activePane="bottomRight" state="frozen"/>
      <selection activeCell="AC33" sqref="AC33"/>
      <selection pane="topRight" activeCell="AC33" sqref="AC33"/>
      <selection pane="bottomLeft" activeCell="AC33" sqref="AC33"/>
      <selection pane="bottomRight" activeCell="BI50" sqref="BI50"/>
    </sheetView>
  </sheetViews>
  <sheetFormatPr defaultRowHeight="13.5" x14ac:dyDescent="0.25"/>
  <cols>
    <col min="1" max="1" width="4.42578125" style="20" customWidth="1"/>
    <col min="2" max="2" width="27.140625" style="20" customWidth="1"/>
    <col min="3" max="19" width="16.140625" style="20" hidden="1" customWidth="1"/>
    <col min="20" max="20" width="13.42578125" style="20" customWidth="1"/>
    <col min="21" max="21" width="12.140625" style="20" bestFit="1" customWidth="1"/>
    <col min="22" max="22" width="12.85546875" style="9" bestFit="1" customWidth="1"/>
    <col min="23" max="23" width="12.85546875" style="9" customWidth="1"/>
    <col min="24" max="24" width="13" style="20" customWidth="1"/>
    <col min="25" max="25" width="15.5703125" style="225" bestFit="1" customWidth="1"/>
    <col min="26" max="26" width="17" style="20" customWidth="1"/>
    <col min="27" max="27" width="17.85546875" style="20" bestFit="1" customWidth="1"/>
    <col min="28" max="30" width="16.7109375" style="20" customWidth="1"/>
    <col min="31" max="31" width="16.28515625" style="20" customWidth="1"/>
    <col min="32" max="32" width="23.5703125" style="20" customWidth="1"/>
    <col min="33" max="39" width="16.28515625" style="20" customWidth="1"/>
    <col min="40" max="40" width="16.5703125" style="73" customWidth="1"/>
    <col min="41" max="41" width="17" style="73" customWidth="1"/>
    <col min="42" max="42" width="19.42578125" style="73" customWidth="1"/>
    <col min="43" max="43" width="16.5703125" style="73" customWidth="1"/>
    <col min="44" max="48" width="16.42578125" style="20" customWidth="1"/>
    <col min="49" max="49" width="13.85546875" style="20" bestFit="1" customWidth="1"/>
    <col min="50" max="51" width="13.85546875" style="20" customWidth="1"/>
    <col min="52" max="52" width="13.140625" style="20" bestFit="1" customWidth="1"/>
    <col min="53" max="53" width="15.140625" style="20" bestFit="1" customWidth="1"/>
    <col min="54" max="54" width="13.140625" style="20" customWidth="1"/>
    <col min="55" max="55" width="11.5703125" style="20" bestFit="1" customWidth="1"/>
    <col min="56" max="61" width="14.140625" style="20" customWidth="1"/>
    <col min="62" max="16384" width="9.140625" style="20"/>
  </cols>
  <sheetData>
    <row r="1" spans="1:61" ht="15.75" customHeight="1" x14ac:dyDescent="0.3">
      <c r="A1" s="17"/>
      <c r="B1" s="18" t="s">
        <v>7</v>
      </c>
      <c r="C1" s="19">
        <v>2007</v>
      </c>
      <c r="D1" s="750">
        <v>2008</v>
      </c>
      <c r="E1" s="750"/>
      <c r="F1" s="750"/>
      <c r="G1" s="750"/>
      <c r="H1" s="750">
        <v>2009</v>
      </c>
      <c r="I1" s="750"/>
      <c r="J1" s="750"/>
      <c r="K1" s="750"/>
      <c r="L1" s="750">
        <v>2010</v>
      </c>
      <c r="M1" s="750"/>
      <c r="N1" s="750"/>
      <c r="O1" s="750"/>
      <c r="P1" s="750">
        <v>2011</v>
      </c>
      <c r="Q1" s="750"/>
      <c r="R1" s="750"/>
      <c r="S1" s="19"/>
      <c r="T1" s="750">
        <v>2012</v>
      </c>
      <c r="U1" s="750"/>
      <c r="V1" s="750"/>
      <c r="W1" s="750"/>
      <c r="X1" s="745">
        <v>2013</v>
      </c>
      <c r="Y1" s="745"/>
      <c r="Z1" s="745"/>
      <c r="AA1" s="28"/>
      <c r="AB1" s="743">
        <v>2014</v>
      </c>
      <c r="AC1" s="743"/>
      <c r="AD1" s="743"/>
      <c r="AE1" s="744"/>
      <c r="AF1" s="747">
        <v>2015</v>
      </c>
      <c r="AG1" s="742"/>
      <c r="AH1" s="742"/>
      <c r="AI1" s="742"/>
      <c r="AJ1" s="742">
        <v>2016</v>
      </c>
      <c r="AK1" s="742"/>
      <c r="AL1" s="742"/>
      <c r="AM1" s="480"/>
      <c r="AN1" s="480">
        <v>2017</v>
      </c>
      <c r="AR1" s="746">
        <v>2018</v>
      </c>
      <c r="AS1" s="746"/>
      <c r="AT1" s="746"/>
      <c r="AU1" s="567"/>
      <c r="AV1" s="579">
        <v>2019</v>
      </c>
      <c r="AZ1" s="749">
        <v>2020</v>
      </c>
      <c r="BA1" s="749"/>
      <c r="BB1" s="749"/>
      <c r="BC1" s="749"/>
      <c r="BD1" s="20">
        <v>2021</v>
      </c>
    </row>
    <row r="2" spans="1:61" ht="15" x14ac:dyDescent="0.3">
      <c r="A2" s="17"/>
      <c r="B2" s="21"/>
      <c r="C2" s="22" t="s">
        <v>47</v>
      </c>
      <c r="D2" s="22" t="s">
        <v>43</v>
      </c>
      <c r="E2" s="22" t="s">
        <v>46</v>
      </c>
      <c r="F2" s="22" t="s">
        <v>45</v>
      </c>
      <c r="G2" s="22" t="s">
        <v>44</v>
      </c>
      <c r="H2" s="22" t="s">
        <v>43</v>
      </c>
      <c r="I2" s="22" t="s">
        <v>46</v>
      </c>
      <c r="J2" s="22" t="s">
        <v>45</v>
      </c>
      <c r="K2" s="22" t="s">
        <v>44</v>
      </c>
      <c r="L2" s="22" t="s">
        <v>43</v>
      </c>
      <c r="M2" s="22" t="s">
        <v>46</v>
      </c>
      <c r="N2" s="22" t="s">
        <v>45</v>
      </c>
      <c r="O2" s="22" t="s">
        <v>44</v>
      </c>
      <c r="P2" s="23" t="s">
        <v>48</v>
      </c>
      <c r="Q2" s="23" t="s">
        <v>49</v>
      </c>
      <c r="R2" s="23" t="s">
        <v>45</v>
      </c>
      <c r="S2" s="23" t="s">
        <v>47</v>
      </c>
      <c r="T2" s="23" t="s">
        <v>48</v>
      </c>
      <c r="U2" s="23" t="s">
        <v>49</v>
      </c>
      <c r="V2" s="8" t="s">
        <v>45</v>
      </c>
      <c r="W2" s="8" t="s">
        <v>47</v>
      </c>
      <c r="X2" s="23" t="s">
        <v>48</v>
      </c>
      <c r="Y2" s="233" t="s">
        <v>49</v>
      </c>
      <c r="Z2" s="28" t="s">
        <v>45</v>
      </c>
      <c r="AA2" s="28" t="s">
        <v>47</v>
      </c>
      <c r="AB2" s="233" t="s">
        <v>48</v>
      </c>
      <c r="AC2" s="233" t="s">
        <v>49</v>
      </c>
      <c r="AD2" s="233" t="s">
        <v>130</v>
      </c>
      <c r="AE2" s="233" t="s">
        <v>47</v>
      </c>
      <c r="AF2" s="233" t="s">
        <v>48</v>
      </c>
      <c r="AG2" s="233" t="s">
        <v>49</v>
      </c>
      <c r="AH2" s="233" t="s">
        <v>45</v>
      </c>
      <c r="AI2" s="233" t="s">
        <v>47</v>
      </c>
      <c r="AJ2" s="233" t="s">
        <v>147</v>
      </c>
      <c r="AK2" s="233" t="s">
        <v>150</v>
      </c>
      <c r="AL2" s="233" t="s">
        <v>45</v>
      </c>
      <c r="AM2" s="233" t="s">
        <v>47</v>
      </c>
      <c r="AN2" s="455" t="s">
        <v>48</v>
      </c>
      <c r="AO2" s="455" t="s">
        <v>49</v>
      </c>
      <c r="AP2" s="455" t="s">
        <v>45</v>
      </c>
      <c r="AQ2" s="455" t="s">
        <v>47</v>
      </c>
      <c r="AR2" s="437" t="s">
        <v>48</v>
      </c>
      <c r="AS2" s="437" t="s">
        <v>49</v>
      </c>
      <c r="AT2" s="569" t="s">
        <v>45</v>
      </c>
      <c r="AU2" s="569" t="s">
        <v>47</v>
      </c>
      <c r="AV2" s="569" t="s">
        <v>48</v>
      </c>
      <c r="AW2" s="569" t="s">
        <v>164</v>
      </c>
      <c r="AX2" s="569" t="s">
        <v>165</v>
      </c>
      <c r="AY2" s="437" t="s">
        <v>47</v>
      </c>
      <c r="AZ2" s="607" t="s">
        <v>48</v>
      </c>
      <c r="BA2" s="607" t="s">
        <v>49</v>
      </c>
      <c r="BB2" s="607" t="s">
        <v>45</v>
      </c>
      <c r="BC2" s="629" t="s">
        <v>47</v>
      </c>
      <c r="BD2" s="607" t="s">
        <v>48</v>
      </c>
      <c r="BE2" s="607" t="s">
        <v>49</v>
      </c>
      <c r="BF2" s="607" t="s">
        <v>45</v>
      </c>
      <c r="BG2" s="607" t="s">
        <v>47</v>
      </c>
      <c r="BH2" s="607" t="s">
        <v>48</v>
      </c>
      <c r="BI2" s="607" t="s">
        <v>49</v>
      </c>
    </row>
    <row r="3" spans="1:61" x14ac:dyDescent="0.25">
      <c r="A3" s="17"/>
      <c r="B3" s="334" t="s">
        <v>57</v>
      </c>
      <c r="C3" s="24">
        <v>119947.36</v>
      </c>
      <c r="D3" s="24">
        <v>107113.743</v>
      </c>
      <c r="E3" s="24">
        <v>121473.785</v>
      </c>
      <c r="F3" s="24">
        <v>196754.02799999999</v>
      </c>
      <c r="G3" s="24">
        <v>212645.56400000001</v>
      </c>
      <c r="H3" s="24">
        <v>197250.52600000001</v>
      </c>
      <c r="I3" s="24">
        <v>213125.136</v>
      </c>
      <c r="J3" s="24">
        <v>237580.902</v>
      </c>
      <c r="K3" s="20">
        <v>222587.514</v>
      </c>
      <c r="L3" s="20">
        <v>201379.62100000001</v>
      </c>
      <c r="M3" s="20">
        <v>222335</v>
      </c>
      <c r="N3" s="20">
        <v>256445.01500000001</v>
      </c>
      <c r="O3" s="20">
        <v>235896.40400000001</v>
      </c>
      <c r="P3" s="20">
        <v>205219</v>
      </c>
      <c r="Q3" s="20">
        <v>231387</v>
      </c>
      <c r="R3" s="20">
        <v>259618</v>
      </c>
      <c r="S3" s="20">
        <v>223339</v>
      </c>
      <c r="T3" s="20">
        <v>189930</v>
      </c>
      <c r="U3" s="20">
        <v>213418</v>
      </c>
      <c r="V3" s="11">
        <v>249466</v>
      </c>
      <c r="W3" s="20">
        <v>198769</v>
      </c>
      <c r="X3" s="20">
        <v>171976</v>
      </c>
      <c r="Y3" s="261">
        <v>173633</v>
      </c>
      <c r="Z3" s="261">
        <v>239503</v>
      </c>
      <c r="AA3" s="39">
        <v>232041</v>
      </c>
      <c r="AB3" s="39">
        <v>133122</v>
      </c>
      <c r="AC3" s="39">
        <v>148374</v>
      </c>
      <c r="AD3" s="152">
        <v>168361</v>
      </c>
      <c r="AE3" s="152">
        <v>146506</v>
      </c>
      <c r="AF3" s="152">
        <v>111969</v>
      </c>
      <c r="AG3" s="152">
        <v>117981</v>
      </c>
      <c r="AH3" s="152">
        <v>104448</v>
      </c>
      <c r="AI3" s="152">
        <v>115361</v>
      </c>
      <c r="AJ3" s="152">
        <v>105653.38</v>
      </c>
      <c r="AK3" s="152">
        <v>98697</v>
      </c>
      <c r="AL3" s="152">
        <v>94015</v>
      </c>
      <c r="AM3" s="457">
        <v>98401</v>
      </c>
      <c r="AN3" s="461">
        <v>90993</v>
      </c>
      <c r="AO3" s="456">
        <v>99219</v>
      </c>
      <c r="AP3" s="456">
        <v>85532</v>
      </c>
      <c r="AQ3" s="456">
        <v>95407</v>
      </c>
      <c r="AR3" s="457">
        <v>78562</v>
      </c>
      <c r="AS3" s="457">
        <v>72802</v>
      </c>
      <c r="AT3" s="457">
        <v>93148</v>
      </c>
      <c r="AU3" s="457">
        <v>83543</v>
      </c>
      <c r="AV3" s="457">
        <v>68795</v>
      </c>
      <c r="AW3" s="457">
        <v>78325</v>
      </c>
      <c r="AX3" s="457">
        <v>86087</v>
      </c>
      <c r="AY3" s="434">
        <v>103134</v>
      </c>
      <c r="AZ3" s="69">
        <v>117303</v>
      </c>
      <c r="BA3" s="69">
        <v>153390</v>
      </c>
      <c r="BB3" s="69">
        <v>205850</v>
      </c>
      <c r="BC3" s="459">
        <v>164205</v>
      </c>
      <c r="BD3" s="434">
        <v>125312</v>
      </c>
      <c r="BE3" s="69">
        <v>165353</v>
      </c>
      <c r="BF3" s="69">
        <v>192681</v>
      </c>
      <c r="BG3" s="69">
        <v>167244</v>
      </c>
      <c r="BH3" s="434">
        <v>143422</v>
      </c>
      <c r="BI3" s="434">
        <v>143367</v>
      </c>
    </row>
    <row r="4" spans="1:61" ht="15.75" customHeight="1" x14ac:dyDescent="0.25">
      <c r="A4" s="17"/>
      <c r="B4" s="335" t="s">
        <v>58</v>
      </c>
      <c r="C4" s="21"/>
      <c r="D4" s="24"/>
      <c r="E4" s="24"/>
      <c r="F4" s="21"/>
      <c r="G4" s="24"/>
      <c r="H4" s="24"/>
      <c r="I4" s="21"/>
      <c r="J4" s="21"/>
      <c r="W4" s="20"/>
      <c r="Z4" s="261"/>
      <c r="AD4" s="152"/>
      <c r="AE4" s="152"/>
      <c r="AF4" s="152"/>
      <c r="AG4" s="152"/>
      <c r="AH4" s="152"/>
      <c r="AI4" s="152"/>
      <c r="AJ4" s="152"/>
      <c r="AK4" s="152">
        <v>0</v>
      </c>
      <c r="AL4" s="152"/>
      <c r="AM4" s="457"/>
      <c r="AN4" s="68"/>
      <c r="AO4" s="68"/>
      <c r="AP4" s="68"/>
      <c r="AQ4" s="68"/>
      <c r="AS4" s="459"/>
      <c r="AT4" s="459"/>
      <c r="AU4" s="459"/>
      <c r="AV4" s="459"/>
      <c r="AW4" s="459"/>
      <c r="AX4" s="459"/>
      <c r="AY4" s="69"/>
      <c r="AZ4" s="69"/>
      <c r="BA4" s="69"/>
      <c r="BB4" s="69"/>
      <c r="BC4" s="459"/>
      <c r="BD4" s="69"/>
      <c r="BE4" s="69"/>
      <c r="BF4" s="69"/>
      <c r="BG4" s="69"/>
      <c r="BH4" s="434"/>
      <c r="BI4" s="69"/>
    </row>
    <row r="5" spans="1:61" ht="15.75" customHeight="1" x14ac:dyDescent="0.25">
      <c r="A5" s="17"/>
      <c r="B5" s="335" t="s">
        <v>111</v>
      </c>
      <c r="C5" s="21"/>
      <c r="D5" s="24"/>
      <c r="E5" s="24"/>
      <c r="F5" s="21"/>
      <c r="G5" s="24"/>
      <c r="H5" s="24"/>
      <c r="I5" s="21"/>
      <c r="J5" s="21"/>
      <c r="T5" s="20">
        <v>9431</v>
      </c>
      <c r="U5" s="20">
        <v>12148</v>
      </c>
      <c r="V5" s="11">
        <v>13875</v>
      </c>
      <c r="W5" s="20">
        <v>12067</v>
      </c>
      <c r="X5" s="20">
        <v>10965</v>
      </c>
      <c r="Y5" s="261">
        <v>12174</v>
      </c>
      <c r="Z5" s="261">
        <v>14395</v>
      </c>
      <c r="AA5" s="39">
        <v>12003</v>
      </c>
      <c r="AB5" s="39">
        <v>10707</v>
      </c>
      <c r="AC5" s="39">
        <v>11868</v>
      </c>
      <c r="AD5" s="152">
        <v>12922</v>
      </c>
      <c r="AE5" s="152">
        <v>10153</v>
      </c>
      <c r="AF5" s="152">
        <v>7421</v>
      </c>
      <c r="AG5" s="152">
        <v>8097</v>
      </c>
      <c r="AH5" s="152">
        <v>7312</v>
      </c>
      <c r="AI5" s="152">
        <v>8104</v>
      </c>
      <c r="AJ5" s="152">
        <v>7406</v>
      </c>
      <c r="AK5" s="152">
        <v>6546</v>
      </c>
      <c r="AL5" s="152">
        <v>6279</v>
      </c>
      <c r="AM5" s="457">
        <v>6408</v>
      </c>
      <c r="AN5" s="68">
        <v>5384</v>
      </c>
      <c r="AO5" s="68">
        <v>6141</v>
      </c>
      <c r="AP5" s="68">
        <v>7387</v>
      </c>
      <c r="AQ5" s="68">
        <v>6235</v>
      </c>
      <c r="AR5" s="459">
        <v>5578</v>
      </c>
      <c r="AS5" s="457">
        <v>6467</v>
      </c>
      <c r="AT5" s="457">
        <v>7613.2</v>
      </c>
      <c r="AU5" s="457">
        <v>7269</v>
      </c>
      <c r="AV5" s="457">
        <v>7023</v>
      </c>
      <c r="AW5" s="457">
        <v>9279</v>
      </c>
      <c r="AX5" s="457">
        <v>14352</v>
      </c>
      <c r="AY5" s="434">
        <v>7078</v>
      </c>
      <c r="AZ5" s="69"/>
      <c r="BA5" s="69"/>
      <c r="BB5" s="69"/>
      <c r="BC5" s="459"/>
      <c r="BD5" s="69"/>
      <c r="BE5" s="69"/>
      <c r="BF5" s="69"/>
      <c r="BG5" s="69"/>
      <c r="BH5" s="69"/>
      <c r="BI5" s="69"/>
    </row>
    <row r="6" spans="1:61" x14ac:dyDescent="0.25">
      <c r="A6" s="17"/>
      <c r="B6" s="334" t="s">
        <v>59</v>
      </c>
      <c r="C6" s="26">
        <v>82.864000000000004</v>
      </c>
      <c r="D6" s="26">
        <v>1098.654</v>
      </c>
      <c r="E6" s="26">
        <v>2677.0659999999998</v>
      </c>
      <c r="F6" s="26">
        <v>4390.0820000000003</v>
      </c>
      <c r="G6" s="26">
        <v>3403.1970000000001</v>
      </c>
      <c r="H6" s="26">
        <v>2754.4780000000001</v>
      </c>
      <c r="I6" s="26">
        <v>4116.1229999999996</v>
      </c>
      <c r="J6" s="26">
        <v>4941.1059999999998</v>
      </c>
      <c r="K6" s="27">
        <v>3811.8277486116099</v>
      </c>
      <c r="L6" s="27">
        <v>3077.4360000000001</v>
      </c>
      <c r="M6" s="27">
        <v>4237.7049999999999</v>
      </c>
      <c r="N6" s="27">
        <v>5149.5709999999999</v>
      </c>
      <c r="O6" s="27">
        <v>4172.6369999999997</v>
      </c>
      <c r="P6" s="27">
        <v>3492</v>
      </c>
      <c r="Q6" s="27">
        <v>3633</v>
      </c>
      <c r="R6" s="27">
        <v>5085</v>
      </c>
      <c r="S6" s="27">
        <v>3692</v>
      </c>
      <c r="T6" s="39">
        <v>3251</v>
      </c>
      <c r="U6" s="20">
        <v>3819</v>
      </c>
      <c r="V6" s="11">
        <v>5138</v>
      </c>
      <c r="W6" s="20">
        <v>3723</v>
      </c>
      <c r="X6" s="20">
        <v>3224</v>
      </c>
      <c r="Y6" s="261">
        <v>3806</v>
      </c>
      <c r="Z6" s="261">
        <v>5348</v>
      </c>
      <c r="AA6" s="39">
        <v>4267</v>
      </c>
      <c r="AB6" s="39">
        <v>3741</v>
      </c>
      <c r="AC6" s="39">
        <v>4544</v>
      </c>
      <c r="AD6" s="152">
        <v>6472</v>
      </c>
      <c r="AE6" s="152">
        <v>5997</v>
      </c>
      <c r="AF6" s="152">
        <v>5457</v>
      </c>
      <c r="AG6" s="152">
        <v>6677</v>
      </c>
      <c r="AH6" s="152">
        <v>5897</v>
      </c>
      <c r="AI6" s="152">
        <f>7518+206</f>
        <v>7724</v>
      </c>
      <c r="AJ6" s="152">
        <v>7280</v>
      </c>
      <c r="AK6" s="152">
        <f>7195+149</f>
        <v>7344</v>
      </c>
      <c r="AL6" s="152">
        <v>7119</v>
      </c>
      <c r="AM6" s="458">
        <v>15475</v>
      </c>
      <c r="AN6" s="68">
        <v>13642</v>
      </c>
      <c r="AO6" s="68">
        <v>14389</v>
      </c>
      <c r="AP6" s="68">
        <v>18358</v>
      </c>
      <c r="AQ6" s="533">
        <v>16375</v>
      </c>
      <c r="AR6" s="459">
        <v>13675</v>
      </c>
      <c r="AS6" s="457">
        <v>10443</v>
      </c>
      <c r="AT6" s="457">
        <v>12584</v>
      </c>
      <c r="AU6" s="457">
        <v>12116</v>
      </c>
      <c r="AV6" s="457">
        <v>11011</v>
      </c>
      <c r="AW6" s="457">
        <v>13481</v>
      </c>
      <c r="AX6" s="457">
        <v>11626</v>
      </c>
      <c r="AY6" s="434">
        <v>20193</v>
      </c>
      <c r="AZ6" s="69">
        <v>23288</v>
      </c>
      <c r="BA6" s="69">
        <v>26338</v>
      </c>
      <c r="BB6" s="69">
        <v>39997</v>
      </c>
      <c r="BC6" s="459">
        <v>32359</v>
      </c>
      <c r="BD6" s="434">
        <v>29821</v>
      </c>
      <c r="BE6" s="434">
        <v>33352</v>
      </c>
      <c r="BF6" s="434">
        <v>34659</v>
      </c>
      <c r="BG6" s="434">
        <v>36529</v>
      </c>
      <c r="BH6" s="434">
        <v>31859</v>
      </c>
      <c r="BI6" s="434">
        <v>32706</v>
      </c>
    </row>
    <row r="7" spans="1:61" x14ac:dyDescent="0.25">
      <c r="A7" s="17"/>
      <c r="B7" s="334" t="s">
        <v>60</v>
      </c>
      <c r="C7" s="26">
        <v>2330.1235000000001</v>
      </c>
      <c r="D7" s="26">
        <v>2012.808</v>
      </c>
      <c r="E7" s="26">
        <v>2122.5079999999998</v>
      </c>
      <c r="F7" s="26">
        <v>2343.3789999999999</v>
      </c>
      <c r="G7" s="26">
        <v>1969.568</v>
      </c>
      <c r="H7" s="26">
        <v>1633.18</v>
      </c>
      <c r="I7" s="26">
        <v>1555.1379999999999</v>
      </c>
      <c r="J7" s="26">
        <v>1750.231</v>
      </c>
      <c r="K7" s="27">
        <v>1490.3119999999999</v>
      </c>
      <c r="L7" s="27">
        <v>946.154</v>
      </c>
      <c r="M7" s="27">
        <v>1578.1110000000001</v>
      </c>
      <c r="N7" s="27">
        <v>1825.9190000000001</v>
      </c>
      <c r="O7" s="27">
        <v>1652.346</v>
      </c>
      <c r="P7" s="27">
        <v>997</v>
      </c>
      <c r="Q7" s="27">
        <v>1022</v>
      </c>
      <c r="R7" s="27">
        <v>1157</v>
      </c>
      <c r="S7" s="27">
        <v>1010</v>
      </c>
      <c r="T7" s="39">
        <v>956</v>
      </c>
      <c r="U7" s="20">
        <v>894</v>
      </c>
      <c r="V7" s="11">
        <v>1030</v>
      </c>
      <c r="W7" s="20">
        <v>946</v>
      </c>
      <c r="X7" s="20">
        <v>827</v>
      </c>
      <c r="Y7" s="261">
        <v>830</v>
      </c>
      <c r="Z7" s="261">
        <v>907</v>
      </c>
      <c r="AA7" s="20">
        <v>807</v>
      </c>
      <c r="AB7" s="20">
        <v>706</v>
      </c>
      <c r="AC7" s="20">
        <v>753</v>
      </c>
      <c r="AD7" s="152">
        <v>1110</v>
      </c>
      <c r="AE7" s="152">
        <v>1176</v>
      </c>
      <c r="AF7" s="152">
        <v>1141</v>
      </c>
      <c r="AG7" s="152">
        <v>1154</v>
      </c>
      <c r="AH7" s="152">
        <v>1320</v>
      </c>
      <c r="AI7" s="152">
        <v>908</v>
      </c>
      <c r="AJ7" s="152">
        <v>1324</v>
      </c>
      <c r="AK7" s="152">
        <v>1210</v>
      </c>
      <c r="AL7" s="152">
        <v>1416</v>
      </c>
      <c r="AM7" s="457">
        <v>1259</v>
      </c>
      <c r="AN7" s="68">
        <v>1122</v>
      </c>
      <c r="AO7" s="68">
        <v>1099</v>
      </c>
      <c r="AP7" s="68">
        <v>1184</v>
      </c>
      <c r="AQ7" s="68">
        <v>1052</v>
      </c>
      <c r="AR7" s="459">
        <v>917</v>
      </c>
      <c r="AS7" s="459">
        <v>886</v>
      </c>
      <c r="AT7" s="459">
        <v>944</v>
      </c>
      <c r="AU7" s="459">
        <v>983</v>
      </c>
      <c r="AV7" s="459">
        <v>136</v>
      </c>
      <c r="AW7" s="459">
        <v>137</v>
      </c>
      <c r="AX7" s="459">
        <v>917</v>
      </c>
      <c r="AY7" s="69">
        <v>865</v>
      </c>
      <c r="AZ7" s="69">
        <v>1074</v>
      </c>
      <c r="BA7" s="69">
        <v>1251</v>
      </c>
      <c r="BB7" s="69">
        <v>1580</v>
      </c>
      <c r="BC7" s="459">
        <v>1246</v>
      </c>
      <c r="BD7" s="434">
        <v>1013</v>
      </c>
      <c r="BE7" s="434">
        <v>1087</v>
      </c>
      <c r="BF7" s="434">
        <v>1087</v>
      </c>
      <c r="BG7" s="434">
        <v>1280</v>
      </c>
      <c r="BH7" s="434">
        <v>1126</v>
      </c>
      <c r="BI7" s="434">
        <v>1134</v>
      </c>
    </row>
    <row r="8" spans="1:61" x14ac:dyDescent="0.25">
      <c r="A8" s="17"/>
      <c r="B8" s="21" t="s">
        <v>61</v>
      </c>
      <c r="C8" s="26">
        <v>4552.482</v>
      </c>
      <c r="D8" s="26">
        <v>3793.3228571428599</v>
      </c>
      <c r="E8" s="26">
        <v>4354.9971428571398</v>
      </c>
      <c r="F8" s="26">
        <v>6237.6922857142899</v>
      </c>
      <c r="G8" s="26">
        <v>5829.8959999999997</v>
      </c>
      <c r="H8" s="26">
        <v>4281.13</v>
      </c>
      <c r="I8" s="26">
        <v>4511.1490000000003</v>
      </c>
      <c r="J8" s="26">
        <v>6108.75528571429</v>
      </c>
      <c r="K8" s="27">
        <v>4484.7700000000004</v>
      </c>
      <c r="L8" s="27">
        <v>3194.357</v>
      </c>
      <c r="M8" s="27">
        <v>4421.5529999999999</v>
      </c>
      <c r="N8" s="27">
        <v>4606.3100000000004</v>
      </c>
      <c r="O8" s="27">
        <v>3819.8939999999998</v>
      </c>
      <c r="P8" s="27">
        <v>3268</v>
      </c>
      <c r="Q8" s="27">
        <v>3547</v>
      </c>
      <c r="R8" s="27">
        <v>4555</v>
      </c>
      <c r="S8" s="27">
        <v>3474</v>
      </c>
      <c r="T8" s="39">
        <v>3214</v>
      </c>
      <c r="U8" s="20">
        <v>3758</v>
      </c>
      <c r="V8" s="11">
        <v>5052</v>
      </c>
      <c r="W8" s="20">
        <v>3997</v>
      </c>
      <c r="X8" s="20">
        <v>3375</v>
      </c>
      <c r="Y8" s="261">
        <v>3287</v>
      </c>
      <c r="Z8" s="261">
        <v>4017</v>
      </c>
      <c r="AA8" s="20">
        <v>2883</v>
      </c>
      <c r="AB8" s="20">
        <v>2291</v>
      </c>
      <c r="AC8" s="262">
        <v>2269</v>
      </c>
      <c r="AD8" s="152">
        <v>2808</v>
      </c>
      <c r="AE8" s="152">
        <v>2065</v>
      </c>
      <c r="AF8" s="152">
        <v>1696</v>
      </c>
      <c r="AG8" s="152">
        <v>1640</v>
      </c>
      <c r="AH8" s="152">
        <v>2197</v>
      </c>
      <c r="AI8" s="152">
        <v>1209</v>
      </c>
      <c r="AJ8" s="152">
        <v>1491</v>
      </c>
      <c r="AK8" s="152">
        <v>1373</v>
      </c>
      <c r="AL8" s="152">
        <v>1981</v>
      </c>
      <c r="AM8" s="457">
        <v>1612</v>
      </c>
      <c r="AN8" s="68">
        <v>1876</v>
      </c>
      <c r="AO8" s="611">
        <v>1595</v>
      </c>
      <c r="AP8" s="611">
        <v>1946</v>
      </c>
      <c r="AQ8" s="611">
        <v>1451</v>
      </c>
      <c r="AR8" s="608">
        <v>1233</v>
      </c>
      <c r="AS8" s="608">
        <v>1177.6579999999999</v>
      </c>
      <c r="AT8" s="608">
        <v>1533.2570000000001</v>
      </c>
      <c r="AU8" s="608">
        <v>902.14</v>
      </c>
      <c r="AV8" s="608">
        <v>791.4</v>
      </c>
      <c r="AW8" s="609">
        <v>861.78</v>
      </c>
      <c r="AX8" s="609">
        <v>1293.27</v>
      </c>
      <c r="AY8" s="610">
        <v>951.4</v>
      </c>
      <c r="AZ8" s="69">
        <v>729</v>
      </c>
      <c r="BA8" s="69">
        <v>2593</v>
      </c>
      <c r="BB8" s="69">
        <v>3985</v>
      </c>
      <c r="BC8" s="459">
        <v>3074</v>
      </c>
      <c r="BD8" s="434">
        <v>2561</v>
      </c>
      <c r="BE8" s="434">
        <v>556</v>
      </c>
      <c r="BF8" s="434">
        <v>556</v>
      </c>
      <c r="BG8" s="434">
        <v>520</v>
      </c>
      <c r="BH8" s="434">
        <v>497</v>
      </c>
      <c r="BI8" s="434">
        <v>520</v>
      </c>
    </row>
    <row r="9" spans="1:61" s="40" customFormat="1" x14ac:dyDescent="0.25">
      <c r="A9" s="42"/>
      <c r="B9" s="43" t="s">
        <v>65</v>
      </c>
      <c r="C9" s="44">
        <f>C8+C7+C6+C3</f>
        <v>126912.82949999999</v>
      </c>
      <c r="D9" s="44">
        <f t="shared" ref="D9:S9" si="0">D8+D7+D6+D3</f>
        <v>114018.52785714286</v>
      </c>
      <c r="E9" s="44">
        <f t="shared" si="0"/>
        <v>130628.35614285714</v>
      </c>
      <c r="F9" s="44">
        <f t="shared" si="0"/>
        <v>209725.18128571429</v>
      </c>
      <c r="G9" s="44">
        <f t="shared" si="0"/>
        <v>223848.22500000001</v>
      </c>
      <c r="H9" s="44">
        <f t="shared" si="0"/>
        <v>205919.31400000001</v>
      </c>
      <c r="I9" s="44">
        <f t="shared" si="0"/>
        <v>223307.546</v>
      </c>
      <c r="J9" s="44">
        <f t="shared" si="0"/>
        <v>250380.99428571429</v>
      </c>
      <c r="K9" s="44">
        <f t="shared" si="0"/>
        <v>232374.42374861162</v>
      </c>
      <c r="L9" s="44">
        <f t="shared" si="0"/>
        <v>208597.56800000003</v>
      </c>
      <c r="M9" s="44">
        <f t="shared" si="0"/>
        <v>232572.36900000001</v>
      </c>
      <c r="N9" s="44">
        <f t="shared" si="0"/>
        <v>268026.815</v>
      </c>
      <c r="O9" s="44">
        <f t="shared" si="0"/>
        <v>245541.28100000002</v>
      </c>
      <c r="P9" s="44">
        <f t="shared" si="0"/>
        <v>212976</v>
      </c>
      <c r="Q9" s="44">
        <f t="shared" si="0"/>
        <v>239589</v>
      </c>
      <c r="R9" s="44">
        <f t="shared" si="0"/>
        <v>270415</v>
      </c>
      <c r="S9" s="44">
        <f t="shared" si="0"/>
        <v>231515</v>
      </c>
      <c r="T9" s="150">
        <f>T8+T7+T6+T3+T5</f>
        <v>206782</v>
      </c>
      <c r="U9" s="151">
        <f>U8+U7+U6+U3+U5</f>
        <v>234037</v>
      </c>
      <c r="V9" s="151">
        <f>V8+V7+V6+V3+V5</f>
        <v>274561</v>
      </c>
      <c r="W9" s="151">
        <f t="shared" ref="W9:AC9" si="1">SUM(W3:W8)</f>
        <v>219502</v>
      </c>
      <c r="X9" s="151">
        <f t="shared" si="1"/>
        <v>190367</v>
      </c>
      <c r="Y9" s="262">
        <f t="shared" si="1"/>
        <v>193730</v>
      </c>
      <c r="Z9" s="262">
        <f t="shared" si="1"/>
        <v>264170</v>
      </c>
      <c r="AA9" s="262">
        <f t="shared" si="1"/>
        <v>252001</v>
      </c>
      <c r="AB9" s="262">
        <f t="shared" si="1"/>
        <v>150567</v>
      </c>
      <c r="AC9" s="262">
        <f t="shared" si="1"/>
        <v>167808</v>
      </c>
      <c r="AD9" s="262">
        <f>SUM(AD3:AD8)</f>
        <v>191673</v>
      </c>
      <c r="AE9" s="262">
        <f>SUM(AE3:AE8)</f>
        <v>165897</v>
      </c>
      <c r="AF9" s="262">
        <v>127684</v>
      </c>
      <c r="AG9" s="262">
        <f t="shared" ref="AG9:AM9" si="2">SUM(AG3:AG8)</f>
        <v>135549</v>
      </c>
      <c r="AH9" s="262">
        <f t="shared" si="2"/>
        <v>121174</v>
      </c>
      <c r="AI9" s="262">
        <f t="shared" si="2"/>
        <v>133306</v>
      </c>
      <c r="AJ9" s="262">
        <f t="shared" si="2"/>
        <v>123154.38</v>
      </c>
      <c r="AK9" s="262">
        <f t="shared" si="2"/>
        <v>115170</v>
      </c>
      <c r="AL9" s="262">
        <f t="shared" si="2"/>
        <v>110810</v>
      </c>
      <c r="AM9" s="262">
        <f t="shared" si="2"/>
        <v>123155</v>
      </c>
      <c r="AN9" s="462">
        <f t="shared" ref="AN9:AZ9" si="3">SUM(AN3:AN8)</f>
        <v>113017</v>
      </c>
      <c r="AO9" s="462">
        <f t="shared" si="3"/>
        <v>122443</v>
      </c>
      <c r="AP9" s="462">
        <f t="shared" si="3"/>
        <v>114407</v>
      </c>
      <c r="AQ9" s="462">
        <f t="shared" si="3"/>
        <v>120520</v>
      </c>
      <c r="AR9" s="556">
        <f t="shared" si="3"/>
        <v>99965</v>
      </c>
      <c r="AS9" s="556">
        <f t="shared" si="3"/>
        <v>91775.657999999996</v>
      </c>
      <c r="AT9" s="556">
        <f t="shared" si="3"/>
        <v>115822.45699999999</v>
      </c>
      <c r="AU9" s="556">
        <f t="shared" si="3"/>
        <v>104813.14</v>
      </c>
      <c r="AV9" s="556">
        <f t="shared" si="3"/>
        <v>87756.4</v>
      </c>
      <c r="AW9" s="556">
        <f t="shared" si="3"/>
        <v>102083.78</v>
      </c>
      <c r="AX9" s="556">
        <f t="shared" si="3"/>
        <v>114275.27</v>
      </c>
      <c r="AY9" s="556">
        <f t="shared" si="3"/>
        <v>132221.4</v>
      </c>
      <c r="AZ9" s="462">
        <f t="shared" si="3"/>
        <v>142394</v>
      </c>
      <c r="BA9" s="462">
        <f t="shared" ref="BA9:BI9" si="4">SUM(BA3:BA8)</f>
        <v>183572</v>
      </c>
      <c r="BB9" s="462">
        <f t="shared" si="4"/>
        <v>251412</v>
      </c>
      <c r="BC9" s="556">
        <f t="shared" si="4"/>
        <v>200884</v>
      </c>
      <c r="BD9" s="462">
        <f t="shared" si="4"/>
        <v>158707</v>
      </c>
      <c r="BE9" s="462">
        <f t="shared" si="4"/>
        <v>200348</v>
      </c>
      <c r="BF9" s="462">
        <f t="shared" si="4"/>
        <v>228983</v>
      </c>
      <c r="BG9" s="462">
        <f t="shared" si="4"/>
        <v>205573</v>
      </c>
      <c r="BH9" s="462">
        <f t="shared" si="4"/>
        <v>176904</v>
      </c>
      <c r="BI9" s="462">
        <f t="shared" si="4"/>
        <v>177727</v>
      </c>
    </row>
    <row r="10" spans="1:61" x14ac:dyDescent="0.25">
      <c r="A10" s="17"/>
      <c r="B10" s="25" t="s">
        <v>62</v>
      </c>
      <c r="C10" s="21"/>
      <c r="D10" s="24"/>
      <c r="E10" s="24"/>
      <c r="F10" s="21"/>
      <c r="G10" s="24"/>
      <c r="H10" s="24"/>
      <c r="I10" s="24"/>
      <c r="J10" s="21"/>
      <c r="Z10" s="261"/>
      <c r="AM10" s="459"/>
      <c r="AN10" s="68"/>
      <c r="AO10" s="68"/>
      <c r="AP10" s="68"/>
      <c r="AQ10" s="68"/>
      <c r="AS10" s="459"/>
      <c r="AT10" s="459"/>
      <c r="AU10" s="459"/>
      <c r="AV10" s="459"/>
      <c r="AW10" s="459"/>
      <c r="AX10" s="459"/>
      <c r="AY10" s="69"/>
      <c r="AZ10" s="69"/>
      <c r="BD10" s="69"/>
      <c r="BE10" s="69"/>
      <c r="BF10" s="69"/>
      <c r="BG10" s="69"/>
      <c r="BH10" s="69"/>
      <c r="BI10" s="69"/>
    </row>
    <row r="11" spans="1:61" x14ac:dyDescent="0.25">
      <c r="A11" s="17"/>
      <c r="B11" s="334" t="s">
        <v>59</v>
      </c>
      <c r="C11" s="24"/>
      <c r="D11" s="24"/>
      <c r="E11" s="24"/>
      <c r="F11" s="24"/>
      <c r="G11" s="24"/>
      <c r="H11" s="24"/>
      <c r="I11" s="24"/>
      <c r="J11" s="24"/>
      <c r="L11" s="20">
        <v>5065.8789999999999</v>
      </c>
      <c r="M11" s="20">
        <v>5883</v>
      </c>
      <c r="N11" s="20">
        <v>9677.3410000000003</v>
      </c>
      <c r="O11" s="20">
        <v>6989.5019999999995</v>
      </c>
      <c r="P11" s="20">
        <v>5501</v>
      </c>
      <c r="Q11" s="20">
        <v>6168</v>
      </c>
      <c r="R11" s="20">
        <v>9454</v>
      </c>
      <c r="S11" s="20">
        <v>7732</v>
      </c>
      <c r="T11" s="152">
        <v>7255</v>
      </c>
      <c r="U11" s="20">
        <v>7821</v>
      </c>
      <c r="V11" s="11">
        <v>9927</v>
      </c>
      <c r="W11" s="11">
        <v>8044</v>
      </c>
      <c r="X11" s="190">
        <v>7050.1</v>
      </c>
      <c r="Y11" s="225">
        <v>8760</v>
      </c>
      <c r="Z11" s="261">
        <v>11125</v>
      </c>
      <c r="AA11" s="39">
        <v>9337</v>
      </c>
      <c r="AB11" s="39">
        <v>9226</v>
      </c>
      <c r="AC11" s="39">
        <v>11226</v>
      </c>
      <c r="AD11" s="39">
        <v>15005</v>
      </c>
      <c r="AE11" s="39">
        <v>13575</v>
      </c>
      <c r="AF11" s="39">
        <v>11978</v>
      </c>
      <c r="AG11" s="39">
        <v>13891</v>
      </c>
      <c r="AH11" s="39">
        <v>17262</v>
      </c>
      <c r="AI11" s="39">
        <v>14069</v>
      </c>
      <c r="AJ11" s="39">
        <v>12490</v>
      </c>
      <c r="AK11" s="39">
        <v>14102</v>
      </c>
      <c r="AL11" s="39">
        <v>17347</v>
      </c>
      <c r="AM11" s="460">
        <v>14276</v>
      </c>
      <c r="AN11" s="456">
        <v>13389</v>
      </c>
      <c r="AO11" s="456">
        <v>15851</v>
      </c>
      <c r="AP11" s="456">
        <v>18526</v>
      </c>
      <c r="AQ11" s="456">
        <v>16195</v>
      </c>
      <c r="AR11" s="459">
        <v>14638</v>
      </c>
      <c r="AS11" s="459">
        <v>19045</v>
      </c>
      <c r="AT11" s="459">
        <v>27029</v>
      </c>
      <c r="AU11" s="459">
        <v>27029</v>
      </c>
      <c r="AV11" s="459">
        <v>25539</v>
      </c>
      <c r="AW11" s="457">
        <v>30014</v>
      </c>
      <c r="AX11" s="457">
        <v>30014</v>
      </c>
      <c r="AY11" s="434">
        <v>35702</v>
      </c>
      <c r="AZ11" s="434">
        <v>33960</v>
      </c>
      <c r="BA11" s="69">
        <v>35383</v>
      </c>
      <c r="BB11" s="69">
        <v>43927</v>
      </c>
      <c r="BC11" s="459">
        <v>46988</v>
      </c>
      <c r="BD11" s="434">
        <v>45643</v>
      </c>
      <c r="BE11" s="434">
        <v>49923</v>
      </c>
      <c r="BF11" s="434">
        <v>57145</v>
      </c>
      <c r="BG11" s="434">
        <v>53359</v>
      </c>
      <c r="BH11" s="434">
        <v>46248</v>
      </c>
      <c r="BI11" s="434">
        <v>51196</v>
      </c>
    </row>
    <row r="12" spans="1:61" x14ac:dyDescent="0.25">
      <c r="A12" s="17"/>
      <c r="B12" s="334" t="s">
        <v>60</v>
      </c>
      <c r="C12" s="24"/>
      <c r="D12" s="24"/>
      <c r="E12" s="24"/>
      <c r="F12" s="24"/>
      <c r="G12" s="24"/>
      <c r="H12" s="24"/>
      <c r="I12" s="24"/>
      <c r="J12" s="24"/>
      <c r="L12" s="20">
        <v>8204.9049999999988</v>
      </c>
      <c r="M12" s="20">
        <v>8326</v>
      </c>
      <c r="N12" s="20">
        <v>7937.9610000000002</v>
      </c>
      <c r="O12" s="20">
        <v>7785.4410000000007</v>
      </c>
      <c r="P12" s="20">
        <v>7197</v>
      </c>
      <c r="Q12" s="20">
        <v>7747</v>
      </c>
      <c r="R12" s="20">
        <v>7228</v>
      </c>
      <c r="S12" s="20">
        <v>7146</v>
      </c>
      <c r="T12" s="152">
        <v>6794</v>
      </c>
      <c r="U12" s="20">
        <v>6975</v>
      </c>
      <c r="V12" s="11">
        <v>6903</v>
      </c>
      <c r="W12" s="11">
        <v>6769</v>
      </c>
      <c r="X12" s="190">
        <v>6297.7</v>
      </c>
      <c r="Y12" s="225">
        <v>6748</v>
      </c>
      <c r="Z12" s="261">
        <v>6644</v>
      </c>
      <c r="AA12" s="39">
        <v>6667</v>
      </c>
      <c r="AB12" s="39">
        <v>6443</v>
      </c>
      <c r="AC12" s="39">
        <v>6900</v>
      </c>
      <c r="AD12" s="39">
        <v>6810</v>
      </c>
      <c r="AE12" s="39">
        <v>6610</v>
      </c>
      <c r="AF12" s="39">
        <v>6106</v>
      </c>
      <c r="AG12" s="39">
        <v>6320</v>
      </c>
      <c r="AH12" s="39">
        <v>6173</v>
      </c>
      <c r="AI12" s="39">
        <v>5897</v>
      </c>
      <c r="AJ12" s="39">
        <v>5346</v>
      </c>
      <c r="AK12" s="39">
        <v>5410</v>
      </c>
      <c r="AL12" s="39">
        <v>5176</v>
      </c>
      <c r="AM12" s="460">
        <v>5012</v>
      </c>
      <c r="AN12" s="456">
        <v>4573</v>
      </c>
      <c r="AO12" s="456">
        <v>4648</v>
      </c>
      <c r="AP12" s="456">
        <v>4438</v>
      </c>
      <c r="AQ12" s="456">
        <v>4195</v>
      </c>
      <c r="AR12" s="554">
        <v>3754</v>
      </c>
      <c r="AS12" s="554">
        <v>3751</v>
      </c>
      <c r="AT12" s="554">
        <v>3595</v>
      </c>
      <c r="AU12" s="554">
        <v>3595</v>
      </c>
      <c r="AV12" s="554">
        <v>2637</v>
      </c>
      <c r="AW12" s="457">
        <v>2615</v>
      </c>
      <c r="AX12" s="457">
        <v>2615</v>
      </c>
      <c r="AY12" s="434">
        <v>2345</v>
      </c>
      <c r="AZ12" s="434">
        <v>1947</v>
      </c>
      <c r="BA12" s="69">
        <v>2016</v>
      </c>
      <c r="BB12" s="69">
        <v>2238</v>
      </c>
      <c r="BC12" s="459">
        <v>2236</v>
      </c>
      <c r="BD12" s="434">
        <v>1720</v>
      </c>
      <c r="BE12" s="434">
        <v>1685</v>
      </c>
      <c r="BF12" s="434">
        <v>1940</v>
      </c>
      <c r="BG12" s="434">
        <v>1892</v>
      </c>
      <c r="BH12" s="434">
        <v>1740</v>
      </c>
      <c r="BI12" s="434">
        <v>1757</v>
      </c>
    </row>
    <row r="13" spans="1:61" x14ac:dyDescent="0.25">
      <c r="A13" s="17"/>
      <c r="B13" s="334" t="s">
        <v>61</v>
      </c>
      <c r="C13" s="24"/>
      <c r="D13" s="24"/>
      <c r="E13" s="24"/>
      <c r="F13" s="24"/>
      <c r="G13" s="24"/>
      <c r="H13" s="24"/>
      <c r="I13" s="24"/>
      <c r="J13" s="24"/>
      <c r="L13" s="20">
        <v>44782.877999999997</v>
      </c>
      <c r="M13" s="20">
        <v>52382</v>
      </c>
      <c r="N13" s="20">
        <v>55088.286</v>
      </c>
      <c r="O13" s="20">
        <v>55467.095999999998</v>
      </c>
      <c r="P13" s="20">
        <v>55908</v>
      </c>
      <c r="Q13" s="20">
        <v>60685</v>
      </c>
      <c r="R13" s="20">
        <v>60659</v>
      </c>
      <c r="S13" s="20">
        <v>54171</v>
      </c>
      <c r="T13" s="152">
        <v>47538</v>
      </c>
      <c r="U13" s="20">
        <v>47779</v>
      </c>
      <c r="V13" s="11">
        <v>49198</v>
      </c>
      <c r="W13" s="11">
        <v>42526</v>
      </c>
      <c r="X13" s="190">
        <v>35550.519999999997</v>
      </c>
      <c r="Y13" s="225">
        <v>37175</v>
      </c>
      <c r="Z13" s="261">
        <v>38345</v>
      </c>
      <c r="AA13" s="39">
        <v>32237</v>
      </c>
      <c r="AB13" s="39">
        <v>22168</v>
      </c>
      <c r="AC13" s="39">
        <v>22428</v>
      </c>
      <c r="AD13" s="39">
        <v>21446</v>
      </c>
      <c r="AE13" s="39">
        <v>16890</v>
      </c>
      <c r="AF13" s="39">
        <v>13003</v>
      </c>
      <c r="AG13" s="39">
        <v>11976</v>
      </c>
      <c r="AH13" s="39">
        <v>12786</v>
      </c>
      <c r="AI13" s="39">
        <v>8834</v>
      </c>
      <c r="AJ13" s="39">
        <v>7340</v>
      </c>
      <c r="AK13" s="39">
        <v>7214</v>
      </c>
      <c r="AL13" s="39">
        <v>8132</v>
      </c>
      <c r="AM13" s="460">
        <v>6496</v>
      </c>
      <c r="AN13" s="456">
        <v>4834</v>
      </c>
      <c r="AO13" s="456">
        <v>4976</v>
      </c>
      <c r="AP13" s="456">
        <v>5026</v>
      </c>
      <c r="AQ13" s="456">
        <v>4099</v>
      </c>
      <c r="AR13" s="554">
        <v>3636</v>
      </c>
      <c r="AS13" s="554">
        <v>4042</v>
      </c>
      <c r="AT13" s="554">
        <v>4155</v>
      </c>
      <c r="AU13" s="554">
        <v>4155</v>
      </c>
      <c r="AV13" s="554">
        <v>2638</v>
      </c>
      <c r="AW13" s="457">
        <v>2761</v>
      </c>
      <c r="AX13" s="457">
        <v>2761</v>
      </c>
      <c r="AY13" s="434">
        <v>2654</v>
      </c>
      <c r="AZ13" s="69">
        <v>2628</v>
      </c>
      <c r="BA13" s="69">
        <v>2407</v>
      </c>
      <c r="BB13" s="69">
        <v>2894</v>
      </c>
      <c r="BC13" s="459">
        <v>2191</v>
      </c>
      <c r="BD13" s="630">
        <v>2352</v>
      </c>
      <c r="BE13" s="630">
        <v>2466</v>
      </c>
      <c r="BF13" s="630">
        <v>4097</v>
      </c>
      <c r="BG13" s="630">
        <v>2977</v>
      </c>
      <c r="BH13" s="630">
        <v>2378</v>
      </c>
      <c r="BI13" s="630">
        <v>2769</v>
      </c>
    </row>
    <row r="14" spans="1:61" x14ac:dyDescent="0.25">
      <c r="A14" s="17"/>
      <c r="B14" s="21"/>
      <c r="C14" s="24"/>
      <c r="D14" s="24"/>
      <c r="E14" s="24"/>
      <c r="F14" s="24"/>
      <c r="G14" s="24"/>
      <c r="H14" s="24"/>
      <c r="I14" s="24"/>
      <c r="J14" s="24"/>
      <c r="R14" s="188">
        <f t="shared" ref="R14:W14" si="5">SUM(R11:R13)</f>
        <v>77341</v>
      </c>
      <c r="S14" s="188">
        <f t="shared" si="5"/>
        <v>69049</v>
      </c>
      <c r="T14" s="188">
        <f t="shared" si="5"/>
        <v>61587</v>
      </c>
      <c r="U14" s="188">
        <f t="shared" si="5"/>
        <v>62575</v>
      </c>
      <c r="V14" s="188">
        <f t="shared" si="5"/>
        <v>66028</v>
      </c>
      <c r="W14" s="188">
        <f t="shared" si="5"/>
        <v>57339</v>
      </c>
      <c r="X14" s="188">
        <f>SUM(X11:X13)</f>
        <v>48898.319999999992</v>
      </c>
      <c r="Y14" s="252">
        <v>52683</v>
      </c>
      <c r="Z14" s="261">
        <v>56114</v>
      </c>
      <c r="AA14" s="152">
        <v>48241</v>
      </c>
      <c r="AB14" s="152">
        <v>37837</v>
      </c>
      <c r="AC14" s="152"/>
      <c r="AD14" s="152"/>
      <c r="AL14" s="272"/>
      <c r="AM14" s="507"/>
      <c r="AR14" s="70"/>
      <c r="AS14" s="70"/>
      <c r="AT14" s="70"/>
      <c r="AU14" s="70"/>
      <c r="AV14" s="70"/>
    </row>
    <row r="15" spans="1:61" ht="15" x14ac:dyDescent="0.3">
      <c r="A15" s="17"/>
      <c r="B15" s="18" t="s">
        <v>31</v>
      </c>
      <c r="C15" s="186"/>
      <c r="D15" s="186"/>
      <c r="E15" s="186"/>
      <c r="F15" s="186"/>
      <c r="G15" s="186"/>
      <c r="H15" s="186"/>
      <c r="I15" s="186"/>
      <c r="J15" s="186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12"/>
      <c r="W15" s="12"/>
      <c r="X15" s="28"/>
      <c r="Y15" s="28"/>
      <c r="Z15" s="28"/>
      <c r="AA15" s="28"/>
      <c r="AB15" s="28"/>
      <c r="AM15" s="69"/>
      <c r="AN15" s="437" t="s">
        <v>48</v>
      </c>
      <c r="AO15" s="437" t="s">
        <v>49</v>
      </c>
      <c r="AP15" s="437" t="s">
        <v>45</v>
      </c>
      <c r="AQ15" s="437" t="s">
        <v>47</v>
      </c>
      <c r="AR15" s="536" t="s">
        <v>48</v>
      </c>
      <c r="AS15" s="563" t="s">
        <v>49</v>
      </c>
      <c r="AT15" s="563" t="s">
        <v>45</v>
      </c>
      <c r="AU15" s="563" t="s">
        <v>47</v>
      </c>
      <c r="AV15" s="563" t="s">
        <v>48</v>
      </c>
      <c r="AW15" s="569" t="s">
        <v>164</v>
      </c>
      <c r="AX15" s="569" t="s">
        <v>165</v>
      </c>
      <c r="AY15" s="437" t="s">
        <v>47</v>
      </c>
      <c r="AZ15" s="607" t="s">
        <v>48</v>
      </c>
      <c r="BA15" s="607" t="s">
        <v>49</v>
      </c>
      <c r="BB15" s="607" t="s">
        <v>45</v>
      </c>
      <c r="BC15" s="629" t="s">
        <v>47</v>
      </c>
      <c r="BD15" s="437" t="s">
        <v>48</v>
      </c>
      <c r="BE15" s="437" t="s">
        <v>49</v>
      </c>
      <c r="BF15" s="437" t="s">
        <v>45</v>
      </c>
      <c r="BG15" s="437" t="s">
        <v>47</v>
      </c>
      <c r="BH15" s="437" t="s">
        <v>48</v>
      </c>
      <c r="BI15" s="437" t="s">
        <v>49</v>
      </c>
    </row>
    <row r="16" spans="1:61" x14ac:dyDescent="0.25">
      <c r="A16" s="17"/>
      <c r="B16" s="21"/>
      <c r="C16" s="24"/>
      <c r="D16" s="24"/>
      <c r="E16" s="24"/>
      <c r="F16" s="24"/>
      <c r="G16" s="24"/>
      <c r="H16" s="24"/>
      <c r="I16" s="24"/>
      <c r="J16" s="24"/>
      <c r="Z16" s="225"/>
      <c r="AM16" s="508"/>
      <c r="AR16" s="70"/>
      <c r="AS16" s="70"/>
      <c r="AT16" s="570"/>
      <c r="AU16" s="570"/>
      <c r="AV16" s="570"/>
      <c r="AW16" s="459"/>
      <c r="AX16" s="459"/>
      <c r="AY16" s="69"/>
      <c r="BD16" s="69"/>
      <c r="BE16" s="69"/>
      <c r="BF16" s="69"/>
      <c r="BG16" s="69"/>
      <c r="BH16" s="69"/>
      <c r="BI16" s="69"/>
    </row>
    <row r="17" spans="1:62" ht="15.75" x14ac:dyDescent="0.3">
      <c r="A17" s="17"/>
      <c r="B17" s="334" t="s">
        <v>57</v>
      </c>
      <c r="C17" s="26">
        <v>76274.634999999995</v>
      </c>
      <c r="D17" s="26">
        <v>13043.967000000001</v>
      </c>
      <c r="E17" s="26">
        <v>75255.464000000007</v>
      </c>
      <c r="F17" s="26">
        <v>162882.94500000001</v>
      </c>
      <c r="G17" s="26">
        <v>260657.99100000001</v>
      </c>
      <c r="H17" s="26">
        <v>48147.249000000003</v>
      </c>
      <c r="I17" s="26">
        <v>65581.7</v>
      </c>
      <c r="J17" s="26">
        <v>101153.958</v>
      </c>
      <c r="K17" s="27">
        <v>91499.400999999998</v>
      </c>
      <c r="L17" s="27">
        <v>96880.687000000005</v>
      </c>
      <c r="M17" s="27">
        <v>87259.202999999994</v>
      </c>
      <c r="N17" s="27">
        <v>152213.95819</v>
      </c>
      <c r="O17" s="27">
        <v>105297.50599999999</v>
      </c>
      <c r="P17" s="27">
        <v>118731.96</v>
      </c>
      <c r="Q17" s="27">
        <v>114555.29</v>
      </c>
      <c r="R17" s="27">
        <v>120949.3</v>
      </c>
      <c r="S17" s="27">
        <v>117867.57</v>
      </c>
      <c r="T17" s="27">
        <v>114068.27</v>
      </c>
      <c r="U17" s="20">
        <v>115259</v>
      </c>
      <c r="V17" s="9">
        <v>131295</v>
      </c>
      <c r="W17" s="9">
        <v>136454</v>
      </c>
      <c r="X17" s="20">
        <v>138182</v>
      </c>
      <c r="Y17" s="261">
        <v>145399</v>
      </c>
      <c r="Z17" s="261">
        <v>186663</v>
      </c>
      <c r="AA17" s="39">
        <v>143241</v>
      </c>
      <c r="AB17" s="39">
        <v>136590</v>
      </c>
      <c r="AC17" s="39">
        <v>149136</v>
      </c>
      <c r="AD17" s="39">
        <v>155421</v>
      </c>
      <c r="AE17" s="39">
        <v>140980.31375</v>
      </c>
      <c r="AF17" s="39">
        <v>127332</v>
      </c>
      <c r="AG17" s="39">
        <v>127370</v>
      </c>
      <c r="AH17" s="39">
        <v>128753</v>
      </c>
      <c r="AI17" s="152">
        <v>110230</v>
      </c>
      <c r="AJ17" s="39">
        <v>97799</v>
      </c>
      <c r="AK17" s="39">
        <v>99233</v>
      </c>
      <c r="AL17" s="39">
        <v>97002</v>
      </c>
      <c r="AM17" s="435">
        <v>87744</v>
      </c>
      <c r="AN17" s="469">
        <v>78712</v>
      </c>
      <c r="AO17" s="469">
        <v>84820</v>
      </c>
      <c r="AP17" s="469">
        <v>86035</v>
      </c>
      <c r="AQ17" s="469">
        <v>78796</v>
      </c>
      <c r="AR17" s="74">
        <v>70418</v>
      </c>
      <c r="AS17" s="554">
        <v>78070</v>
      </c>
      <c r="AT17" s="554">
        <v>82487</v>
      </c>
      <c r="AU17" s="554">
        <v>82005</v>
      </c>
      <c r="AV17" s="554">
        <v>74020</v>
      </c>
      <c r="AW17" s="459">
        <v>80928</v>
      </c>
      <c r="AX17" s="459">
        <v>84375</v>
      </c>
      <c r="AY17" s="69">
        <v>84066</v>
      </c>
      <c r="AZ17" s="75">
        <v>78450.06953333327</v>
      </c>
      <c r="BA17" s="69">
        <v>79527</v>
      </c>
      <c r="BB17" s="69">
        <v>92122</v>
      </c>
      <c r="BC17" s="459">
        <v>96280</v>
      </c>
      <c r="BD17" s="69">
        <v>90554</v>
      </c>
      <c r="BE17" s="69">
        <v>97725</v>
      </c>
      <c r="BF17" s="69">
        <v>107763</v>
      </c>
      <c r="BG17" s="69">
        <v>101498</v>
      </c>
      <c r="BH17" s="539">
        <v>88528.418016666663</v>
      </c>
      <c r="BI17" s="539">
        <v>95707</v>
      </c>
      <c r="BJ17" s="692"/>
    </row>
    <row r="18" spans="1:62" x14ac:dyDescent="0.25">
      <c r="A18" s="17"/>
      <c r="B18" s="335" t="s">
        <v>58</v>
      </c>
      <c r="C18" s="26"/>
      <c r="D18" s="26"/>
      <c r="E18" s="26"/>
      <c r="F18" s="26"/>
      <c r="G18" s="26"/>
      <c r="H18" s="26"/>
      <c r="I18" s="26"/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7"/>
      <c r="Z18" s="261"/>
      <c r="AI18" s="152"/>
      <c r="AM18" s="69"/>
      <c r="AN18" s="470"/>
      <c r="AO18" s="470"/>
      <c r="AP18" s="470"/>
      <c r="AQ18" s="470"/>
      <c r="AR18" s="538"/>
      <c r="AS18" s="545"/>
      <c r="AT18" s="570"/>
      <c r="AU18" s="570"/>
      <c r="AV18" s="570"/>
      <c r="AW18" s="459"/>
      <c r="AX18" s="459"/>
      <c r="AY18" s="69"/>
      <c r="AZ18" s="69"/>
      <c r="BA18" s="69"/>
      <c r="BB18" s="69"/>
      <c r="BC18" s="459"/>
      <c r="BD18" s="69"/>
      <c r="BE18" s="69"/>
      <c r="BF18" s="69"/>
      <c r="BG18" s="69"/>
      <c r="BH18" s="69"/>
      <c r="BI18" s="69"/>
    </row>
    <row r="19" spans="1:62" x14ac:dyDescent="0.25">
      <c r="A19" s="17"/>
      <c r="B19" s="335" t="s">
        <v>111</v>
      </c>
      <c r="C19" s="26"/>
      <c r="D19" s="26"/>
      <c r="E19" s="26"/>
      <c r="F19" s="26"/>
      <c r="G19" s="26"/>
      <c r="H19" s="26"/>
      <c r="I19" s="26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0">
        <v>30.75</v>
      </c>
      <c r="U19" s="20">
        <v>29</v>
      </c>
      <c r="V19" s="9">
        <v>25</v>
      </c>
      <c r="W19" s="9">
        <v>22</v>
      </c>
      <c r="X19" s="20">
        <v>18</v>
      </c>
      <c r="Y19" s="225">
        <v>19</v>
      </c>
      <c r="Z19" s="261">
        <v>18</v>
      </c>
      <c r="AA19" s="20">
        <v>18</v>
      </c>
      <c r="AB19" s="20">
        <v>14</v>
      </c>
      <c r="AC19" s="20">
        <v>16</v>
      </c>
      <c r="AD19" s="20">
        <v>16</v>
      </c>
      <c r="AE19" s="20">
        <v>13.54</v>
      </c>
      <c r="AF19" s="152">
        <v>12</v>
      </c>
      <c r="AG19" s="20">
        <v>13</v>
      </c>
      <c r="AH19" s="20">
        <v>13</v>
      </c>
      <c r="AI19" s="152">
        <v>13</v>
      </c>
      <c r="AJ19" s="20">
        <v>12</v>
      </c>
      <c r="AK19" s="20">
        <v>13</v>
      </c>
      <c r="AL19" s="20">
        <v>17</v>
      </c>
      <c r="AM19" s="69">
        <v>12</v>
      </c>
      <c r="AN19" s="470">
        <v>10</v>
      </c>
      <c r="AO19" s="470">
        <v>11</v>
      </c>
      <c r="AP19" s="470">
        <v>12</v>
      </c>
      <c r="AQ19" s="470">
        <v>11</v>
      </c>
      <c r="AR19" s="554">
        <v>8</v>
      </c>
      <c r="AS19" s="554">
        <v>8</v>
      </c>
      <c r="AT19" s="554">
        <v>9</v>
      </c>
      <c r="AU19" s="554">
        <v>9</v>
      </c>
      <c r="AV19" s="554">
        <v>10</v>
      </c>
      <c r="AW19" s="459">
        <v>9</v>
      </c>
      <c r="AX19" s="459">
        <v>10</v>
      </c>
      <c r="AY19" s="69">
        <v>9</v>
      </c>
      <c r="AZ19" s="69">
        <v>10</v>
      </c>
      <c r="BA19" s="69">
        <v>10</v>
      </c>
      <c r="BB19" s="69">
        <v>12</v>
      </c>
      <c r="BC19" s="459">
        <v>13</v>
      </c>
      <c r="BD19" s="69">
        <v>15</v>
      </c>
      <c r="BE19" s="69">
        <v>14</v>
      </c>
      <c r="BF19" s="69">
        <v>15</v>
      </c>
      <c r="BG19" s="69">
        <v>18</v>
      </c>
      <c r="BH19" s="69">
        <v>16</v>
      </c>
      <c r="BI19" s="69">
        <v>18</v>
      </c>
    </row>
    <row r="20" spans="1:62" x14ac:dyDescent="0.25">
      <c r="A20" s="17"/>
      <c r="B20" s="334" t="s">
        <v>59</v>
      </c>
      <c r="C20" s="26">
        <v>47532.771999999997</v>
      </c>
      <c r="D20" s="26">
        <v>9620.6080000000002</v>
      </c>
      <c r="E20" s="26">
        <v>31601.543000000001</v>
      </c>
      <c r="F20" s="26">
        <v>58171.538999999997</v>
      </c>
      <c r="G20" s="26">
        <v>77803.936000000002</v>
      </c>
      <c r="H20" s="26">
        <v>4932.0305699999999</v>
      </c>
      <c r="I20" s="26">
        <v>5572.98</v>
      </c>
      <c r="J20" s="26">
        <v>9224.7744299999995</v>
      </c>
      <c r="K20" s="27">
        <v>6031.8559999999998</v>
      </c>
      <c r="L20" s="27">
        <v>4452.1417799999999</v>
      </c>
      <c r="M20" s="27">
        <v>5226.674</v>
      </c>
      <c r="N20" s="27">
        <v>9878.06185</v>
      </c>
      <c r="O20" s="27">
        <v>6691.7349999999997</v>
      </c>
      <c r="P20" s="27">
        <v>9449.8146699999979</v>
      </c>
      <c r="Q20" s="27">
        <v>6029.21</v>
      </c>
      <c r="R20" s="27">
        <v>9008.5400000000009</v>
      </c>
      <c r="S20" s="27">
        <v>9190.7900000000009</v>
      </c>
      <c r="T20" s="20">
        <f>6302.56+556</f>
        <v>6858.56</v>
      </c>
      <c r="U20" s="20">
        <f>7114+679</f>
        <v>7793</v>
      </c>
      <c r="V20" s="9">
        <f>9018+830</f>
        <v>9848</v>
      </c>
      <c r="W20" s="9">
        <f>7300+720</f>
        <v>8020</v>
      </c>
      <c r="X20" s="20">
        <f>6339+672</f>
        <v>7011</v>
      </c>
      <c r="Y20" s="225">
        <v>8391</v>
      </c>
      <c r="Z20" s="261">
        <v>9786</v>
      </c>
      <c r="AA20" s="20">
        <v>8284</v>
      </c>
      <c r="AB20" s="20">
        <v>8018</v>
      </c>
      <c r="AC20" s="20">
        <f>9687+1456</f>
        <v>11143</v>
      </c>
      <c r="AD20" s="20">
        <f>12937+1939</f>
        <v>14876</v>
      </c>
      <c r="AE20" s="332">
        <f>11259.8120333333+ 1825.06</f>
        <v>13084.8720333333</v>
      </c>
      <c r="AF20" s="152">
        <v>10200</v>
      </c>
      <c r="AG20" s="332">
        <f>11919+1883</f>
        <v>13802</v>
      </c>
      <c r="AH20" s="332">
        <v>17145</v>
      </c>
      <c r="AI20" s="152">
        <f>12047+1845</f>
        <v>13892</v>
      </c>
      <c r="AJ20" s="39">
        <f>10635+1606</f>
        <v>12241</v>
      </c>
      <c r="AK20" s="332">
        <v>12026</v>
      </c>
      <c r="AL20" s="152">
        <v>16802</v>
      </c>
      <c r="AM20" s="75">
        <v>13863</v>
      </c>
      <c r="AN20" s="470">
        <v>12966</v>
      </c>
      <c r="AO20" s="470">
        <v>15351</v>
      </c>
      <c r="AP20" s="470">
        <v>17881</v>
      </c>
      <c r="AQ20" s="537">
        <f>13775+1898</f>
        <v>15673</v>
      </c>
      <c r="AR20" s="554">
        <v>14155</v>
      </c>
      <c r="AS20" s="554">
        <v>18733</v>
      </c>
      <c r="AT20" s="554">
        <v>26077</v>
      </c>
      <c r="AU20" s="554">
        <v>26673</v>
      </c>
      <c r="AV20" s="554">
        <v>25225</v>
      </c>
      <c r="AW20" s="459">
        <v>29753</v>
      </c>
      <c r="AX20" s="459">
        <v>34892</v>
      </c>
      <c r="AY20" s="69">
        <v>35228</v>
      </c>
      <c r="AZ20" s="75">
        <v>33560.309783333301</v>
      </c>
      <c r="BA20" s="69">
        <v>64680</v>
      </c>
      <c r="BB20" s="69">
        <v>43406</v>
      </c>
      <c r="BC20" s="459">
        <v>46384</v>
      </c>
      <c r="BD20" s="69">
        <v>45057</v>
      </c>
      <c r="BE20" s="69">
        <v>49367</v>
      </c>
      <c r="BF20" s="69">
        <v>56459</v>
      </c>
      <c r="BG20" s="69">
        <v>52760</v>
      </c>
      <c r="BH20" s="69">
        <v>45702</v>
      </c>
      <c r="BI20" s="69">
        <v>46248</v>
      </c>
    </row>
    <row r="21" spans="1:62" x14ac:dyDescent="0.25">
      <c r="A21" s="17"/>
      <c r="B21" s="334" t="s">
        <v>60</v>
      </c>
      <c r="C21" s="26">
        <v>1245.2860000000001</v>
      </c>
      <c r="D21" s="26">
        <v>286.52600000000001</v>
      </c>
      <c r="E21" s="26">
        <v>1024.0060000000001</v>
      </c>
      <c r="F21" s="26">
        <v>2196.4929999999999</v>
      </c>
      <c r="G21" s="26">
        <v>3031.1590000000001</v>
      </c>
      <c r="H21" s="26">
        <v>289.34399999999999</v>
      </c>
      <c r="I21" s="26">
        <v>308.47699999999998</v>
      </c>
      <c r="J21" s="26">
        <v>492.72699999999998</v>
      </c>
      <c r="K21" s="27">
        <v>333.10300000000001</v>
      </c>
      <c r="L21" s="27">
        <v>270.34300000000002</v>
      </c>
      <c r="M21" s="27">
        <v>298.101</v>
      </c>
      <c r="N21" s="27">
        <v>545.35</v>
      </c>
      <c r="O21" s="27">
        <v>374.80500000000001</v>
      </c>
      <c r="P21" s="27">
        <v>314.48692999999997</v>
      </c>
      <c r="Q21" s="27">
        <v>321.06</v>
      </c>
      <c r="R21" s="27">
        <v>422.52</v>
      </c>
      <c r="S21" s="27">
        <v>361.59000000000003</v>
      </c>
      <c r="T21" s="27">
        <v>344.64</v>
      </c>
      <c r="U21" s="20">
        <v>252</v>
      </c>
      <c r="V21" s="9">
        <v>406</v>
      </c>
      <c r="W21" s="9">
        <v>346</v>
      </c>
      <c r="X21" s="20">
        <v>353</v>
      </c>
      <c r="Y21" s="225">
        <v>317</v>
      </c>
      <c r="Z21" s="261">
        <v>400</v>
      </c>
      <c r="AA21" s="20">
        <v>339</v>
      </c>
      <c r="AB21" s="20">
        <v>319</v>
      </c>
      <c r="AC21" s="20">
        <f>278+88</f>
        <v>366</v>
      </c>
      <c r="AD21" s="20">
        <v>451</v>
      </c>
      <c r="AE21" s="270">
        <v>396.26606666666601</v>
      </c>
      <c r="AF21" s="72">
        <v>400</v>
      </c>
      <c r="AG21" s="270">
        <v>374</v>
      </c>
      <c r="AH21" s="270">
        <v>446</v>
      </c>
      <c r="AI21" s="152">
        <v>400</v>
      </c>
      <c r="AJ21" s="270">
        <v>393</v>
      </c>
      <c r="AK21" s="270">
        <v>386</v>
      </c>
      <c r="AL21" s="270">
        <v>451</v>
      </c>
      <c r="AM21" s="436">
        <v>420</v>
      </c>
      <c r="AN21" s="470">
        <v>416</v>
      </c>
      <c r="AO21" s="470">
        <v>432</v>
      </c>
      <c r="AP21" s="470">
        <v>486</v>
      </c>
      <c r="AQ21" s="470">
        <v>437</v>
      </c>
      <c r="AR21" s="554">
        <v>413</v>
      </c>
      <c r="AS21" s="554">
        <v>460</v>
      </c>
      <c r="AT21" s="554">
        <v>554</v>
      </c>
      <c r="AU21" s="554">
        <v>643</v>
      </c>
      <c r="AV21" s="554">
        <v>609</v>
      </c>
      <c r="AW21" s="459">
        <v>665</v>
      </c>
      <c r="AX21" s="459">
        <v>726</v>
      </c>
      <c r="AY21" s="69">
        <v>793</v>
      </c>
      <c r="AZ21" s="69">
        <v>821</v>
      </c>
      <c r="BA21" s="69">
        <v>876</v>
      </c>
      <c r="BB21" s="69">
        <v>894</v>
      </c>
      <c r="BC21" s="459">
        <v>990</v>
      </c>
      <c r="BD21" s="69">
        <v>916</v>
      </c>
      <c r="BE21" s="69">
        <v>913</v>
      </c>
      <c r="BF21" s="69">
        <v>1125</v>
      </c>
      <c r="BG21" s="69">
        <v>1174</v>
      </c>
      <c r="BH21" s="69">
        <v>1093</v>
      </c>
      <c r="BI21" s="69">
        <v>1216</v>
      </c>
    </row>
    <row r="22" spans="1:62" x14ac:dyDescent="0.25">
      <c r="A22" s="17"/>
      <c r="B22" s="334" t="s">
        <v>61</v>
      </c>
      <c r="C22" s="26">
        <v>8183.4790000000003</v>
      </c>
      <c r="D22" s="26">
        <v>2761.2809999999999</v>
      </c>
      <c r="E22" s="26">
        <v>6753.5820000000003</v>
      </c>
      <c r="F22" s="26">
        <v>13050.356</v>
      </c>
      <c r="G22" s="26">
        <v>18777.186000000002</v>
      </c>
      <c r="H22" s="26">
        <v>2835.768</v>
      </c>
      <c r="I22" s="26">
        <v>2418.4180000000001</v>
      </c>
      <c r="J22" s="26">
        <v>3483.1669999999999</v>
      </c>
      <c r="K22" s="27">
        <v>2548.6909999999998</v>
      </c>
      <c r="L22" s="27">
        <v>2621.6509700000001</v>
      </c>
      <c r="M22" s="27">
        <v>2124.3249999999998</v>
      </c>
      <c r="N22" s="27">
        <v>3299.4592400000001</v>
      </c>
      <c r="O22" s="27">
        <v>2445.2649999999999</v>
      </c>
      <c r="P22" s="27">
        <v>1965.2172700000001</v>
      </c>
      <c r="Q22" s="27">
        <v>2083.02</v>
      </c>
      <c r="R22" s="27">
        <v>2745.81</v>
      </c>
      <c r="S22" s="27">
        <v>2098.27</v>
      </c>
      <c r="T22" s="27">
        <v>1635.23</v>
      </c>
      <c r="U22" s="20">
        <v>1778.88</v>
      </c>
      <c r="V22" s="9">
        <v>2300</v>
      </c>
      <c r="W22" s="9">
        <v>1790</v>
      </c>
      <c r="X22" s="20">
        <v>2291</v>
      </c>
      <c r="Y22" s="225">
        <v>1645</v>
      </c>
      <c r="Z22" s="261">
        <v>2173</v>
      </c>
      <c r="AA22" s="39">
        <v>1555</v>
      </c>
      <c r="AB22" s="39">
        <v>1409</v>
      </c>
      <c r="AC22" s="39">
        <v>1485</v>
      </c>
      <c r="AD22" s="39">
        <v>1987</v>
      </c>
      <c r="AE22" s="39">
        <v>1473.6430999999986</v>
      </c>
      <c r="AF22" s="39">
        <v>1249</v>
      </c>
      <c r="AG22" s="39">
        <v>1240</v>
      </c>
      <c r="AH22" s="39">
        <v>1598</v>
      </c>
      <c r="AI22" s="152">
        <v>1190</v>
      </c>
      <c r="AJ22" s="39">
        <v>970</v>
      </c>
      <c r="AK22" s="39">
        <v>914</v>
      </c>
      <c r="AL22" s="39">
        <v>1020</v>
      </c>
      <c r="AM22" s="435">
        <v>633</v>
      </c>
      <c r="AN22" s="469">
        <v>544</v>
      </c>
      <c r="AO22" s="469">
        <v>563</v>
      </c>
      <c r="AP22" s="469">
        <v>682</v>
      </c>
      <c r="AQ22" s="469">
        <v>460</v>
      </c>
      <c r="AR22" s="555">
        <v>408</v>
      </c>
      <c r="AS22" s="555">
        <v>436</v>
      </c>
      <c r="AT22" s="555">
        <v>516</v>
      </c>
      <c r="AU22" s="555">
        <v>372</v>
      </c>
      <c r="AV22" s="555">
        <v>315</v>
      </c>
      <c r="AW22" s="587">
        <v>303</v>
      </c>
      <c r="AX22" s="587">
        <v>443</v>
      </c>
      <c r="AY22" s="582">
        <v>317</v>
      </c>
      <c r="AZ22" s="69">
        <v>282</v>
      </c>
      <c r="BA22" s="69">
        <v>241</v>
      </c>
      <c r="BB22" s="69">
        <v>306</v>
      </c>
      <c r="BC22" s="459">
        <v>281</v>
      </c>
      <c r="BD22" s="69">
        <v>297</v>
      </c>
      <c r="BE22" s="69">
        <v>289</v>
      </c>
      <c r="BF22" s="69">
        <v>399</v>
      </c>
      <c r="BG22" s="69">
        <v>273</v>
      </c>
      <c r="BH22" s="69">
        <v>249</v>
      </c>
      <c r="BI22" s="69">
        <v>269</v>
      </c>
    </row>
    <row r="23" spans="1:62" s="40" customFormat="1" x14ac:dyDescent="0.25">
      <c r="A23" s="42"/>
      <c r="B23" s="43" t="s">
        <v>65</v>
      </c>
      <c r="C23" s="44">
        <f>C22+C21+C20+C17</f>
        <v>133236.17199999999</v>
      </c>
      <c r="D23" s="44">
        <f t="shared" ref="D23:S23" si="6">D22+D21+D20+D17</f>
        <v>25712.382000000001</v>
      </c>
      <c r="E23" s="44">
        <f t="shared" si="6"/>
        <v>114634.595</v>
      </c>
      <c r="F23" s="44">
        <f t="shared" si="6"/>
        <v>236301.33299999998</v>
      </c>
      <c r="G23" s="44">
        <f t="shared" si="6"/>
        <v>360270.272</v>
      </c>
      <c r="H23" s="44">
        <f t="shared" si="6"/>
        <v>56204.391570000007</v>
      </c>
      <c r="I23" s="44">
        <f t="shared" si="6"/>
        <v>73881.574999999997</v>
      </c>
      <c r="J23" s="44">
        <f t="shared" si="6"/>
        <v>114354.62643</v>
      </c>
      <c r="K23" s="44">
        <f t="shared" si="6"/>
        <v>100413.05099999999</v>
      </c>
      <c r="L23" s="44">
        <f t="shared" si="6"/>
        <v>104224.82275000001</v>
      </c>
      <c r="M23" s="44">
        <f t="shared" si="6"/>
        <v>94908.303</v>
      </c>
      <c r="N23" s="44">
        <f t="shared" si="6"/>
        <v>165936.82928000001</v>
      </c>
      <c r="O23" s="44">
        <f t="shared" si="6"/>
        <v>114809.31099999999</v>
      </c>
      <c r="P23" s="44">
        <f t="shared" si="6"/>
        <v>130461.47887000001</v>
      </c>
      <c r="Q23" s="44">
        <f t="shared" si="6"/>
        <v>122988.57999999999</v>
      </c>
      <c r="R23" s="44">
        <f t="shared" si="6"/>
        <v>133126.17000000001</v>
      </c>
      <c r="S23" s="44">
        <f t="shared" si="6"/>
        <v>129518.22</v>
      </c>
      <c r="T23" s="150">
        <f t="shared" ref="T23:Z23" si="7">T22+T21+T20+T17+T19</f>
        <v>122937.45000000001</v>
      </c>
      <c r="U23" s="151">
        <f t="shared" si="7"/>
        <v>125111.88</v>
      </c>
      <c r="V23" s="16">
        <f t="shared" si="7"/>
        <v>143874</v>
      </c>
      <c r="W23" s="16">
        <f t="shared" si="7"/>
        <v>146632</v>
      </c>
      <c r="X23" s="200">
        <f t="shared" si="7"/>
        <v>147855</v>
      </c>
      <c r="Y23" s="253">
        <f t="shared" si="7"/>
        <v>155771</v>
      </c>
      <c r="Z23" s="263">
        <f t="shared" si="7"/>
        <v>199040</v>
      </c>
      <c r="AA23" s="288">
        <v>153437</v>
      </c>
      <c r="AB23" s="288">
        <v>146350</v>
      </c>
      <c r="AC23" s="288">
        <v>146350</v>
      </c>
      <c r="AD23" s="288">
        <f>SUM(AD17:AD22)</f>
        <v>172751</v>
      </c>
      <c r="AE23" s="288">
        <f>SUM(AE17:AE22)</f>
        <v>155948.63494999995</v>
      </c>
      <c r="AF23" s="288">
        <v>139193</v>
      </c>
      <c r="AG23" s="288">
        <f t="shared" ref="AG23:BI23" si="8">SUM(AG17:AG22)</f>
        <v>142799</v>
      </c>
      <c r="AH23" s="288">
        <f t="shared" si="8"/>
        <v>147955</v>
      </c>
      <c r="AI23" s="288">
        <f t="shared" si="8"/>
        <v>125725</v>
      </c>
      <c r="AJ23" s="288">
        <f t="shared" si="8"/>
        <v>111415</v>
      </c>
      <c r="AK23" s="288">
        <f t="shared" si="8"/>
        <v>112572</v>
      </c>
      <c r="AL23" s="288">
        <f t="shared" si="8"/>
        <v>115292</v>
      </c>
      <c r="AM23" s="288">
        <f t="shared" si="8"/>
        <v>102672</v>
      </c>
      <c r="AN23" s="288">
        <f t="shared" si="8"/>
        <v>92648</v>
      </c>
      <c r="AO23" s="288">
        <f t="shared" si="8"/>
        <v>101177</v>
      </c>
      <c r="AP23" s="288">
        <f t="shared" si="8"/>
        <v>105096</v>
      </c>
      <c r="AQ23" s="288">
        <f t="shared" si="8"/>
        <v>95377</v>
      </c>
      <c r="AR23" s="288">
        <f t="shared" si="8"/>
        <v>85402</v>
      </c>
      <c r="AS23" s="497">
        <f t="shared" si="8"/>
        <v>97707</v>
      </c>
      <c r="AT23" s="497">
        <f t="shared" si="8"/>
        <v>109643</v>
      </c>
      <c r="AU23" s="497">
        <f t="shared" si="8"/>
        <v>109702</v>
      </c>
      <c r="AV23" s="497">
        <f t="shared" si="8"/>
        <v>100179</v>
      </c>
      <c r="AW23" s="497">
        <f t="shared" si="8"/>
        <v>111658</v>
      </c>
      <c r="AX23" s="497">
        <f t="shared" si="8"/>
        <v>120446</v>
      </c>
      <c r="AY23" s="497">
        <f t="shared" si="8"/>
        <v>120413</v>
      </c>
      <c r="AZ23" s="487">
        <f t="shared" si="8"/>
        <v>113123.37931666657</v>
      </c>
      <c r="BA23" s="616">
        <f t="shared" si="8"/>
        <v>145334</v>
      </c>
      <c r="BB23" s="616">
        <f t="shared" si="8"/>
        <v>136740</v>
      </c>
      <c r="BC23" s="631">
        <f t="shared" si="8"/>
        <v>143948</v>
      </c>
      <c r="BD23" s="616">
        <f t="shared" si="8"/>
        <v>136839</v>
      </c>
      <c r="BE23" s="616">
        <f t="shared" si="8"/>
        <v>148308</v>
      </c>
      <c r="BF23" s="616">
        <f t="shared" si="8"/>
        <v>165761</v>
      </c>
      <c r="BG23" s="616">
        <f t="shared" si="8"/>
        <v>155723</v>
      </c>
      <c r="BH23" s="616">
        <f t="shared" si="8"/>
        <v>135588.41801666666</v>
      </c>
      <c r="BI23" s="616">
        <f t="shared" si="8"/>
        <v>143458</v>
      </c>
    </row>
    <row r="24" spans="1:62" x14ac:dyDescent="0.25">
      <c r="A24" s="17"/>
      <c r="B24" s="25" t="s">
        <v>62</v>
      </c>
      <c r="C24" s="24"/>
      <c r="D24" s="24"/>
      <c r="E24" s="24"/>
      <c r="F24" s="21"/>
      <c r="G24" s="24"/>
      <c r="H24" s="21"/>
      <c r="I24" s="24"/>
      <c r="J24" s="21"/>
      <c r="Z24" s="261"/>
      <c r="AM24" s="459"/>
      <c r="AN24" s="68"/>
      <c r="AO24" s="470"/>
      <c r="AP24" s="470"/>
      <c r="AQ24" s="470"/>
      <c r="AR24" s="538"/>
      <c r="AS24" s="545"/>
      <c r="AT24" s="570"/>
      <c r="AU24" s="570"/>
      <c r="AV24" s="570"/>
      <c r="AW24" s="459" t="s">
        <v>162</v>
      </c>
      <c r="AX24" s="459"/>
      <c r="AY24" s="69"/>
      <c r="AZ24" s="69"/>
      <c r="BD24" s="69"/>
      <c r="BE24" s="69"/>
      <c r="BF24" s="69"/>
      <c r="BG24" s="69"/>
      <c r="BH24" s="69"/>
      <c r="BI24" s="69"/>
    </row>
    <row r="25" spans="1:62" ht="15.75" x14ac:dyDescent="0.3">
      <c r="A25" s="17"/>
      <c r="B25" s="334" t="s">
        <v>59</v>
      </c>
      <c r="C25" s="24"/>
      <c r="D25" s="24"/>
      <c r="E25" s="24"/>
      <c r="F25" s="24"/>
      <c r="G25" s="24"/>
      <c r="H25" s="24"/>
      <c r="I25" s="24"/>
      <c r="J25" s="24"/>
      <c r="L25" s="27">
        <v>3810.4670000000001</v>
      </c>
      <c r="M25" s="27">
        <v>4432.5889999999999</v>
      </c>
      <c r="N25" s="27">
        <v>5988.3316500000001</v>
      </c>
      <c r="O25" s="27">
        <v>4359.2110000000002</v>
      </c>
      <c r="P25" s="27">
        <v>3521.6819999999998</v>
      </c>
      <c r="Q25" s="27">
        <v>3995</v>
      </c>
      <c r="R25" s="27">
        <v>5734.06</v>
      </c>
      <c r="S25" s="27">
        <v>4210.3599999999997</v>
      </c>
      <c r="T25" s="152">
        <v>3802.33</v>
      </c>
      <c r="U25" s="20">
        <v>4441</v>
      </c>
      <c r="V25" s="9">
        <v>5977</v>
      </c>
      <c r="W25" s="9">
        <v>4374</v>
      </c>
      <c r="X25" s="20">
        <v>4374</v>
      </c>
      <c r="Y25" s="225">
        <v>4593</v>
      </c>
      <c r="Z25" s="261">
        <v>6716</v>
      </c>
      <c r="AA25" s="152">
        <v>5394</v>
      </c>
      <c r="AB25" s="152">
        <v>5000</v>
      </c>
      <c r="AC25" s="152">
        <v>6015</v>
      </c>
      <c r="AD25" s="152">
        <v>8451</v>
      </c>
      <c r="AE25" s="333">
        <v>7590.6030499999897</v>
      </c>
      <c r="AF25" s="342">
        <v>7684</v>
      </c>
      <c r="AG25" s="342">
        <v>8838</v>
      </c>
      <c r="AH25" s="346">
        <v>11589</v>
      </c>
      <c r="AI25" s="346">
        <v>9676</v>
      </c>
      <c r="AJ25" s="407">
        <v>8765</v>
      </c>
      <c r="AK25" s="346">
        <v>9781</v>
      </c>
      <c r="AL25" s="346">
        <v>12234</v>
      </c>
      <c r="AM25" s="471">
        <v>10534</v>
      </c>
      <c r="AN25" s="68">
        <v>9489</v>
      </c>
      <c r="AO25" s="470">
        <v>11641</v>
      </c>
      <c r="AP25" s="470">
        <v>13901</v>
      </c>
      <c r="AQ25" s="470">
        <v>14239</v>
      </c>
      <c r="AR25" s="74">
        <v>14194</v>
      </c>
      <c r="AS25" s="554">
        <v>15815</v>
      </c>
      <c r="AT25" s="554">
        <v>20833</v>
      </c>
      <c r="AU25" s="554">
        <v>22005</v>
      </c>
      <c r="AV25" s="554">
        <v>21225</v>
      </c>
      <c r="AW25" s="459">
        <v>24541</v>
      </c>
      <c r="AX25" s="459">
        <v>26523</v>
      </c>
      <c r="AY25" s="69">
        <v>26334</v>
      </c>
      <c r="AZ25" s="69">
        <v>24806</v>
      </c>
      <c r="BA25" s="69">
        <v>27011</v>
      </c>
      <c r="BB25" s="69">
        <v>36775</v>
      </c>
      <c r="BC25" s="459">
        <v>40055</v>
      </c>
      <c r="BD25" s="69">
        <v>38563</v>
      </c>
      <c r="BE25" s="69">
        <v>42444</v>
      </c>
      <c r="BF25" s="434">
        <v>48157</v>
      </c>
      <c r="BG25" s="434">
        <v>45707</v>
      </c>
      <c r="BH25" s="434">
        <v>39865</v>
      </c>
      <c r="BI25" s="434">
        <v>42516</v>
      </c>
    </row>
    <row r="26" spans="1:62" x14ac:dyDescent="0.25">
      <c r="A26" s="17"/>
      <c r="B26" s="334" t="s">
        <v>60</v>
      </c>
      <c r="C26" s="24"/>
      <c r="D26" s="24"/>
      <c r="E26" s="24"/>
      <c r="F26" s="24"/>
      <c r="G26" s="24"/>
      <c r="H26" s="24"/>
      <c r="I26" s="24"/>
      <c r="J26" s="24"/>
      <c r="L26" s="27">
        <v>1302.626</v>
      </c>
      <c r="M26" s="27">
        <v>1033.194</v>
      </c>
      <c r="N26" s="27">
        <v>778.9727666666671</v>
      </c>
      <c r="O26" s="27">
        <v>1156.2079999999999</v>
      </c>
      <c r="P26" s="27">
        <v>1591.35</v>
      </c>
      <c r="Q26" s="27">
        <v>1274</v>
      </c>
      <c r="R26" s="27">
        <v>1318.88</v>
      </c>
      <c r="S26" s="27">
        <v>1231.95</v>
      </c>
      <c r="T26" s="152">
        <v>875.25</v>
      </c>
      <c r="U26" s="20">
        <v>893</v>
      </c>
      <c r="V26" s="9">
        <v>910</v>
      </c>
      <c r="W26" s="9">
        <v>833</v>
      </c>
      <c r="X26" s="20">
        <v>833</v>
      </c>
      <c r="Y26" s="225">
        <v>849</v>
      </c>
      <c r="Z26" s="261">
        <v>1075</v>
      </c>
      <c r="AA26" s="152">
        <v>626</v>
      </c>
      <c r="AB26" s="152">
        <v>771</v>
      </c>
      <c r="AC26" s="152">
        <v>855</v>
      </c>
      <c r="AD26" s="152">
        <v>892</v>
      </c>
      <c r="AE26" s="332">
        <v>882.96323333333203</v>
      </c>
      <c r="AF26" s="152">
        <v>831</v>
      </c>
      <c r="AG26" s="152">
        <v>892</v>
      </c>
      <c r="AH26" s="152">
        <v>891</v>
      </c>
      <c r="AI26" s="152">
        <v>860</v>
      </c>
      <c r="AJ26" s="39">
        <v>776</v>
      </c>
      <c r="AK26" s="332">
        <v>802</v>
      </c>
      <c r="AL26" s="332">
        <v>776</v>
      </c>
      <c r="AM26" s="457">
        <v>784</v>
      </c>
      <c r="AN26" s="68">
        <v>669</v>
      </c>
      <c r="AO26" s="470">
        <v>799</v>
      </c>
      <c r="AP26" s="470">
        <v>842</v>
      </c>
      <c r="AQ26" s="470">
        <v>824</v>
      </c>
      <c r="AR26" s="74">
        <v>724</v>
      </c>
      <c r="AS26" s="554">
        <v>702</v>
      </c>
      <c r="AT26" s="554">
        <v>622</v>
      </c>
      <c r="AU26" s="554">
        <v>657</v>
      </c>
      <c r="AV26" s="554">
        <v>567</v>
      </c>
      <c r="AW26" s="459">
        <v>599</v>
      </c>
      <c r="AX26" s="459">
        <v>620</v>
      </c>
      <c r="AY26" s="69">
        <v>972</v>
      </c>
      <c r="AZ26" s="69">
        <v>1385</v>
      </c>
      <c r="BA26" s="69">
        <v>1081</v>
      </c>
      <c r="BB26" s="69">
        <v>525</v>
      </c>
      <c r="BC26" s="459">
        <v>494</v>
      </c>
      <c r="BD26" s="69">
        <v>636</v>
      </c>
      <c r="BE26" s="69">
        <v>658</v>
      </c>
      <c r="BF26" s="69">
        <v>691</v>
      </c>
      <c r="BG26" s="69">
        <v>549</v>
      </c>
      <c r="BH26" s="69">
        <v>523</v>
      </c>
      <c r="BI26" s="69">
        <v>535</v>
      </c>
    </row>
    <row r="27" spans="1:62" x14ac:dyDescent="0.25">
      <c r="A27" s="17"/>
      <c r="B27" s="334" t="s">
        <v>61</v>
      </c>
      <c r="C27" s="24"/>
      <c r="D27" s="24"/>
      <c r="E27" s="24"/>
      <c r="F27" s="24"/>
      <c r="G27" s="24"/>
      <c r="H27" s="24"/>
      <c r="I27" s="24"/>
      <c r="J27" s="24"/>
      <c r="L27" s="27">
        <v>31366.098999999998</v>
      </c>
      <c r="M27" s="27">
        <v>22142.321</v>
      </c>
      <c r="N27" s="27">
        <v>23369.254580000001</v>
      </c>
      <c r="O27" s="27">
        <v>21675</v>
      </c>
      <c r="P27" s="27">
        <v>19742.593000000001</v>
      </c>
      <c r="Q27" s="27">
        <v>22429</v>
      </c>
      <c r="R27" s="27">
        <v>24353.69</v>
      </c>
      <c r="S27" s="27">
        <v>22368.367999999999</v>
      </c>
      <c r="T27" s="152">
        <v>19913.96</v>
      </c>
      <c r="U27" s="20">
        <v>18875</v>
      </c>
      <c r="V27" s="9">
        <v>19199</v>
      </c>
      <c r="W27" s="9">
        <v>16441</v>
      </c>
      <c r="X27" s="20">
        <v>16441</v>
      </c>
      <c r="Y27" s="225">
        <v>16519</v>
      </c>
      <c r="Z27" s="261">
        <v>17095</v>
      </c>
      <c r="AA27" s="152">
        <v>14103</v>
      </c>
      <c r="AB27" s="152">
        <v>11178</v>
      </c>
      <c r="AC27" s="152">
        <v>12584</v>
      </c>
      <c r="AD27" s="152">
        <v>15961</v>
      </c>
      <c r="AE27" s="72">
        <v>15655.061349699999</v>
      </c>
      <c r="AF27" s="152">
        <v>13628</v>
      </c>
      <c r="AG27" s="152">
        <v>12136</v>
      </c>
      <c r="AH27" s="152">
        <v>11357</v>
      </c>
      <c r="AI27" s="152">
        <v>6214</v>
      </c>
      <c r="AJ27" s="39">
        <v>7530</v>
      </c>
      <c r="AK27" s="72">
        <v>10552</v>
      </c>
      <c r="AL27" s="72">
        <v>11584</v>
      </c>
      <c r="AM27" s="457">
        <v>9976</v>
      </c>
      <c r="AN27" s="68">
        <v>6063</v>
      </c>
      <c r="AO27" s="470">
        <v>6763</v>
      </c>
      <c r="AP27" s="470">
        <v>6621</v>
      </c>
      <c r="AQ27" s="470">
        <v>5833</v>
      </c>
      <c r="AR27" s="74">
        <v>4133</v>
      </c>
      <c r="AS27" s="554">
        <v>5176</v>
      </c>
      <c r="AT27" s="554">
        <v>6115</v>
      </c>
      <c r="AU27" s="554">
        <v>5137</v>
      </c>
      <c r="AV27" s="554">
        <v>3942</v>
      </c>
      <c r="AW27" s="459">
        <v>3101</v>
      </c>
      <c r="AX27" s="459">
        <v>1581</v>
      </c>
      <c r="AY27" s="69">
        <v>1298</v>
      </c>
      <c r="AZ27" s="69">
        <v>932</v>
      </c>
      <c r="BA27" s="69">
        <v>484</v>
      </c>
      <c r="BB27" s="69">
        <v>1990</v>
      </c>
      <c r="BC27" s="459">
        <v>1890</v>
      </c>
      <c r="BD27" s="69">
        <v>1366</v>
      </c>
      <c r="BE27" s="69">
        <v>1501</v>
      </c>
      <c r="BF27" s="69">
        <v>3644</v>
      </c>
      <c r="BG27" s="69">
        <v>1956</v>
      </c>
      <c r="BH27" s="69">
        <v>2754</v>
      </c>
      <c r="BI27" s="69">
        <v>3543</v>
      </c>
    </row>
    <row r="28" spans="1:62" x14ac:dyDescent="0.25">
      <c r="A28" s="17"/>
      <c r="B28" s="21"/>
      <c r="C28" s="24"/>
      <c r="D28" s="24"/>
      <c r="E28" s="24"/>
      <c r="F28" s="24"/>
      <c r="G28" s="24"/>
      <c r="H28" s="24"/>
      <c r="I28" s="24"/>
      <c r="J28" s="24"/>
      <c r="S28" s="189">
        <f>SUM(S25:S27)</f>
        <v>27810.678</v>
      </c>
      <c r="T28" s="189">
        <f>SUM(T25:T27)</f>
        <v>24591.54</v>
      </c>
      <c r="U28" s="189">
        <f>SUM(U25:U27)</f>
        <v>24209</v>
      </c>
      <c r="V28" s="189">
        <f>SUM(V25:V27)</f>
        <v>26086</v>
      </c>
      <c r="W28" s="189">
        <f>SUM(W25:W27)</f>
        <v>21648</v>
      </c>
      <c r="X28" s="189">
        <v>21648</v>
      </c>
      <c r="Y28" s="225">
        <v>21961</v>
      </c>
      <c r="Z28" s="261">
        <v>24886</v>
      </c>
      <c r="AA28" s="152">
        <v>20123</v>
      </c>
      <c r="AB28" s="152">
        <v>16949</v>
      </c>
      <c r="AC28" s="190">
        <f>SUM(AC25:AC27)</f>
        <v>19454</v>
      </c>
      <c r="AD28" s="190">
        <f>SUM(AD25:AD27)</f>
        <v>25304</v>
      </c>
      <c r="AE28" s="190">
        <f>SUM(AE25:AE27)</f>
        <v>24128.62763303332</v>
      </c>
      <c r="AF28" s="152">
        <f t="shared" ref="AF28:BC28" si="9">AF25+AF26+AF27</f>
        <v>22143</v>
      </c>
      <c r="AG28" s="152">
        <f t="shared" si="9"/>
        <v>21866</v>
      </c>
      <c r="AH28" s="152">
        <f t="shared" si="9"/>
        <v>23837</v>
      </c>
      <c r="AI28" s="152">
        <f t="shared" si="9"/>
        <v>16750</v>
      </c>
      <c r="AJ28" s="152">
        <f t="shared" si="9"/>
        <v>17071</v>
      </c>
      <c r="AK28" s="152">
        <f t="shared" si="9"/>
        <v>21135</v>
      </c>
      <c r="AL28" s="152">
        <f t="shared" si="9"/>
        <v>24594</v>
      </c>
      <c r="AM28" s="152">
        <f t="shared" si="9"/>
        <v>21294</v>
      </c>
      <c r="AN28" s="487">
        <f t="shared" si="9"/>
        <v>16221</v>
      </c>
      <c r="AO28" s="497">
        <f t="shared" si="9"/>
        <v>19203</v>
      </c>
      <c r="AP28" s="497">
        <f t="shared" si="9"/>
        <v>21364</v>
      </c>
      <c r="AQ28" s="497">
        <f t="shared" si="9"/>
        <v>20896</v>
      </c>
      <c r="AR28" s="497">
        <f t="shared" si="9"/>
        <v>19051</v>
      </c>
      <c r="AS28" s="497">
        <f t="shared" si="9"/>
        <v>21693</v>
      </c>
      <c r="AT28" s="497">
        <f t="shared" si="9"/>
        <v>27570</v>
      </c>
      <c r="AU28" s="497">
        <f t="shared" si="9"/>
        <v>27799</v>
      </c>
      <c r="AV28" s="497">
        <f t="shared" si="9"/>
        <v>25734</v>
      </c>
      <c r="AW28" s="497">
        <f t="shared" si="9"/>
        <v>28241</v>
      </c>
      <c r="AX28" s="497">
        <f t="shared" si="9"/>
        <v>28724</v>
      </c>
      <c r="AY28" s="497">
        <f t="shared" si="9"/>
        <v>28604</v>
      </c>
      <c r="AZ28" s="487">
        <f t="shared" si="9"/>
        <v>27123</v>
      </c>
      <c r="BA28" s="487">
        <f t="shared" si="9"/>
        <v>28576</v>
      </c>
      <c r="BB28" s="487">
        <f t="shared" si="9"/>
        <v>39290</v>
      </c>
      <c r="BC28" s="497">
        <f t="shared" si="9"/>
        <v>42439</v>
      </c>
      <c r="BD28" s="487">
        <f t="shared" ref="BD28:BI28" si="10">BD25+BD26+BD27</f>
        <v>40565</v>
      </c>
      <c r="BE28" s="487">
        <f t="shared" si="10"/>
        <v>44603</v>
      </c>
      <c r="BF28" s="487">
        <f t="shared" si="10"/>
        <v>52492</v>
      </c>
      <c r="BG28" s="487">
        <f t="shared" si="10"/>
        <v>48212</v>
      </c>
      <c r="BH28" s="487">
        <f t="shared" si="10"/>
        <v>43142</v>
      </c>
      <c r="BI28" s="487">
        <f t="shared" si="10"/>
        <v>46594</v>
      </c>
    </row>
    <row r="29" spans="1:62" x14ac:dyDescent="0.25">
      <c r="A29" s="17"/>
      <c r="B29" s="21"/>
      <c r="C29" s="24"/>
      <c r="D29" s="24"/>
      <c r="E29" s="24"/>
      <c r="F29" s="24"/>
      <c r="G29" s="24"/>
      <c r="H29" s="24"/>
      <c r="I29" s="24"/>
      <c r="J29" s="24"/>
      <c r="S29" s="189"/>
      <c r="T29" s="189"/>
      <c r="U29" s="189"/>
      <c r="V29" s="189"/>
      <c r="W29" s="189"/>
      <c r="X29" s="189"/>
      <c r="Z29" s="261"/>
      <c r="AA29" s="152"/>
      <c r="AB29" s="152"/>
      <c r="AC29" s="190"/>
      <c r="AD29" s="190"/>
      <c r="AE29" s="190"/>
      <c r="AF29" s="152"/>
      <c r="AG29" s="152"/>
      <c r="AH29" s="152"/>
      <c r="AI29" s="152"/>
      <c r="AJ29" s="152"/>
      <c r="AK29" s="152"/>
      <c r="AL29" s="152"/>
      <c r="AM29" s="152"/>
      <c r="AN29" s="177"/>
      <c r="AO29" s="310"/>
      <c r="AP29" s="310"/>
      <c r="AQ29" s="310"/>
      <c r="AR29" s="70"/>
      <c r="AS29" s="70"/>
      <c r="AT29" s="70"/>
      <c r="AU29" s="70"/>
      <c r="AV29" s="70"/>
    </row>
    <row r="30" spans="1:62" x14ac:dyDescent="0.25">
      <c r="A30" s="17"/>
      <c r="B30" s="483" t="s">
        <v>152</v>
      </c>
      <c r="C30" s="24"/>
      <c r="D30" s="24"/>
      <c r="E30" s="24"/>
      <c r="F30" s="24"/>
      <c r="G30" s="24"/>
      <c r="H30" s="24"/>
      <c r="I30" s="24"/>
      <c r="J30" s="24"/>
      <c r="S30" s="189"/>
      <c r="T30" s="189"/>
      <c r="U30" s="189"/>
      <c r="V30" s="189"/>
      <c r="W30" s="189"/>
      <c r="X30" s="189"/>
      <c r="Z30" s="261"/>
      <c r="AA30" s="152"/>
      <c r="AB30" s="152"/>
      <c r="AC30" s="190"/>
      <c r="AD30" s="190"/>
      <c r="AE30" s="190"/>
      <c r="AF30" s="152"/>
      <c r="AG30" s="152"/>
      <c r="AH30" s="152"/>
      <c r="AI30" s="152"/>
      <c r="AJ30" s="152"/>
      <c r="AK30" s="152"/>
      <c r="AL30" s="152"/>
      <c r="AM30" s="152"/>
      <c r="AN30" s="177"/>
      <c r="AO30" s="310"/>
      <c r="AP30" s="310"/>
      <c r="AQ30" s="310"/>
      <c r="AR30" s="70"/>
      <c r="AS30" s="70"/>
      <c r="AT30" s="70"/>
      <c r="AU30" s="70"/>
      <c r="AV30" s="748">
        <v>2019</v>
      </c>
      <c r="AW30" s="748"/>
      <c r="AX30" s="748"/>
      <c r="AY30" s="748"/>
      <c r="AZ30" s="749">
        <v>2020</v>
      </c>
      <c r="BA30" s="749"/>
      <c r="BB30" s="749"/>
      <c r="BC30" s="749"/>
      <c r="BD30" s="20">
        <v>2021</v>
      </c>
    </row>
    <row r="31" spans="1:62" x14ac:dyDescent="0.25">
      <c r="A31" s="17"/>
      <c r="B31" s="21"/>
      <c r="C31" s="24"/>
      <c r="D31" s="24"/>
      <c r="E31" s="24"/>
      <c r="F31" s="24"/>
      <c r="G31" s="24"/>
      <c r="H31" s="24"/>
      <c r="I31" s="24"/>
      <c r="J31" s="24"/>
      <c r="S31" s="189"/>
      <c r="T31" s="189"/>
      <c r="U31" s="189"/>
      <c r="V31" s="189"/>
      <c r="W31" s="189"/>
      <c r="X31" s="189"/>
      <c r="Z31" s="261"/>
      <c r="AA31" s="152"/>
      <c r="AB31" s="152"/>
      <c r="AC31" s="190"/>
      <c r="AD31" s="190"/>
      <c r="AE31" s="190"/>
      <c r="AF31" s="152"/>
      <c r="AG31" s="152"/>
      <c r="AH31" s="152"/>
      <c r="AI31" s="152"/>
      <c r="AJ31" s="152"/>
      <c r="AK31" s="152"/>
      <c r="AL31" s="152"/>
      <c r="AM31" s="152"/>
      <c r="AN31" s="509" t="s">
        <v>48</v>
      </c>
      <c r="AO31" s="510" t="s">
        <v>49</v>
      </c>
      <c r="AP31" s="510" t="s">
        <v>45</v>
      </c>
      <c r="AQ31" s="510" t="s">
        <v>47</v>
      </c>
      <c r="AR31" s="536" t="s">
        <v>48</v>
      </c>
      <c r="AS31" s="536" t="s">
        <v>49</v>
      </c>
      <c r="AT31" s="536" t="s">
        <v>45</v>
      </c>
      <c r="AU31" s="536" t="s">
        <v>47</v>
      </c>
      <c r="AV31" s="536" t="s">
        <v>48</v>
      </c>
      <c r="AW31" s="437" t="s">
        <v>164</v>
      </c>
      <c r="AX31" s="437" t="s">
        <v>165</v>
      </c>
      <c r="AY31" s="437" t="s">
        <v>47</v>
      </c>
      <c r="AZ31" s="607" t="s">
        <v>48</v>
      </c>
      <c r="BA31" s="607" t="s">
        <v>49</v>
      </c>
      <c r="BB31" s="607" t="s">
        <v>45</v>
      </c>
      <c r="BC31" s="607" t="s">
        <v>47</v>
      </c>
      <c r="BD31" s="607" t="s">
        <v>48</v>
      </c>
      <c r="BE31" s="607" t="s">
        <v>49</v>
      </c>
      <c r="BF31" s="607" t="s">
        <v>45</v>
      </c>
      <c r="BG31" s="607" t="s">
        <v>47</v>
      </c>
      <c r="BH31" s="607" t="s">
        <v>48</v>
      </c>
      <c r="BI31" s="607" t="s">
        <v>49</v>
      </c>
    </row>
    <row r="32" spans="1:62" ht="15.75" x14ac:dyDescent="0.3">
      <c r="A32" s="17"/>
      <c r="B32" s="21" t="s">
        <v>57</v>
      </c>
      <c r="C32" s="24"/>
      <c r="D32" s="24"/>
      <c r="E32" s="24"/>
      <c r="F32" s="24"/>
      <c r="G32" s="24"/>
      <c r="H32" s="24"/>
      <c r="I32" s="24"/>
      <c r="J32" s="24"/>
      <c r="S32" s="189"/>
      <c r="T32" s="189"/>
      <c r="U32" s="189"/>
      <c r="V32" s="189"/>
      <c r="W32" s="189"/>
      <c r="X32" s="189"/>
      <c r="Z32" s="261"/>
      <c r="AA32" s="152"/>
      <c r="AB32" s="152"/>
      <c r="AC32" s="190"/>
      <c r="AD32" s="190"/>
      <c r="AE32" s="190"/>
      <c r="AF32" s="152"/>
      <c r="AG32" s="152"/>
      <c r="AH32" s="152"/>
      <c r="AI32" s="152"/>
      <c r="AJ32" s="152"/>
      <c r="AK32" s="152"/>
      <c r="AL32" s="152"/>
      <c r="AM32" s="152"/>
      <c r="AN32" s="434"/>
      <c r="AO32" s="456">
        <v>8501</v>
      </c>
      <c r="AP32" s="456">
        <v>14483</v>
      </c>
      <c r="AQ32" s="456">
        <v>15334</v>
      </c>
      <c r="AR32" s="74">
        <v>14247</v>
      </c>
      <c r="AS32" s="74">
        <v>15177</v>
      </c>
      <c r="AT32" s="74">
        <v>15072</v>
      </c>
      <c r="AU32" s="74">
        <v>16206</v>
      </c>
      <c r="AV32" s="74">
        <v>15383</v>
      </c>
      <c r="AW32" s="434">
        <v>16791</v>
      </c>
      <c r="AX32" s="434">
        <v>16277</v>
      </c>
      <c r="AY32" s="434">
        <v>17784</v>
      </c>
      <c r="AZ32" s="434">
        <v>17255</v>
      </c>
      <c r="BA32" s="69">
        <v>19635</v>
      </c>
      <c r="BB32" s="69">
        <v>19872</v>
      </c>
      <c r="BC32" s="69">
        <v>202751</v>
      </c>
      <c r="BD32" s="69">
        <v>18770</v>
      </c>
      <c r="BE32" s="69">
        <v>19070</v>
      </c>
      <c r="BF32" s="69">
        <v>17671</v>
      </c>
      <c r="BG32" s="69">
        <v>18961</v>
      </c>
      <c r="BH32" s="539">
        <v>17285</v>
      </c>
      <c r="BI32" s="539">
        <v>15352</v>
      </c>
      <c r="BJ32" s="692"/>
    </row>
    <row r="33" spans="1:62" x14ac:dyDescent="0.25">
      <c r="A33" s="17"/>
      <c r="B33" s="21" t="s">
        <v>58</v>
      </c>
      <c r="C33" s="24"/>
      <c r="D33" s="24"/>
      <c r="E33" s="24"/>
      <c r="F33" s="24"/>
      <c r="G33" s="24"/>
      <c r="H33" s="24"/>
      <c r="I33" s="24"/>
      <c r="J33" s="24"/>
      <c r="S33" s="189"/>
      <c r="T33" s="189"/>
      <c r="U33" s="189"/>
      <c r="V33" s="189"/>
      <c r="W33" s="189"/>
      <c r="X33" s="189"/>
      <c r="Z33" s="261"/>
      <c r="AA33" s="152"/>
      <c r="AB33" s="152"/>
      <c r="AC33" s="190"/>
      <c r="AD33" s="190"/>
      <c r="AE33" s="190"/>
      <c r="AF33" s="152"/>
      <c r="AG33" s="152"/>
      <c r="AH33" s="152"/>
      <c r="AI33" s="152"/>
      <c r="AJ33" s="152"/>
      <c r="AK33" s="152"/>
      <c r="AL33" s="152"/>
      <c r="AM33" s="152"/>
      <c r="AN33" s="434"/>
      <c r="AO33" s="456"/>
      <c r="AP33" s="456"/>
      <c r="AQ33" s="456"/>
      <c r="AR33" s="538"/>
      <c r="AS33" s="538"/>
      <c r="AT33" s="538"/>
      <c r="AU33" s="538"/>
      <c r="AV33" s="538"/>
      <c r="AW33" s="69"/>
      <c r="AX33" s="69"/>
      <c r="AY33" s="69"/>
      <c r="AZ33" s="434"/>
      <c r="BA33" s="69"/>
      <c r="BB33" s="69"/>
      <c r="BC33" s="69"/>
      <c r="BD33" s="69"/>
      <c r="BE33" s="69"/>
      <c r="BF33" s="69"/>
      <c r="BG33" s="69"/>
      <c r="BH33" s="69"/>
      <c r="BI33" s="69"/>
    </row>
    <row r="34" spans="1:62" x14ac:dyDescent="0.25">
      <c r="A34" s="17"/>
      <c r="B34" s="21" t="s">
        <v>111</v>
      </c>
      <c r="C34" s="24"/>
      <c r="D34" s="24"/>
      <c r="E34" s="24"/>
      <c r="F34" s="24"/>
      <c r="G34" s="24"/>
      <c r="H34" s="24"/>
      <c r="I34" s="24"/>
      <c r="J34" s="24"/>
      <c r="S34" s="189"/>
      <c r="T34" s="189"/>
      <c r="U34" s="189"/>
      <c r="V34" s="189"/>
      <c r="W34" s="189"/>
      <c r="X34" s="189"/>
      <c r="Z34" s="261"/>
      <c r="AA34" s="152"/>
      <c r="AB34" s="152"/>
      <c r="AC34" s="190"/>
      <c r="AD34" s="190"/>
      <c r="AE34" s="190"/>
      <c r="AF34" s="152"/>
      <c r="AG34" s="152"/>
      <c r="AH34" s="152"/>
      <c r="AI34" s="152"/>
      <c r="AJ34" s="152"/>
      <c r="AK34" s="152"/>
      <c r="AL34" s="152"/>
      <c r="AM34" s="152"/>
      <c r="AN34" s="434"/>
      <c r="AO34" s="456"/>
      <c r="AP34" s="456"/>
      <c r="AQ34" s="456"/>
      <c r="AR34" s="538"/>
      <c r="AS34" s="538"/>
      <c r="AT34" s="538"/>
      <c r="AU34" s="538"/>
      <c r="AV34" s="538"/>
      <c r="AW34" s="69"/>
      <c r="AX34" s="69"/>
      <c r="AY34" s="69"/>
      <c r="AZ34" s="434"/>
      <c r="BA34" s="69"/>
      <c r="BB34" s="69"/>
      <c r="BC34" s="69"/>
      <c r="BD34" s="69"/>
      <c r="BE34" s="69"/>
      <c r="BF34" s="69"/>
      <c r="BG34" s="69"/>
      <c r="BH34" s="69"/>
      <c r="BI34" s="69"/>
    </row>
    <row r="35" spans="1:62" x14ac:dyDescent="0.25">
      <c r="A35" s="17"/>
      <c r="B35" s="21" t="s">
        <v>153</v>
      </c>
      <c r="C35" s="24"/>
      <c r="D35" s="24"/>
      <c r="E35" s="24"/>
      <c r="F35" s="24"/>
      <c r="G35" s="24"/>
      <c r="H35" s="24"/>
      <c r="I35" s="24"/>
      <c r="J35" s="24"/>
      <c r="S35" s="189"/>
      <c r="T35" s="189"/>
      <c r="U35" s="189"/>
      <c r="V35" s="189"/>
      <c r="W35" s="189"/>
      <c r="X35" s="189"/>
      <c r="Z35" s="261"/>
      <c r="AA35" s="152"/>
      <c r="AB35" s="152"/>
      <c r="AC35" s="190"/>
      <c r="AD35" s="190"/>
      <c r="AE35" s="190"/>
      <c r="AF35" s="152"/>
      <c r="AG35" s="152"/>
      <c r="AH35" s="152"/>
      <c r="AI35" s="152"/>
      <c r="AJ35" s="152"/>
      <c r="AK35" s="152"/>
      <c r="AL35" s="152"/>
      <c r="AM35" s="152"/>
      <c r="AN35" s="434"/>
      <c r="AO35" s="456"/>
      <c r="AP35" s="456"/>
      <c r="AQ35" s="456"/>
      <c r="AR35" s="538"/>
      <c r="AS35" s="538"/>
      <c r="AT35" s="538"/>
      <c r="AU35" s="74">
        <v>32</v>
      </c>
      <c r="AV35" s="74">
        <v>30</v>
      </c>
      <c r="AW35" s="69">
        <v>51</v>
      </c>
      <c r="AX35" s="69">
        <v>55</v>
      </c>
      <c r="AY35" s="69">
        <v>65</v>
      </c>
      <c r="AZ35" s="434">
        <v>148</v>
      </c>
      <c r="BA35" s="69">
        <v>189</v>
      </c>
      <c r="BB35" s="69">
        <v>223</v>
      </c>
      <c r="BC35" s="69">
        <v>224</v>
      </c>
      <c r="BD35" s="69">
        <v>204</v>
      </c>
      <c r="BE35" s="69">
        <v>126</v>
      </c>
      <c r="BF35" s="69">
        <v>130</v>
      </c>
      <c r="BG35" s="69">
        <v>307</v>
      </c>
      <c r="BH35" s="69">
        <v>205</v>
      </c>
      <c r="BI35" s="69">
        <v>230</v>
      </c>
    </row>
    <row r="36" spans="1:62" x14ac:dyDescent="0.25">
      <c r="A36" s="17"/>
      <c r="B36" s="21" t="s">
        <v>60</v>
      </c>
      <c r="C36" s="24"/>
      <c r="D36" s="24"/>
      <c r="E36" s="24"/>
      <c r="F36" s="24"/>
      <c r="G36" s="24"/>
      <c r="H36" s="24"/>
      <c r="I36" s="24"/>
      <c r="J36" s="24"/>
      <c r="S36" s="189"/>
      <c r="T36" s="189"/>
      <c r="U36" s="189"/>
      <c r="V36" s="189"/>
      <c r="W36" s="189"/>
      <c r="X36" s="189"/>
      <c r="Z36" s="261"/>
      <c r="AA36" s="152"/>
      <c r="AB36" s="152"/>
      <c r="AC36" s="190"/>
      <c r="AD36" s="190"/>
      <c r="AE36" s="190"/>
      <c r="AF36" s="152"/>
      <c r="AG36" s="152"/>
      <c r="AH36" s="152"/>
      <c r="AI36" s="152"/>
      <c r="AJ36" s="152"/>
      <c r="AK36" s="152"/>
      <c r="AL36" s="152"/>
      <c r="AM36" s="152"/>
      <c r="AN36" s="434"/>
      <c r="AO36" s="456">
        <v>279</v>
      </c>
      <c r="AP36" s="456">
        <v>415</v>
      </c>
      <c r="AQ36" s="456">
        <v>413</v>
      </c>
      <c r="AR36" s="74">
        <v>370</v>
      </c>
      <c r="AS36" s="74">
        <v>376</v>
      </c>
      <c r="AT36" s="74">
        <v>356</v>
      </c>
      <c r="AU36" s="74">
        <v>356</v>
      </c>
      <c r="AV36" s="74">
        <v>320</v>
      </c>
      <c r="AW36" s="69">
        <v>324</v>
      </c>
      <c r="AX36" s="69">
        <v>297</v>
      </c>
      <c r="AY36" s="69">
        <v>320</v>
      </c>
      <c r="AZ36" s="434">
        <v>310</v>
      </c>
      <c r="BA36" s="69">
        <v>331</v>
      </c>
      <c r="BB36" s="69">
        <v>349</v>
      </c>
      <c r="BC36" s="69">
        <v>359</v>
      </c>
      <c r="BD36" s="69">
        <v>326</v>
      </c>
      <c r="BE36" s="69">
        <v>326</v>
      </c>
      <c r="BF36" s="69">
        <v>297</v>
      </c>
      <c r="BG36" s="69">
        <v>313</v>
      </c>
      <c r="BH36" s="69">
        <v>269</v>
      </c>
      <c r="BI36" s="69">
        <v>253</v>
      </c>
    </row>
    <row r="37" spans="1:62" x14ac:dyDescent="0.25">
      <c r="A37" s="17"/>
      <c r="B37" s="21" t="s">
        <v>61</v>
      </c>
      <c r="C37" s="24"/>
      <c r="D37" s="24"/>
      <c r="E37" s="24"/>
      <c r="F37" s="24"/>
      <c r="G37" s="24"/>
      <c r="H37" s="24"/>
      <c r="I37" s="24"/>
      <c r="J37" s="24"/>
      <c r="S37" s="189"/>
      <c r="T37" s="189"/>
      <c r="U37" s="189"/>
      <c r="V37" s="189"/>
      <c r="W37" s="189"/>
      <c r="X37" s="189"/>
      <c r="Z37" s="261"/>
      <c r="AA37" s="152"/>
      <c r="AB37" s="152"/>
      <c r="AC37" s="190"/>
      <c r="AD37" s="190"/>
      <c r="AE37" s="190"/>
      <c r="AF37" s="152"/>
      <c r="AG37" s="152"/>
      <c r="AH37" s="152"/>
      <c r="AI37" s="152"/>
      <c r="AJ37" s="152"/>
      <c r="AK37" s="152"/>
      <c r="AL37" s="152"/>
      <c r="AM37" s="152"/>
      <c r="AN37" s="434"/>
      <c r="AO37" s="456">
        <v>8159</v>
      </c>
      <c r="AP37" s="456">
        <v>11763</v>
      </c>
      <c r="AQ37" s="456">
        <v>12207</v>
      </c>
      <c r="AR37" s="434">
        <v>11764</v>
      </c>
      <c r="AS37" s="434">
        <v>12241</v>
      </c>
      <c r="AT37" s="434">
        <v>12173</v>
      </c>
      <c r="AU37" s="434">
        <v>12712</v>
      </c>
      <c r="AV37" s="434">
        <v>12204</v>
      </c>
      <c r="AW37" s="582">
        <v>12833</v>
      </c>
      <c r="AX37" s="582">
        <v>12479</v>
      </c>
      <c r="AY37" s="582">
        <v>13143</v>
      </c>
      <c r="AZ37" s="434">
        <v>12980</v>
      </c>
      <c r="BA37" s="69">
        <v>14390</v>
      </c>
      <c r="BB37" s="69">
        <v>14368</v>
      </c>
      <c r="BC37" s="69">
        <v>14849</v>
      </c>
      <c r="BD37" s="69">
        <v>14411</v>
      </c>
      <c r="BE37" s="69">
        <v>14536</v>
      </c>
      <c r="BF37" s="69">
        <v>13798</v>
      </c>
      <c r="BG37" s="69">
        <v>13963</v>
      </c>
      <c r="BH37" s="69">
        <v>12702</v>
      </c>
      <c r="BI37" s="69">
        <v>14392</v>
      </c>
    </row>
    <row r="38" spans="1:62" x14ac:dyDescent="0.25">
      <c r="A38" s="17"/>
      <c r="B38" s="484" t="s">
        <v>65</v>
      </c>
      <c r="C38" s="24"/>
      <c r="D38" s="24"/>
      <c r="E38" s="24"/>
      <c r="F38" s="24"/>
      <c r="G38" s="24"/>
      <c r="H38" s="24"/>
      <c r="I38" s="24"/>
      <c r="J38" s="24"/>
      <c r="S38" s="189"/>
      <c r="T38" s="189"/>
      <c r="U38" s="189"/>
      <c r="V38" s="189"/>
      <c r="W38" s="189"/>
      <c r="X38" s="189"/>
      <c r="Z38" s="261"/>
      <c r="AA38" s="152"/>
      <c r="AB38" s="152"/>
      <c r="AC38" s="190"/>
      <c r="AD38" s="190"/>
      <c r="AE38" s="190"/>
      <c r="AF38" s="152"/>
      <c r="AG38" s="152"/>
      <c r="AH38" s="152"/>
      <c r="AI38" s="152"/>
      <c r="AJ38" s="152"/>
      <c r="AK38" s="152"/>
      <c r="AL38" s="152"/>
      <c r="AM38" s="152"/>
      <c r="AN38" s="485"/>
      <c r="AO38" s="486">
        <f t="shared" ref="AO38:AT38" si="11">SUM(AO32:AO37)</f>
        <v>16939</v>
      </c>
      <c r="AP38" s="486">
        <f t="shared" si="11"/>
        <v>26661</v>
      </c>
      <c r="AQ38" s="486">
        <f t="shared" si="11"/>
        <v>27954</v>
      </c>
      <c r="AR38" s="486">
        <f t="shared" si="11"/>
        <v>26381</v>
      </c>
      <c r="AS38" s="486">
        <f t="shared" si="11"/>
        <v>27794</v>
      </c>
      <c r="AT38" s="486">
        <f t="shared" si="11"/>
        <v>27601</v>
      </c>
      <c r="AU38" s="486">
        <f t="shared" ref="AU38:BJ38" si="12">SUM(AU32:AU37)</f>
        <v>29306</v>
      </c>
      <c r="AV38" s="486">
        <f t="shared" si="12"/>
        <v>27937</v>
      </c>
      <c r="AW38" s="486">
        <f t="shared" si="12"/>
        <v>29999</v>
      </c>
      <c r="AX38" s="486">
        <f t="shared" si="12"/>
        <v>29108</v>
      </c>
      <c r="AY38" s="486">
        <f t="shared" si="12"/>
        <v>31312</v>
      </c>
      <c r="AZ38" s="485">
        <f t="shared" si="12"/>
        <v>30693</v>
      </c>
      <c r="BA38" s="485">
        <f t="shared" si="12"/>
        <v>34545</v>
      </c>
      <c r="BB38" s="485">
        <f t="shared" si="12"/>
        <v>34812</v>
      </c>
      <c r="BC38" s="485">
        <f t="shared" si="12"/>
        <v>218183</v>
      </c>
      <c r="BD38" s="485">
        <f t="shared" si="12"/>
        <v>33711</v>
      </c>
      <c r="BE38" s="485">
        <f t="shared" si="12"/>
        <v>34058</v>
      </c>
      <c r="BF38" s="485">
        <f t="shared" si="12"/>
        <v>31896</v>
      </c>
      <c r="BG38" s="485">
        <f t="shared" si="12"/>
        <v>33544</v>
      </c>
      <c r="BH38" s="485">
        <f t="shared" si="12"/>
        <v>30461</v>
      </c>
      <c r="BI38" s="485">
        <f t="shared" si="12"/>
        <v>30227</v>
      </c>
      <c r="BJ38" s="678">
        <f t="shared" si="12"/>
        <v>0</v>
      </c>
    </row>
    <row r="39" spans="1:62" x14ac:dyDescent="0.25">
      <c r="A39" s="17"/>
      <c r="B39" s="21" t="s">
        <v>59</v>
      </c>
      <c r="C39" s="24"/>
      <c r="D39" s="24"/>
      <c r="E39" s="24"/>
      <c r="F39" s="24"/>
      <c r="G39" s="24"/>
      <c r="H39" s="24"/>
      <c r="I39" s="24"/>
      <c r="J39" s="24"/>
      <c r="S39" s="189"/>
      <c r="T39" s="189"/>
      <c r="U39" s="189"/>
      <c r="V39" s="189"/>
      <c r="W39" s="189"/>
      <c r="X39" s="189"/>
      <c r="Z39" s="261"/>
      <c r="AA39" s="152"/>
      <c r="AB39" s="152"/>
      <c r="AC39" s="190"/>
      <c r="AD39" s="190"/>
      <c r="AE39" s="190"/>
      <c r="AF39" s="152"/>
      <c r="AG39" s="152"/>
      <c r="AH39" s="152"/>
      <c r="AI39" s="152"/>
      <c r="AJ39" s="152"/>
      <c r="AK39" s="152"/>
      <c r="AL39" s="152"/>
      <c r="AM39" s="152"/>
      <c r="AN39" s="434"/>
      <c r="AO39" s="456"/>
      <c r="AP39" s="456"/>
      <c r="AQ39" s="456"/>
      <c r="AR39" s="538"/>
      <c r="AS39" s="538"/>
      <c r="AT39" s="538"/>
      <c r="AU39" s="538"/>
      <c r="AV39" s="538"/>
      <c r="AW39" s="69"/>
      <c r="AX39" s="69">
        <v>18</v>
      </c>
      <c r="AY39" s="69">
        <v>19</v>
      </c>
      <c r="AZ39" s="434">
        <v>38</v>
      </c>
      <c r="BA39" s="69">
        <v>58</v>
      </c>
      <c r="BB39" s="69">
        <v>68</v>
      </c>
      <c r="BC39" s="69">
        <v>83</v>
      </c>
      <c r="BD39" s="69">
        <v>83</v>
      </c>
      <c r="BE39" s="69">
        <v>57</v>
      </c>
      <c r="BF39" s="69">
        <v>59</v>
      </c>
      <c r="BG39" s="69">
        <v>61</v>
      </c>
      <c r="BH39" s="69">
        <v>54</v>
      </c>
      <c r="BI39" s="69">
        <v>57</v>
      </c>
    </row>
    <row r="40" spans="1:62" x14ac:dyDescent="0.25">
      <c r="A40" s="17"/>
      <c r="B40" s="21" t="s">
        <v>60</v>
      </c>
      <c r="C40" s="24"/>
      <c r="D40" s="24"/>
      <c r="E40" s="24"/>
      <c r="F40" s="24"/>
      <c r="G40" s="24"/>
      <c r="H40" s="24"/>
      <c r="I40" s="24"/>
      <c r="J40" s="24"/>
      <c r="S40" s="189"/>
      <c r="T40" s="189"/>
      <c r="U40" s="189"/>
      <c r="V40" s="189"/>
      <c r="W40" s="189"/>
      <c r="X40" s="189"/>
      <c r="Z40" s="261"/>
      <c r="AA40" s="152"/>
      <c r="AB40" s="152"/>
      <c r="AC40" s="190"/>
      <c r="AD40" s="190"/>
      <c r="AE40" s="190"/>
      <c r="AF40" s="152"/>
      <c r="AG40" s="152"/>
      <c r="AH40" s="152"/>
      <c r="AI40" s="152"/>
      <c r="AJ40" s="152"/>
      <c r="AK40" s="152"/>
      <c r="AL40" s="152"/>
      <c r="AM40" s="152"/>
      <c r="AN40" s="434"/>
      <c r="AO40" s="456">
        <v>131</v>
      </c>
      <c r="AP40" s="456">
        <v>198</v>
      </c>
      <c r="AQ40" s="456">
        <v>217</v>
      </c>
      <c r="AR40" s="74">
        <v>172</v>
      </c>
      <c r="AS40" s="557">
        <v>0</v>
      </c>
      <c r="AT40" s="557">
        <v>0</v>
      </c>
      <c r="AU40" s="557"/>
      <c r="AV40" s="557"/>
      <c r="AW40" s="69"/>
      <c r="AX40" s="69">
        <v>147</v>
      </c>
      <c r="AY40" s="69">
        <v>151</v>
      </c>
      <c r="AZ40" s="434">
        <v>146</v>
      </c>
      <c r="BA40" s="69">
        <v>150</v>
      </c>
      <c r="BB40" s="69">
        <v>155</v>
      </c>
      <c r="BC40" s="69">
        <v>151</v>
      </c>
      <c r="BD40" s="69">
        <v>131</v>
      </c>
      <c r="BE40" s="69">
        <v>129</v>
      </c>
      <c r="BF40" s="69">
        <v>126</v>
      </c>
      <c r="BG40" s="69">
        <v>137</v>
      </c>
      <c r="BH40" s="69">
        <v>114</v>
      </c>
      <c r="BI40" s="69">
        <v>89</v>
      </c>
    </row>
    <row r="41" spans="1:62" x14ac:dyDescent="0.25">
      <c r="A41" s="17"/>
      <c r="B41" s="21" t="s">
        <v>61</v>
      </c>
      <c r="C41" s="24"/>
      <c r="D41" s="24"/>
      <c r="E41" s="24"/>
      <c r="F41" s="24"/>
      <c r="G41" s="24"/>
      <c r="H41" s="24"/>
      <c r="I41" s="24"/>
      <c r="J41" s="24"/>
      <c r="S41" s="189"/>
      <c r="T41" s="189"/>
      <c r="U41" s="189"/>
      <c r="V41" s="189"/>
      <c r="W41" s="189"/>
      <c r="X41" s="189"/>
      <c r="Z41" s="261"/>
      <c r="AA41" s="152"/>
      <c r="AB41" s="152"/>
      <c r="AC41" s="190"/>
      <c r="AD41" s="190"/>
      <c r="AE41" s="190"/>
      <c r="AF41" s="152"/>
      <c r="AG41" s="152"/>
      <c r="AH41" s="152"/>
      <c r="AI41" s="152"/>
      <c r="AJ41" s="152"/>
      <c r="AK41" s="152"/>
      <c r="AL41" s="152"/>
      <c r="AM41" s="152"/>
      <c r="AN41" s="434"/>
      <c r="AO41" s="456"/>
      <c r="AP41" s="456"/>
      <c r="AQ41" s="456">
        <v>287</v>
      </c>
      <c r="AR41" s="74">
        <v>252</v>
      </c>
      <c r="AS41" s="74">
        <v>300</v>
      </c>
      <c r="AT41" s="74">
        <v>548</v>
      </c>
      <c r="AU41" s="74">
        <v>413</v>
      </c>
      <c r="AV41" s="74">
        <v>5226</v>
      </c>
      <c r="AW41" s="69">
        <v>5642</v>
      </c>
      <c r="AX41" s="69">
        <v>5809</v>
      </c>
      <c r="AY41" s="69">
        <v>5896</v>
      </c>
      <c r="AZ41" s="434">
        <v>6084</v>
      </c>
      <c r="BA41" s="69">
        <v>6833</v>
      </c>
      <c r="BB41" s="69">
        <v>6812</v>
      </c>
      <c r="BC41" s="69">
        <v>7118</v>
      </c>
      <c r="BD41" s="69">
        <v>6671</v>
      </c>
      <c r="BE41" s="69">
        <v>6590</v>
      </c>
      <c r="BF41" s="69">
        <v>6762</v>
      </c>
      <c r="BG41" s="69">
        <v>7055</v>
      </c>
      <c r="BH41" s="69">
        <v>6735</v>
      </c>
      <c r="BI41" s="69">
        <v>6766</v>
      </c>
    </row>
    <row r="42" spans="1:62" x14ac:dyDescent="0.25">
      <c r="A42" s="17"/>
      <c r="B42" s="21"/>
      <c r="C42" s="24"/>
      <c r="D42" s="24"/>
      <c r="E42" s="24"/>
      <c r="F42" s="24"/>
      <c r="G42" s="24"/>
      <c r="H42" s="24"/>
      <c r="I42" s="24"/>
      <c r="J42" s="24"/>
      <c r="S42" s="189"/>
      <c r="T42" s="189"/>
      <c r="U42" s="189"/>
      <c r="V42" s="189"/>
      <c r="W42" s="189"/>
      <c r="X42" s="189"/>
      <c r="Z42" s="261"/>
      <c r="AA42" s="152"/>
      <c r="AB42" s="152"/>
      <c r="AC42" s="190"/>
      <c r="AD42" s="190"/>
      <c r="AE42" s="190"/>
      <c r="AF42" s="152"/>
      <c r="AG42" s="152"/>
      <c r="AH42" s="152"/>
      <c r="AI42" s="152"/>
      <c r="AJ42" s="152"/>
      <c r="AK42" s="152"/>
      <c r="AL42" s="152"/>
      <c r="AM42" s="152"/>
      <c r="AN42" s="177"/>
      <c r="AO42" s="310"/>
      <c r="AP42" s="310"/>
      <c r="AQ42" s="511">
        <f>AQ40+AQ41</f>
        <v>504</v>
      </c>
      <c r="AR42" s="70"/>
      <c r="AS42" s="70"/>
      <c r="AT42" s="70"/>
      <c r="AU42" s="70"/>
      <c r="AV42" s="70"/>
    </row>
    <row r="43" spans="1:62" x14ac:dyDescent="0.25">
      <c r="A43" s="17"/>
      <c r="B43" s="21"/>
      <c r="C43" s="24"/>
      <c r="D43" s="24"/>
      <c r="E43" s="24"/>
      <c r="F43" s="24"/>
      <c r="G43" s="24"/>
      <c r="H43" s="24"/>
      <c r="I43" s="24"/>
      <c r="J43" s="24"/>
      <c r="S43" s="189"/>
      <c r="T43" s="189"/>
      <c r="U43" s="189"/>
      <c r="V43" s="189"/>
      <c r="W43" s="189"/>
      <c r="X43" s="189"/>
      <c r="Z43" s="261"/>
      <c r="AA43" s="152"/>
      <c r="AB43" s="152"/>
      <c r="AC43" s="190"/>
      <c r="AD43" s="190"/>
      <c r="AE43" s="190"/>
      <c r="AF43" s="152"/>
      <c r="AG43" s="152"/>
      <c r="AH43" s="152"/>
      <c r="AI43" s="152"/>
      <c r="AJ43" s="152"/>
      <c r="AK43" s="152"/>
      <c r="AL43" s="152"/>
      <c r="AM43" s="152"/>
      <c r="AN43" s="177"/>
      <c r="AO43" s="310"/>
      <c r="AP43" s="310"/>
      <c r="AQ43" s="310"/>
      <c r="AR43" s="70"/>
      <c r="AS43" s="70"/>
      <c r="AT43" s="70"/>
      <c r="AU43" s="70"/>
      <c r="AV43" s="70"/>
    </row>
    <row r="44" spans="1:62" x14ac:dyDescent="0.25">
      <c r="A44" s="17"/>
      <c r="B44" s="21"/>
      <c r="C44" s="24"/>
      <c r="D44" s="24"/>
      <c r="E44" s="24"/>
      <c r="F44" s="24"/>
      <c r="G44" s="24"/>
      <c r="H44" s="24"/>
      <c r="I44" s="24"/>
      <c r="J44" s="24"/>
      <c r="Z44" s="261"/>
      <c r="AM44" s="69"/>
      <c r="AR44" s="70"/>
      <c r="AS44" s="70"/>
      <c r="AT44" s="70"/>
      <c r="AU44" s="70"/>
      <c r="AV44" s="70"/>
    </row>
    <row r="45" spans="1:62" x14ac:dyDescent="0.25">
      <c r="Z45" s="225"/>
      <c r="AM45" s="69"/>
      <c r="AR45" s="70"/>
      <c r="AS45" s="70"/>
      <c r="AT45" s="70"/>
      <c r="AU45" s="70"/>
      <c r="AV45" s="70"/>
    </row>
    <row r="46" spans="1:62" s="28" customFormat="1" ht="15" x14ac:dyDescent="0.3">
      <c r="B46" s="29" t="s">
        <v>63</v>
      </c>
      <c r="C46" s="30"/>
      <c r="V46" s="12"/>
      <c r="W46" s="12"/>
      <c r="Y46" s="225"/>
      <c r="Z46" s="225"/>
      <c r="AM46" s="437"/>
      <c r="AN46" s="73"/>
      <c r="AO46" s="73"/>
      <c r="AP46" s="73"/>
      <c r="AQ46" s="73"/>
      <c r="AR46" s="70"/>
      <c r="AS46" s="70"/>
      <c r="AT46" s="70"/>
      <c r="AU46" s="70"/>
      <c r="AV46" s="70"/>
    </row>
    <row r="47" spans="1:62" x14ac:dyDescent="0.25">
      <c r="B47" s="334" t="s">
        <v>57</v>
      </c>
      <c r="C47" s="31">
        <f t="shared" ref="C47:AN47" si="13">C3+C17</f>
        <v>196221.995</v>
      </c>
      <c r="D47" s="31">
        <f t="shared" si="13"/>
        <v>120157.71</v>
      </c>
      <c r="E47" s="31">
        <f t="shared" si="13"/>
        <v>196729.24900000001</v>
      </c>
      <c r="F47" s="31">
        <f t="shared" si="13"/>
        <v>359636.973</v>
      </c>
      <c r="G47" s="31">
        <f t="shared" si="13"/>
        <v>473303.55500000005</v>
      </c>
      <c r="H47" s="31">
        <f t="shared" si="13"/>
        <v>245397.77500000002</v>
      </c>
      <c r="I47" s="31">
        <f t="shared" si="13"/>
        <v>278706.83600000001</v>
      </c>
      <c r="J47" s="31">
        <f t="shared" si="13"/>
        <v>338734.86</v>
      </c>
      <c r="K47" s="31">
        <f t="shared" si="13"/>
        <v>314086.91499999998</v>
      </c>
      <c r="L47" s="31">
        <f t="shared" si="13"/>
        <v>298260.30800000002</v>
      </c>
      <c r="M47" s="31">
        <f t="shared" si="13"/>
        <v>309594.20299999998</v>
      </c>
      <c r="N47" s="31">
        <f t="shared" si="13"/>
        <v>408658.97319000005</v>
      </c>
      <c r="O47" s="31">
        <f t="shared" si="13"/>
        <v>341193.91000000003</v>
      </c>
      <c r="P47" s="31">
        <f t="shared" si="13"/>
        <v>323950.96000000002</v>
      </c>
      <c r="Q47" s="31">
        <f t="shared" si="13"/>
        <v>345942.29</v>
      </c>
      <c r="R47" s="31">
        <f t="shared" si="13"/>
        <v>380567.3</v>
      </c>
      <c r="S47" s="31">
        <f t="shared" si="13"/>
        <v>341206.57</v>
      </c>
      <c r="T47" s="204">
        <f t="shared" si="13"/>
        <v>303998.27</v>
      </c>
      <c r="U47" s="32">
        <f t="shared" si="13"/>
        <v>328677</v>
      </c>
      <c r="V47" s="10">
        <f t="shared" si="13"/>
        <v>380761</v>
      </c>
      <c r="W47" s="10">
        <f t="shared" si="13"/>
        <v>335223</v>
      </c>
      <c r="X47" s="206">
        <f t="shared" si="13"/>
        <v>310158</v>
      </c>
      <c r="Y47" s="264">
        <f t="shared" si="13"/>
        <v>319032</v>
      </c>
      <c r="Z47" s="281">
        <f t="shared" si="13"/>
        <v>426166</v>
      </c>
      <c r="AA47" s="264">
        <f t="shared" si="13"/>
        <v>375282</v>
      </c>
      <c r="AB47" s="349">
        <f t="shared" si="13"/>
        <v>269712</v>
      </c>
      <c r="AC47" s="264">
        <f t="shared" si="13"/>
        <v>297510</v>
      </c>
      <c r="AD47" s="264">
        <f t="shared" si="13"/>
        <v>323782</v>
      </c>
      <c r="AE47" s="264">
        <f t="shared" si="13"/>
        <v>287486.31374999997</v>
      </c>
      <c r="AF47" s="349">
        <f t="shared" si="13"/>
        <v>239301</v>
      </c>
      <c r="AG47" s="349">
        <f t="shared" si="13"/>
        <v>245351</v>
      </c>
      <c r="AH47" s="349">
        <f t="shared" si="13"/>
        <v>233201</v>
      </c>
      <c r="AI47" s="349">
        <f t="shared" si="13"/>
        <v>225591</v>
      </c>
      <c r="AJ47" s="349">
        <f t="shared" si="13"/>
        <v>203452.38</v>
      </c>
      <c r="AK47" s="349">
        <f t="shared" si="13"/>
        <v>197930</v>
      </c>
      <c r="AL47" s="349">
        <f t="shared" si="13"/>
        <v>191017</v>
      </c>
      <c r="AM47" s="349">
        <f t="shared" si="13"/>
        <v>186145</v>
      </c>
      <c r="AN47" s="349">
        <f t="shared" si="13"/>
        <v>169705</v>
      </c>
      <c r="AO47" s="349">
        <f t="shared" ref="AO47:BI47" si="14">AO3+AO17+AO32</f>
        <v>192540</v>
      </c>
      <c r="AP47" s="349">
        <f t="shared" si="14"/>
        <v>186050</v>
      </c>
      <c r="AQ47" s="550">
        <f t="shared" si="14"/>
        <v>189537</v>
      </c>
      <c r="AR47" s="550">
        <f t="shared" si="14"/>
        <v>163227</v>
      </c>
      <c r="AS47" s="550">
        <f t="shared" si="14"/>
        <v>166049</v>
      </c>
      <c r="AT47" s="550">
        <f t="shared" si="14"/>
        <v>190707</v>
      </c>
      <c r="AU47" s="550">
        <f t="shared" si="14"/>
        <v>181754</v>
      </c>
      <c r="AV47" s="550">
        <f t="shared" si="14"/>
        <v>158198</v>
      </c>
      <c r="AW47" s="550">
        <f t="shared" si="14"/>
        <v>176044</v>
      </c>
      <c r="AX47" s="550">
        <f t="shared" si="14"/>
        <v>186739</v>
      </c>
      <c r="AY47" s="550">
        <f t="shared" si="14"/>
        <v>204984</v>
      </c>
      <c r="AZ47" s="550">
        <f t="shared" si="14"/>
        <v>213008.06953333327</v>
      </c>
      <c r="BA47" s="550">
        <f t="shared" si="14"/>
        <v>252552</v>
      </c>
      <c r="BB47" s="550">
        <f t="shared" si="14"/>
        <v>317844</v>
      </c>
      <c r="BC47" s="632">
        <f t="shared" si="14"/>
        <v>463236</v>
      </c>
      <c r="BD47" s="550">
        <f t="shared" si="14"/>
        <v>234636</v>
      </c>
      <c r="BE47" s="550">
        <f t="shared" si="14"/>
        <v>282148</v>
      </c>
      <c r="BF47" s="550">
        <f t="shared" si="14"/>
        <v>318115</v>
      </c>
      <c r="BG47" s="550">
        <f t="shared" si="14"/>
        <v>287703</v>
      </c>
      <c r="BH47" s="550">
        <f t="shared" si="14"/>
        <v>249235.41801666666</v>
      </c>
      <c r="BI47" s="550">
        <f t="shared" si="14"/>
        <v>254426</v>
      </c>
    </row>
    <row r="48" spans="1:62" ht="15.75" x14ac:dyDescent="0.25">
      <c r="B48" s="334" t="s">
        <v>58</v>
      </c>
      <c r="T48" s="204"/>
      <c r="U48" s="28"/>
      <c r="X48" s="28"/>
      <c r="Y48" s="246"/>
      <c r="Z48" s="282"/>
      <c r="AA48" s="39"/>
      <c r="AB48" s="39"/>
      <c r="AC48" s="264"/>
      <c r="AD48" s="264"/>
      <c r="AE48" s="39"/>
      <c r="AF48" s="39"/>
      <c r="AG48" s="39"/>
      <c r="AH48" s="39"/>
      <c r="AI48" s="39"/>
      <c r="AJ48" s="39"/>
      <c r="AK48" s="39"/>
      <c r="AL48" s="39"/>
      <c r="AM48" s="435"/>
      <c r="AO48" s="498"/>
      <c r="AP48" s="505"/>
      <c r="AQ48" s="506"/>
      <c r="AR48" s="538"/>
      <c r="AS48" s="538"/>
      <c r="AT48" s="538"/>
      <c r="AU48" s="538"/>
      <c r="AV48" s="538"/>
      <c r="AW48" s="69"/>
      <c r="AX48" s="69"/>
      <c r="AY48" s="69"/>
      <c r="BA48" s="280"/>
      <c r="BD48" s="69"/>
      <c r="BE48" s="442"/>
      <c r="BF48" s="442"/>
      <c r="BG48" s="442"/>
      <c r="BH48" s="442"/>
      <c r="BI48" s="442"/>
    </row>
    <row r="49" spans="1:73" x14ac:dyDescent="0.25">
      <c r="B49" s="335" t="s">
        <v>111</v>
      </c>
      <c r="T49" s="204">
        <f t="shared" ref="T49:AN49" si="15">T5+T19</f>
        <v>9461.75</v>
      </c>
      <c r="U49" s="204">
        <f t="shared" si="15"/>
        <v>12177</v>
      </c>
      <c r="V49" s="13">
        <f t="shared" si="15"/>
        <v>13900</v>
      </c>
      <c r="W49" s="13">
        <f t="shared" si="15"/>
        <v>12089</v>
      </c>
      <c r="X49" s="207">
        <f t="shared" si="15"/>
        <v>10983</v>
      </c>
      <c r="Y49" s="304">
        <f t="shared" si="15"/>
        <v>12193</v>
      </c>
      <c r="Z49" s="281">
        <f t="shared" si="15"/>
        <v>14413</v>
      </c>
      <c r="AA49" s="264">
        <f t="shared" si="15"/>
        <v>12021</v>
      </c>
      <c r="AB49" s="349">
        <f t="shared" si="15"/>
        <v>10721</v>
      </c>
      <c r="AC49" s="264">
        <f t="shared" si="15"/>
        <v>11884</v>
      </c>
      <c r="AD49" s="264">
        <f t="shared" si="15"/>
        <v>12938</v>
      </c>
      <c r="AE49" s="264">
        <f t="shared" si="15"/>
        <v>10166.540000000001</v>
      </c>
      <c r="AF49" s="349">
        <f t="shared" si="15"/>
        <v>7433</v>
      </c>
      <c r="AG49" s="349">
        <f t="shared" si="15"/>
        <v>8110</v>
      </c>
      <c r="AH49" s="349">
        <f t="shared" si="15"/>
        <v>7325</v>
      </c>
      <c r="AI49" s="349">
        <f t="shared" si="15"/>
        <v>8117</v>
      </c>
      <c r="AJ49" s="349">
        <f t="shared" si="15"/>
        <v>7418</v>
      </c>
      <c r="AK49" s="349">
        <f t="shared" si="15"/>
        <v>6559</v>
      </c>
      <c r="AL49" s="349">
        <f t="shared" si="15"/>
        <v>6296</v>
      </c>
      <c r="AM49" s="349">
        <f t="shared" si="15"/>
        <v>6420</v>
      </c>
      <c r="AN49" s="349">
        <f t="shared" si="15"/>
        <v>5394</v>
      </c>
      <c r="AO49" s="349">
        <f t="shared" ref="AO49:BI49" si="16">AO5+AO19+AO34</f>
        <v>6152</v>
      </c>
      <c r="AP49" s="349">
        <f t="shared" si="16"/>
        <v>7399</v>
      </c>
      <c r="AQ49" s="550">
        <f t="shared" si="16"/>
        <v>6246</v>
      </c>
      <c r="AR49" s="550">
        <f t="shared" si="16"/>
        <v>5586</v>
      </c>
      <c r="AS49" s="550">
        <f t="shared" si="16"/>
        <v>6475</v>
      </c>
      <c r="AT49" s="550">
        <f t="shared" si="16"/>
        <v>7622.2</v>
      </c>
      <c r="AU49" s="550">
        <f t="shared" si="16"/>
        <v>7278</v>
      </c>
      <c r="AV49" s="550">
        <f t="shared" si="16"/>
        <v>7033</v>
      </c>
      <c r="AW49" s="550">
        <f t="shared" si="16"/>
        <v>9288</v>
      </c>
      <c r="AX49" s="550">
        <f t="shared" si="16"/>
        <v>14362</v>
      </c>
      <c r="AY49" s="550"/>
      <c r="AZ49" s="550">
        <f t="shared" si="16"/>
        <v>10</v>
      </c>
      <c r="BA49" s="550">
        <f t="shared" si="16"/>
        <v>10</v>
      </c>
      <c r="BB49" s="550">
        <f t="shared" si="16"/>
        <v>12</v>
      </c>
      <c r="BC49" s="550">
        <f t="shared" si="16"/>
        <v>13</v>
      </c>
      <c r="BD49" s="550">
        <f t="shared" si="16"/>
        <v>15</v>
      </c>
      <c r="BE49" s="550">
        <f t="shared" si="16"/>
        <v>14</v>
      </c>
      <c r="BF49" s="550">
        <f t="shared" si="16"/>
        <v>15</v>
      </c>
      <c r="BG49" s="550">
        <f t="shared" si="16"/>
        <v>18</v>
      </c>
      <c r="BH49" s="550">
        <f t="shared" si="16"/>
        <v>16</v>
      </c>
      <c r="BI49" s="550">
        <f t="shared" si="16"/>
        <v>18</v>
      </c>
    </row>
    <row r="50" spans="1:73" x14ac:dyDescent="0.25">
      <c r="B50" s="334" t="s">
        <v>59</v>
      </c>
      <c r="C50" s="27">
        <f t="shared" ref="C50:S50" si="17">C6+C20</f>
        <v>47615.635999999999</v>
      </c>
      <c r="D50" s="27">
        <f t="shared" si="17"/>
        <v>10719.262000000001</v>
      </c>
      <c r="E50" s="27">
        <f t="shared" si="17"/>
        <v>34278.609000000004</v>
      </c>
      <c r="F50" s="27">
        <f t="shared" si="17"/>
        <v>62561.620999999999</v>
      </c>
      <c r="G50" s="27">
        <f t="shared" si="17"/>
        <v>81207.133000000002</v>
      </c>
      <c r="H50" s="27">
        <f t="shared" si="17"/>
        <v>7686.50857</v>
      </c>
      <c r="I50" s="27">
        <f t="shared" si="17"/>
        <v>9689.1029999999992</v>
      </c>
      <c r="J50" s="27">
        <f t="shared" si="17"/>
        <v>14165.880429999999</v>
      </c>
      <c r="K50" s="27">
        <f t="shared" si="17"/>
        <v>9843.6837486116092</v>
      </c>
      <c r="L50" s="27">
        <f t="shared" si="17"/>
        <v>7529.5777799999996</v>
      </c>
      <c r="M50" s="27">
        <f t="shared" si="17"/>
        <v>9464.3790000000008</v>
      </c>
      <c r="N50" s="27">
        <f t="shared" si="17"/>
        <v>15027.63285</v>
      </c>
      <c r="O50" s="27">
        <f t="shared" si="17"/>
        <v>10864.371999999999</v>
      </c>
      <c r="P50" s="27">
        <f t="shared" si="17"/>
        <v>12941.814669999998</v>
      </c>
      <c r="Q50" s="27">
        <f t="shared" si="17"/>
        <v>9662.2099999999991</v>
      </c>
      <c r="R50" s="27">
        <f t="shared" si="17"/>
        <v>14093.54</v>
      </c>
      <c r="S50" s="27">
        <f t="shared" si="17"/>
        <v>12882.79</v>
      </c>
      <c r="T50" s="32">
        <f t="shared" ref="T50:AN50" si="18">T6+T20</f>
        <v>10109.560000000001</v>
      </c>
      <c r="U50" s="32">
        <f t="shared" si="18"/>
        <v>11612</v>
      </c>
      <c r="V50" s="10">
        <f t="shared" si="18"/>
        <v>14986</v>
      </c>
      <c r="W50" s="10">
        <f t="shared" si="18"/>
        <v>11743</v>
      </c>
      <c r="X50" s="206">
        <f t="shared" si="18"/>
        <v>10235</v>
      </c>
      <c r="Y50" s="304">
        <f t="shared" si="18"/>
        <v>12197</v>
      </c>
      <c r="Z50" s="281">
        <f t="shared" si="18"/>
        <v>15134</v>
      </c>
      <c r="AA50" s="264">
        <f t="shared" si="18"/>
        <v>12551</v>
      </c>
      <c r="AB50" s="349">
        <f t="shared" si="18"/>
        <v>11759</v>
      </c>
      <c r="AC50" s="264">
        <f t="shared" si="18"/>
        <v>15687</v>
      </c>
      <c r="AD50" s="264">
        <f t="shared" si="18"/>
        <v>21348</v>
      </c>
      <c r="AE50" s="264">
        <f t="shared" si="18"/>
        <v>19081.8720333333</v>
      </c>
      <c r="AF50" s="349">
        <f t="shared" si="18"/>
        <v>15657</v>
      </c>
      <c r="AG50" s="349">
        <f t="shared" si="18"/>
        <v>20479</v>
      </c>
      <c r="AH50" s="349">
        <f t="shared" si="18"/>
        <v>23042</v>
      </c>
      <c r="AI50" s="349">
        <f t="shared" si="18"/>
        <v>21616</v>
      </c>
      <c r="AJ50" s="349">
        <f t="shared" si="18"/>
        <v>19521</v>
      </c>
      <c r="AK50" s="349">
        <f t="shared" si="18"/>
        <v>19370</v>
      </c>
      <c r="AL50" s="349">
        <f t="shared" si="18"/>
        <v>23921</v>
      </c>
      <c r="AM50" s="349">
        <f t="shared" si="18"/>
        <v>29338</v>
      </c>
      <c r="AN50" s="349">
        <f t="shared" si="18"/>
        <v>26608</v>
      </c>
      <c r="AO50" s="349">
        <f t="shared" ref="AO50:BB50" si="19">AO6+AO20+AO35</f>
        <v>29740</v>
      </c>
      <c r="AP50" s="349">
        <f t="shared" si="19"/>
        <v>36239</v>
      </c>
      <c r="AQ50" s="550">
        <f t="shared" si="19"/>
        <v>32048</v>
      </c>
      <c r="AR50" s="550">
        <f t="shared" si="19"/>
        <v>27830</v>
      </c>
      <c r="AS50" s="550">
        <f t="shared" si="19"/>
        <v>29176</v>
      </c>
      <c r="AT50" s="550">
        <f t="shared" si="19"/>
        <v>38661</v>
      </c>
      <c r="AU50" s="550">
        <f t="shared" si="19"/>
        <v>38821</v>
      </c>
      <c r="AV50" s="550">
        <f t="shared" si="19"/>
        <v>36266</v>
      </c>
      <c r="AW50" s="550">
        <f t="shared" si="19"/>
        <v>43285</v>
      </c>
      <c r="AX50" s="550">
        <f t="shared" si="19"/>
        <v>46573</v>
      </c>
      <c r="AY50" s="550">
        <f t="shared" si="19"/>
        <v>55486</v>
      </c>
      <c r="AZ50" s="550">
        <f t="shared" si="19"/>
        <v>56996.309783333301</v>
      </c>
      <c r="BA50" s="550">
        <f t="shared" si="19"/>
        <v>91207</v>
      </c>
      <c r="BB50" s="550">
        <f t="shared" si="19"/>
        <v>83626</v>
      </c>
      <c r="BC50" s="632">
        <f t="shared" ref="BC50:BI50" si="20">BC6+BC20+BC35</f>
        <v>78967</v>
      </c>
      <c r="BD50" s="550">
        <f t="shared" si="20"/>
        <v>75082</v>
      </c>
      <c r="BE50" s="550">
        <f t="shared" si="20"/>
        <v>82845</v>
      </c>
      <c r="BF50" s="550">
        <f t="shared" si="20"/>
        <v>91248</v>
      </c>
      <c r="BG50" s="550">
        <f t="shared" si="20"/>
        <v>89596</v>
      </c>
      <c r="BH50" s="550">
        <f t="shared" si="20"/>
        <v>77766</v>
      </c>
      <c r="BI50" s="550">
        <f t="shared" si="20"/>
        <v>79184</v>
      </c>
    </row>
    <row r="51" spans="1:73" x14ac:dyDescent="0.25">
      <c r="B51" s="334" t="s">
        <v>60</v>
      </c>
      <c r="C51" s="27">
        <f t="shared" ref="C51:S51" si="21">C7+C21</f>
        <v>3575.4095000000002</v>
      </c>
      <c r="D51" s="27">
        <f t="shared" si="21"/>
        <v>2299.3339999999998</v>
      </c>
      <c r="E51" s="27">
        <f t="shared" si="21"/>
        <v>3146.5140000000001</v>
      </c>
      <c r="F51" s="27">
        <f t="shared" si="21"/>
        <v>4539.8719999999994</v>
      </c>
      <c r="G51" s="27">
        <f t="shared" si="21"/>
        <v>5000.7269999999999</v>
      </c>
      <c r="H51" s="27">
        <f t="shared" si="21"/>
        <v>1922.5240000000001</v>
      </c>
      <c r="I51" s="27">
        <f t="shared" si="21"/>
        <v>1863.6149999999998</v>
      </c>
      <c r="J51" s="27">
        <f t="shared" si="21"/>
        <v>2242.9580000000001</v>
      </c>
      <c r="K51" s="27">
        <f t="shared" si="21"/>
        <v>1823.415</v>
      </c>
      <c r="L51" s="27">
        <f t="shared" si="21"/>
        <v>1216.4970000000001</v>
      </c>
      <c r="M51" s="27">
        <f t="shared" si="21"/>
        <v>1876.212</v>
      </c>
      <c r="N51" s="27">
        <f t="shared" si="21"/>
        <v>2371.2690000000002</v>
      </c>
      <c r="O51" s="27">
        <f t="shared" si="21"/>
        <v>2027.1510000000001</v>
      </c>
      <c r="P51" s="27">
        <f t="shared" si="21"/>
        <v>1311.48693</v>
      </c>
      <c r="Q51" s="27">
        <f t="shared" si="21"/>
        <v>1343.06</v>
      </c>
      <c r="R51" s="27">
        <f t="shared" si="21"/>
        <v>1579.52</v>
      </c>
      <c r="S51" s="27">
        <f t="shared" si="21"/>
        <v>1371.5900000000001</v>
      </c>
      <c r="T51" s="32">
        <f t="shared" ref="T51:AN51" si="22">T7+T21</f>
        <v>1300.6399999999999</v>
      </c>
      <c r="U51" s="32">
        <f t="shared" si="22"/>
        <v>1146</v>
      </c>
      <c r="V51" s="10">
        <f t="shared" si="22"/>
        <v>1436</v>
      </c>
      <c r="W51" s="10">
        <f t="shared" si="22"/>
        <v>1292</v>
      </c>
      <c r="X51" s="206">
        <f t="shared" si="22"/>
        <v>1180</v>
      </c>
      <c r="Y51" s="304">
        <f t="shared" si="22"/>
        <v>1147</v>
      </c>
      <c r="Z51" s="281">
        <f t="shared" si="22"/>
        <v>1307</v>
      </c>
      <c r="AA51" s="264">
        <f t="shared" si="22"/>
        <v>1146</v>
      </c>
      <c r="AB51" s="349">
        <f t="shared" si="22"/>
        <v>1025</v>
      </c>
      <c r="AC51" s="264">
        <f t="shared" si="22"/>
        <v>1119</v>
      </c>
      <c r="AD51" s="264">
        <f t="shared" si="22"/>
        <v>1561</v>
      </c>
      <c r="AE51" s="264">
        <f t="shared" si="22"/>
        <v>1572.2660666666661</v>
      </c>
      <c r="AF51" s="349">
        <f t="shared" si="22"/>
        <v>1541</v>
      </c>
      <c r="AG51" s="349">
        <f t="shared" si="22"/>
        <v>1528</v>
      </c>
      <c r="AH51" s="349">
        <f t="shared" si="22"/>
        <v>1766</v>
      </c>
      <c r="AI51" s="349">
        <f t="shared" si="22"/>
        <v>1308</v>
      </c>
      <c r="AJ51" s="349">
        <f t="shared" si="22"/>
        <v>1717</v>
      </c>
      <c r="AK51" s="349">
        <f t="shared" si="22"/>
        <v>1596</v>
      </c>
      <c r="AL51" s="349">
        <f t="shared" si="22"/>
        <v>1867</v>
      </c>
      <c r="AM51" s="349">
        <f t="shared" si="22"/>
        <v>1679</v>
      </c>
      <c r="AN51" s="349">
        <f t="shared" si="22"/>
        <v>1538</v>
      </c>
      <c r="AO51" s="349">
        <f t="shared" ref="AO51:BB51" si="23">AO7+AO21+AO36</f>
        <v>1810</v>
      </c>
      <c r="AP51" s="349">
        <f t="shared" si="23"/>
        <v>2085</v>
      </c>
      <c r="AQ51" s="550">
        <f t="shared" si="23"/>
        <v>1902</v>
      </c>
      <c r="AR51" s="550">
        <f t="shared" si="23"/>
        <v>1700</v>
      </c>
      <c r="AS51" s="550">
        <f t="shared" si="23"/>
        <v>1722</v>
      </c>
      <c r="AT51" s="550">
        <f t="shared" si="23"/>
        <v>1854</v>
      </c>
      <c r="AU51" s="550">
        <f t="shared" si="23"/>
        <v>1982</v>
      </c>
      <c r="AV51" s="550">
        <f t="shared" si="23"/>
        <v>1065</v>
      </c>
      <c r="AW51" s="550">
        <f t="shared" si="23"/>
        <v>1126</v>
      </c>
      <c r="AX51" s="550">
        <f t="shared" si="23"/>
        <v>1940</v>
      </c>
      <c r="AY51" s="550">
        <f t="shared" si="23"/>
        <v>1978</v>
      </c>
      <c r="AZ51" s="550">
        <f t="shared" si="23"/>
        <v>2205</v>
      </c>
      <c r="BA51" s="550">
        <f t="shared" si="23"/>
        <v>2458</v>
      </c>
      <c r="BB51" s="550">
        <f t="shared" si="23"/>
        <v>2823</v>
      </c>
      <c r="BC51" s="632">
        <f t="shared" ref="BC51:BI51" si="24">BC7+BC21+BC36</f>
        <v>2595</v>
      </c>
      <c r="BD51" s="550">
        <f t="shared" si="24"/>
        <v>2255</v>
      </c>
      <c r="BE51" s="550">
        <f t="shared" si="24"/>
        <v>2326</v>
      </c>
      <c r="BF51" s="550">
        <f t="shared" si="24"/>
        <v>2509</v>
      </c>
      <c r="BG51" s="550">
        <f t="shared" si="24"/>
        <v>2767</v>
      </c>
      <c r="BH51" s="550">
        <f t="shared" si="24"/>
        <v>2488</v>
      </c>
      <c r="BI51" s="550">
        <f t="shared" si="24"/>
        <v>2603</v>
      </c>
    </row>
    <row r="52" spans="1:73" x14ac:dyDescent="0.25">
      <c r="B52" s="334" t="s">
        <v>61</v>
      </c>
      <c r="C52" s="27">
        <f t="shared" ref="C52:S52" si="25">C8+C22</f>
        <v>12735.960999999999</v>
      </c>
      <c r="D52" s="27">
        <f t="shared" si="25"/>
        <v>6554.6038571428599</v>
      </c>
      <c r="E52" s="27">
        <f t="shared" si="25"/>
        <v>11108.579142857139</v>
      </c>
      <c r="F52" s="27">
        <f t="shared" si="25"/>
        <v>19288.048285714289</v>
      </c>
      <c r="G52" s="27">
        <f t="shared" si="25"/>
        <v>24607.082000000002</v>
      </c>
      <c r="H52" s="27">
        <f t="shared" si="25"/>
        <v>7116.8980000000001</v>
      </c>
      <c r="I52" s="27">
        <f t="shared" si="25"/>
        <v>6929.5670000000009</v>
      </c>
      <c r="J52" s="27">
        <f t="shared" si="25"/>
        <v>9591.9222857142904</v>
      </c>
      <c r="K52" s="27">
        <f t="shared" si="25"/>
        <v>7033.4610000000002</v>
      </c>
      <c r="L52" s="27">
        <f t="shared" si="25"/>
        <v>5816.0079700000006</v>
      </c>
      <c r="M52" s="27">
        <f t="shared" si="25"/>
        <v>6545.8779999999997</v>
      </c>
      <c r="N52" s="27">
        <f t="shared" si="25"/>
        <v>7905.7692400000005</v>
      </c>
      <c r="O52" s="27">
        <f t="shared" si="25"/>
        <v>6265.1589999999997</v>
      </c>
      <c r="P52" s="27">
        <f t="shared" si="25"/>
        <v>5233.2172700000001</v>
      </c>
      <c r="Q52" s="27">
        <f t="shared" si="25"/>
        <v>5630.02</v>
      </c>
      <c r="R52" s="27">
        <f t="shared" si="25"/>
        <v>7300.8099999999995</v>
      </c>
      <c r="S52" s="27">
        <f t="shared" si="25"/>
        <v>5572.27</v>
      </c>
      <c r="T52" s="32">
        <f t="shared" ref="T52:AN52" si="26">T8+T22</f>
        <v>4849.2299999999996</v>
      </c>
      <c r="U52" s="32">
        <f t="shared" si="26"/>
        <v>5536.88</v>
      </c>
      <c r="V52" s="10">
        <f t="shared" si="26"/>
        <v>7352</v>
      </c>
      <c r="W52" s="10">
        <f t="shared" si="26"/>
        <v>5787</v>
      </c>
      <c r="X52" s="206">
        <f t="shared" si="26"/>
        <v>5666</v>
      </c>
      <c r="Y52" s="304">
        <f t="shared" si="26"/>
        <v>4932</v>
      </c>
      <c r="Z52" s="281">
        <f t="shared" si="26"/>
        <v>6190</v>
      </c>
      <c r="AA52" s="264">
        <f t="shared" si="26"/>
        <v>4438</v>
      </c>
      <c r="AB52" s="349">
        <f t="shared" si="26"/>
        <v>3700</v>
      </c>
      <c r="AC52" s="264">
        <f t="shared" si="26"/>
        <v>3754</v>
      </c>
      <c r="AD52" s="264">
        <f t="shared" si="26"/>
        <v>4795</v>
      </c>
      <c r="AE52" s="264">
        <f t="shared" si="26"/>
        <v>3538.6430999999984</v>
      </c>
      <c r="AF52" s="349">
        <f t="shared" si="26"/>
        <v>2945</v>
      </c>
      <c r="AG52" s="349">
        <f t="shared" si="26"/>
        <v>2880</v>
      </c>
      <c r="AH52" s="349">
        <f t="shared" si="26"/>
        <v>3795</v>
      </c>
      <c r="AI52" s="349">
        <f t="shared" si="26"/>
        <v>2399</v>
      </c>
      <c r="AJ52" s="349">
        <f t="shared" si="26"/>
        <v>2461</v>
      </c>
      <c r="AK52" s="349">
        <f t="shared" si="26"/>
        <v>2287</v>
      </c>
      <c r="AL52" s="349">
        <f t="shared" si="26"/>
        <v>3001</v>
      </c>
      <c r="AM52" s="349">
        <f t="shared" si="26"/>
        <v>2245</v>
      </c>
      <c r="AN52" s="349">
        <f t="shared" si="26"/>
        <v>2420</v>
      </c>
      <c r="AO52" s="349">
        <f t="shared" ref="AO52:BB52" si="27">AO8+AO22+AO37</f>
        <v>10317</v>
      </c>
      <c r="AP52" s="349">
        <f t="shared" si="27"/>
        <v>14391</v>
      </c>
      <c r="AQ52" s="550">
        <f t="shared" si="27"/>
        <v>14118</v>
      </c>
      <c r="AR52" s="550">
        <f t="shared" si="27"/>
        <v>13405</v>
      </c>
      <c r="AS52" s="550">
        <f t="shared" si="27"/>
        <v>13854.657999999999</v>
      </c>
      <c r="AT52" s="550">
        <f t="shared" si="27"/>
        <v>14222.257</v>
      </c>
      <c r="AU52" s="550">
        <f t="shared" si="27"/>
        <v>13986.14</v>
      </c>
      <c r="AV52" s="550">
        <f t="shared" si="27"/>
        <v>13310.4</v>
      </c>
      <c r="AW52" s="550">
        <f t="shared" si="27"/>
        <v>13997.78</v>
      </c>
      <c r="AX52" s="550">
        <f t="shared" si="27"/>
        <v>14215.27</v>
      </c>
      <c r="AY52" s="550">
        <f t="shared" si="27"/>
        <v>14411.4</v>
      </c>
      <c r="AZ52" s="550">
        <f t="shared" si="27"/>
        <v>13991</v>
      </c>
      <c r="BA52" s="550">
        <f t="shared" si="27"/>
        <v>17224</v>
      </c>
      <c r="BB52" s="550">
        <f t="shared" si="27"/>
        <v>18659</v>
      </c>
      <c r="BC52" s="632">
        <f t="shared" ref="BC52:BI52" si="28">BC8+BC22+BC37</f>
        <v>18204</v>
      </c>
      <c r="BD52" s="550">
        <f t="shared" si="28"/>
        <v>17269</v>
      </c>
      <c r="BE52" s="550">
        <f t="shared" si="28"/>
        <v>15381</v>
      </c>
      <c r="BF52" s="550">
        <f t="shared" si="28"/>
        <v>14753</v>
      </c>
      <c r="BG52" s="550">
        <f t="shared" si="28"/>
        <v>14756</v>
      </c>
      <c r="BH52" s="550">
        <f t="shared" si="28"/>
        <v>13448</v>
      </c>
      <c r="BI52" s="550">
        <f t="shared" si="28"/>
        <v>15181</v>
      </c>
    </row>
    <row r="53" spans="1:73" s="40" customFormat="1" x14ac:dyDescent="0.25">
      <c r="A53" s="42"/>
      <c r="B53" s="43" t="s">
        <v>65</v>
      </c>
      <c r="C53" s="44">
        <f>C52+C51+C50+C47</f>
        <v>260149.00149999998</v>
      </c>
      <c r="D53" s="44">
        <f t="shared" ref="D53:S53" si="29">D52+D51+D50+D47</f>
        <v>139730.90985714286</v>
      </c>
      <c r="E53" s="44">
        <f t="shared" si="29"/>
        <v>245262.95114285714</v>
      </c>
      <c r="F53" s="44">
        <f t="shared" si="29"/>
        <v>446026.51428571425</v>
      </c>
      <c r="G53" s="44">
        <f t="shared" si="29"/>
        <v>584118.49700000009</v>
      </c>
      <c r="H53" s="44">
        <f t="shared" si="29"/>
        <v>262123.70557000002</v>
      </c>
      <c r="I53" s="44">
        <f t="shared" si="29"/>
        <v>297189.12099999998</v>
      </c>
      <c r="J53" s="44">
        <f t="shared" si="29"/>
        <v>364735.62071571429</v>
      </c>
      <c r="K53" s="44">
        <f t="shared" si="29"/>
        <v>332787.47474861157</v>
      </c>
      <c r="L53" s="44">
        <f t="shared" si="29"/>
        <v>312822.39075000002</v>
      </c>
      <c r="M53" s="44">
        <f t="shared" si="29"/>
        <v>327480.67199999996</v>
      </c>
      <c r="N53" s="44">
        <f t="shared" si="29"/>
        <v>433963.64428000007</v>
      </c>
      <c r="O53" s="44">
        <f t="shared" si="29"/>
        <v>360350.59200000006</v>
      </c>
      <c r="P53" s="44">
        <f t="shared" si="29"/>
        <v>343437.47886999999</v>
      </c>
      <c r="Q53" s="44">
        <f t="shared" si="29"/>
        <v>362577.57999999996</v>
      </c>
      <c r="R53" s="44">
        <f t="shared" si="29"/>
        <v>403541.17</v>
      </c>
      <c r="S53" s="172">
        <f t="shared" si="29"/>
        <v>361033.22000000003</v>
      </c>
      <c r="T53" s="205">
        <f t="shared" ref="T53:AB53" si="30">T52+T51+T50+T47+T49</f>
        <v>329719.45</v>
      </c>
      <c r="U53" s="205">
        <f t="shared" si="30"/>
        <v>359148.88</v>
      </c>
      <c r="V53" s="16">
        <f t="shared" si="30"/>
        <v>418435</v>
      </c>
      <c r="W53" s="16">
        <f t="shared" si="30"/>
        <v>366134</v>
      </c>
      <c r="X53" s="200">
        <f t="shared" si="30"/>
        <v>338222</v>
      </c>
      <c r="Y53" s="253">
        <f t="shared" si="30"/>
        <v>349501</v>
      </c>
      <c r="Z53" s="283">
        <f t="shared" si="30"/>
        <v>463210</v>
      </c>
      <c r="AA53" s="263">
        <f t="shared" si="30"/>
        <v>405438</v>
      </c>
      <c r="AB53" s="348">
        <f t="shared" si="30"/>
        <v>296917</v>
      </c>
      <c r="AC53" s="298">
        <f t="shared" ref="AC53:AH53" si="31">AC52+AC51+AC50+AC47+AC49</f>
        <v>329954</v>
      </c>
      <c r="AD53" s="298">
        <f t="shared" si="31"/>
        <v>364424</v>
      </c>
      <c r="AE53" s="337">
        <f t="shared" si="31"/>
        <v>321845.63494999992</v>
      </c>
      <c r="AF53" s="347">
        <f t="shared" si="31"/>
        <v>266877</v>
      </c>
      <c r="AG53" s="347">
        <f t="shared" si="31"/>
        <v>278348</v>
      </c>
      <c r="AH53" s="347">
        <f t="shared" si="31"/>
        <v>269129</v>
      </c>
      <c r="AI53" s="347">
        <f t="shared" ref="AI53:AZ53" si="32">AI52+AI51+AI50+AI47+AI49</f>
        <v>259031</v>
      </c>
      <c r="AJ53" s="445">
        <f t="shared" si="32"/>
        <v>234569.38</v>
      </c>
      <c r="AK53" s="445">
        <f t="shared" si="32"/>
        <v>227742</v>
      </c>
      <c r="AL53" s="445">
        <f t="shared" si="32"/>
        <v>226102</v>
      </c>
      <c r="AM53" s="445">
        <f t="shared" si="32"/>
        <v>225827</v>
      </c>
      <c r="AN53" s="445">
        <f t="shared" si="32"/>
        <v>205665</v>
      </c>
      <c r="AO53" s="445">
        <f t="shared" si="32"/>
        <v>240559</v>
      </c>
      <c r="AP53" s="445">
        <f>AP52+AP51+AP50+AP47+AP49</f>
        <v>246164</v>
      </c>
      <c r="AQ53" s="551">
        <f t="shared" si="32"/>
        <v>243851</v>
      </c>
      <c r="AR53" s="551">
        <f t="shared" si="32"/>
        <v>211748</v>
      </c>
      <c r="AS53" s="551">
        <f t="shared" si="32"/>
        <v>217276.658</v>
      </c>
      <c r="AT53" s="551">
        <f t="shared" si="32"/>
        <v>253066.45699999999</v>
      </c>
      <c r="AU53" s="551">
        <f t="shared" si="32"/>
        <v>243821.14</v>
      </c>
      <c r="AV53" s="551">
        <f t="shared" si="32"/>
        <v>215872.4</v>
      </c>
      <c r="AW53" s="551">
        <f t="shared" si="32"/>
        <v>243740.78</v>
      </c>
      <c r="AX53" s="551">
        <f t="shared" si="32"/>
        <v>263829.27</v>
      </c>
      <c r="AY53" s="551">
        <f t="shared" si="32"/>
        <v>276859.40000000002</v>
      </c>
      <c r="AZ53" s="551">
        <f t="shared" si="32"/>
        <v>286210.37931666657</v>
      </c>
      <c r="BA53" s="551">
        <f t="shared" ref="BA53:BB53" si="33">BA52+BA51+BA50+BA47+BA49</f>
        <v>363451</v>
      </c>
      <c r="BB53" s="551">
        <f t="shared" si="33"/>
        <v>422964</v>
      </c>
      <c r="BC53" s="633">
        <f t="shared" ref="BC53:BI53" si="34">BC52+BC51+BC50+BC47+BC49</f>
        <v>563015</v>
      </c>
      <c r="BD53" s="551">
        <f t="shared" si="34"/>
        <v>329257</v>
      </c>
      <c r="BE53" s="551">
        <f t="shared" si="34"/>
        <v>382714</v>
      </c>
      <c r="BF53" s="551">
        <f t="shared" si="34"/>
        <v>426640</v>
      </c>
      <c r="BG53" s="551">
        <f t="shared" si="34"/>
        <v>394840</v>
      </c>
      <c r="BH53" s="551">
        <f t="shared" si="34"/>
        <v>342953.41801666666</v>
      </c>
      <c r="BI53" s="551">
        <f t="shared" si="34"/>
        <v>351412</v>
      </c>
    </row>
    <row r="54" spans="1:73" s="40" customFormat="1" x14ac:dyDescent="0.25">
      <c r="A54" s="479"/>
      <c r="B54" s="156"/>
      <c r="C54" s="473"/>
      <c r="D54" s="473"/>
      <c r="E54" s="473"/>
      <c r="F54" s="473"/>
      <c r="G54" s="473"/>
      <c r="H54" s="473"/>
      <c r="I54" s="473"/>
      <c r="J54" s="473"/>
      <c r="K54" s="473"/>
      <c r="L54" s="473"/>
      <c r="M54" s="473"/>
      <c r="N54" s="473"/>
      <c r="O54" s="473"/>
      <c r="P54" s="473"/>
      <c r="Q54" s="473"/>
      <c r="R54" s="473"/>
      <c r="S54" s="474"/>
      <c r="T54" s="475"/>
      <c r="U54" s="475"/>
      <c r="V54" s="165"/>
      <c r="W54" s="165"/>
      <c r="X54" s="165"/>
      <c r="Y54" s="165"/>
      <c r="Z54" s="476"/>
      <c r="AA54" s="476"/>
      <c r="AB54" s="477"/>
      <c r="AC54" s="477"/>
      <c r="AD54" s="477"/>
      <c r="AE54" s="478"/>
      <c r="AF54" s="478"/>
      <c r="AG54" s="478"/>
      <c r="AH54" s="478"/>
      <c r="AI54" s="478"/>
      <c r="AJ54" s="476"/>
      <c r="AK54" s="476"/>
      <c r="AL54" s="476"/>
      <c r="AM54" s="476"/>
      <c r="AN54" s="476"/>
      <c r="AO54" s="472"/>
      <c r="AP54" s="311"/>
      <c r="AR54" s="70"/>
      <c r="AS54" s="70"/>
      <c r="AT54" s="70"/>
      <c r="AU54" s="70"/>
      <c r="AV54" s="70"/>
      <c r="AW54" s="278"/>
      <c r="AX54" s="278"/>
      <c r="AY54" s="278"/>
      <c r="AZ54" s="278"/>
      <c r="BA54" s="279"/>
      <c r="BD54" s="634"/>
      <c r="BE54" s="442"/>
      <c r="BF54" s="442"/>
      <c r="BG54" s="442"/>
      <c r="BH54" s="442"/>
      <c r="BI54" s="442"/>
    </row>
    <row r="55" spans="1:73" x14ac:dyDescent="0.25">
      <c r="B55" s="387" t="s">
        <v>133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12"/>
      <c r="W55" s="12"/>
      <c r="X55" s="28"/>
      <c r="Y55" s="28"/>
      <c r="Z55" s="282"/>
      <c r="AA55" s="28"/>
      <c r="AB55" s="28"/>
      <c r="AC55" s="28"/>
      <c r="AD55" s="28"/>
      <c r="AE55" s="28"/>
      <c r="AF55" s="28"/>
      <c r="AG55" s="28"/>
      <c r="AH55" s="28"/>
      <c r="AI55" s="28"/>
      <c r="AJ55" s="264"/>
      <c r="AM55" s="69"/>
      <c r="AO55" s="472"/>
      <c r="AP55" s="311"/>
      <c r="AQ55" s="336"/>
      <c r="AR55" s="70"/>
      <c r="AS55" s="70"/>
      <c r="AT55" s="70"/>
      <c r="AU55" s="70"/>
      <c r="AV55" s="70"/>
      <c r="BD55" s="69"/>
      <c r="BE55" s="442"/>
      <c r="BF55" s="442"/>
      <c r="BG55" s="442"/>
      <c r="BH55" s="442"/>
      <c r="BI55" s="442"/>
    </row>
    <row r="56" spans="1:73" x14ac:dyDescent="0.25">
      <c r="B56" s="334" t="s">
        <v>59</v>
      </c>
      <c r="L56" s="27">
        <f t="shared" ref="L56:AN56" si="35">L11+L25</f>
        <v>8876.3459999999995</v>
      </c>
      <c r="M56" s="27">
        <f t="shared" si="35"/>
        <v>10315.589</v>
      </c>
      <c r="N56" s="27">
        <f t="shared" si="35"/>
        <v>15665.67265</v>
      </c>
      <c r="O56" s="27">
        <f t="shared" si="35"/>
        <v>11348.713</v>
      </c>
      <c r="P56" s="27">
        <f t="shared" si="35"/>
        <v>9022.6820000000007</v>
      </c>
      <c r="Q56" s="27">
        <f t="shared" si="35"/>
        <v>10163</v>
      </c>
      <c r="R56" s="27">
        <f t="shared" si="35"/>
        <v>15188.060000000001</v>
      </c>
      <c r="S56" s="27">
        <f t="shared" si="35"/>
        <v>11942.36</v>
      </c>
      <c r="T56" s="211">
        <f t="shared" si="35"/>
        <v>11057.33</v>
      </c>
      <c r="U56" s="211">
        <f t="shared" si="35"/>
        <v>12262</v>
      </c>
      <c r="V56" s="10">
        <f t="shared" si="35"/>
        <v>15904</v>
      </c>
      <c r="W56" s="10">
        <f t="shared" si="35"/>
        <v>12418</v>
      </c>
      <c r="X56" s="212">
        <f t="shared" si="35"/>
        <v>11424.1</v>
      </c>
      <c r="Y56" s="254">
        <f t="shared" si="35"/>
        <v>13353</v>
      </c>
      <c r="Z56" s="284">
        <f t="shared" si="35"/>
        <v>17841</v>
      </c>
      <c r="AA56" s="264">
        <f t="shared" si="35"/>
        <v>14731</v>
      </c>
      <c r="AB56" s="349">
        <f t="shared" si="35"/>
        <v>14226</v>
      </c>
      <c r="AC56" s="264">
        <f t="shared" si="35"/>
        <v>17241</v>
      </c>
      <c r="AD56" s="264">
        <f t="shared" si="35"/>
        <v>23456</v>
      </c>
      <c r="AE56" s="386">
        <f t="shared" si="35"/>
        <v>21165.603049999991</v>
      </c>
      <c r="AF56" s="339">
        <f t="shared" si="35"/>
        <v>19662</v>
      </c>
      <c r="AG56" s="339">
        <f t="shared" si="35"/>
        <v>22729</v>
      </c>
      <c r="AH56" s="339">
        <f t="shared" si="35"/>
        <v>28851</v>
      </c>
      <c r="AI56" s="339">
        <f t="shared" si="35"/>
        <v>23745</v>
      </c>
      <c r="AJ56" s="339">
        <f t="shared" si="35"/>
        <v>21255</v>
      </c>
      <c r="AK56" s="339">
        <f t="shared" si="35"/>
        <v>23883</v>
      </c>
      <c r="AL56" s="339">
        <f t="shared" si="35"/>
        <v>29581</v>
      </c>
      <c r="AM56" s="339">
        <f t="shared" si="35"/>
        <v>24810</v>
      </c>
      <c r="AN56" s="339">
        <f t="shared" si="35"/>
        <v>22878</v>
      </c>
      <c r="AO56" s="339">
        <f t="shared" ref="AO56:BB56" si="36">AO11+AO25+AO39</f>
        <v>27492</v>
      </c>
      <c r="AP56" s="339">
        <f t="shared" si="36"/>
        <v>32427</v>
      </c>
      <c r="AQ56" s="339">
        <f t="shared" si="36"/>
        <v>30434</v>
      </c>
      <c r="AR56" s="339">
        <f t="shared" si="36"/>
        <v>28832</v>
      </c>
      <c r="AS56" s="339">
        <f t="shared" si="36"/>
        <v>34860</v>
      </c>
      <c r="AT56" s="339">
        <f t="shared" si="36"/>
        <v>47862</v>
      </c>
      <c r="AU56" s="339">
        <f t="shared" si="36"/>
        <v>49034</v>
      </c>
      <c r="AV56" s="339">
        <f t="shared" si="36"/>
        <v>46764</v>
      </c>
      <c r="AW56" s="339">
        <f t="shared" si="36"/>
        <v>54555</v>
      </c>
      <c r="AX56" s="339">
        <f t="shared" si="36"/>
        <v>56555</v>
      </c>
      <c r="AY56" s="339">
        <f t="shared" si="36"/>
        <v>62055</v>
      </c>
      <c r="AZ56" s="339">
        <f t="shared" si="36"/>
        <v>58804</v>
      </c>
      <c r="BA56" s="339">
        <f t="shared" si="36"/>
        <v>62452</v>
      </c>
      <c r="BB56" s="339">
        <f t="shared" si="36"/>
        <v>80770</v>
      </c>
      <c r="BC56" s="339">
        <f t="shared" ref="BC56:BI56" si="37">BC11+BC25+BC39</f>
        <v>87126</v>
      </c>
      <c r="BD56" s="635">
        <f t="shared" si="37"/>
        <v>84289</v>
      </c>
      <c r="BE56" s="635">
        <f t="shared" si="37"/>
        <v>92424</v>
      </c>
      <c r="BF56" s="635">
        <f t="shared" si="37"/>
        <v>105361</v>
      </c>
      <c r="BG56" s="635">
        <f t="shared" si="37"/>
        <v>99127</v>
      </c>
      <c r="BH56" s="635">
        <f t="shared" si="37"/>
        <v>86167</v>
      </c>
      <c r="BI56" s="635">
        <f t="shared" si="37"/>
        <v>93769</v>
      </c>
    </row>
    <row r="57" spans="1:73" x14ac:dyDescent="0.25">
      <c r="B57" s="334" t="s">
        <v>60</v>
      </c>
      <c r="L57" s="27">
        <f t="shared" ref="L57:AN57" si="38">L12+L26</f>
        <v>9507.530999999999</v>
      </c>
      <c r="M57" s="27">
        <f t="shared" si="38"/>
        <v>9359.1939999999995</v>
      </c>
      <c r="N57" s="27">
        <f t="shared" si="38"/>
        <v>8716.933766666667</v>
      </c>
      <c r="O57" s="27">
        <f t="shared" si="38"/>
        <v>8941.6490000000013</v>
      </c>
      <c r="P57" s="27">
        <f t="shared" si="38"/>
        <v>8788.35</v>
      </c>
      <c r="Q57" s="27">
        <f t="shared" si="38"/>
        <v>9021</v>
      </c>
      <c r="R57" s="27">
        <f t="shared" si="38"/>
        <v>8546.880000000001</v>
      </c>
      <c r="S57" s="27">
        <f t="shared" si="38"/>
        <v>8377.9500000000007</v>
      </c>
      <c r="T57" s="211">
        <f t="shared" si="38"/>
        <v>7669.25</v>
      </c>
      <c r="U57" s="211">
        <f t="shared" si="38"/>
        <v>7868</v>
      </c>
      <c r="V57" s="10">
        <f t="shared" si="38"/>
        <v>7813</v>
      </c>
      <c r="W57" s="10">
        <f t="shared" si="38"/>
        <v>7602</v>
      </c>
      <c r="X57" s="212">
        <f t="shared" si="38"/>
        <v>7130.7</v>
      </c>
      <c r="Y57" s="254">
        <f t="shared" si="38"/>
        <v>7597</v>
      </c>
      <c r="Z57" s="284">
        <f t="shared" si="38"/>
        <v>7719</v>
      </c>
      <c r="AA57" s="264">
        <f t="shared" si="38"/>
        <v>7293</v>
      </c>
      <c r="AB57" s="264">
        <f t="shared" si="38"/>
        <v>7214</v>
      </c>
      <c r="AC57" s="264">
        <f t="shared" si="38"/>
        <v>7755</v>
      </c>
      <c r="AD57" s="264">
        <f t="shared" si="38"/>
        <v>7702</v>
      </c>
      <c r="AE57" s="339">
        <f t="shared" si="38"/>
        <v>7492.963233333332</v>
      </c>
      <c r="AF57" s="339">
        <f t="shared" si="38"/>
        <v>6937</v>
      </c>
      <c r="AG57" s="339">
        <f t="shared" si="38"/>
        <v>7212</v>
      </c>
      <c r="AH57" s="339">
        <f t="shared" si="38"/>
        <v>7064</v>
      </c>
      <c r="AI57" s="339">
        <f t="shared" si="38"/>
        <v>6757</v>
      </c>
      <c r="AJ57" s="339">
        <f t="shared" si="38"/>
        <v>6122</v>
      </c>
      <c r="AK57" s="339">
        <f t="shared" si="38"/>
        <v>6212</v>
      </c>
      <c r="AL57" s="339">
        <f t="shared" si="38"/>
        <v>5952</v>
      </c>
      <c r="AM57" s="339">
        <f t="shared" si="38"/>
        <v>5796</v>
      </c>
      <c r="AN57" s="339">
        <f t="shared" si="38"/>
        <v>5242</v>
      </c>
      <c r="AO57" s="339">
        <f t="shared" ref="AO57:BB57" si="39">AO12+AO26+AO40</f>
        <v>5578</v>
      </c>
      <c r="AP57" s="339">
        <f t="shared" si="39"/>
        <v>5478</v>
      </c>
      <c r="AQ57" s="339">
        <f t="shared" si="39"/>
        <v>5236</v>
      </c>
      <c r="AR57" s="339">
        <f t="shared" si="39"/>
        <v>4650</v>
      </c>
      <c r="AS57" s="339">
        <f t="shared" si="39"/>
        <v>4453</v>
      </c>
      <c r="AT57" s="339">
        <f t="shared" si="39"/>
        <v>4217</v>
      </c>
      <c r="AU57" s="339">
        <f t="shared" si="39"/>
        <v>4252</v>
      </c>
      <c r="AV57" s="339">
        <f t="shared" si="39"/>
        <v>3204</v>
      </c>
      <c r="AW57" s="339">
        <f t="shared" si="39"/>
        <v>3214</v>
      </c>
      <c r="AX57" s="339">
        <f t="shared" si="39"/>
        <v>3382</v>
      </c>
      <c r="AY57" s="339">
        <f t="shared" si="39"/>
        <v>3468</v>
      </c>
      <c r="AZ57" s="339">
        <f t="shared" si="39"/>
        <v>3478</v>
      </c>
      <c r="BA57" s="339">
        <f t="shared" si="39"/>
        <v>3247</v>
      </c>
      <c r="BB57" s="339">
        <f t="shared" si="39"/>
        <v>2918</v>
      </c>
      <c r="BC57" s="339">
        <f t="shared" ref="BC57:BI57" si="40">BC12+BC26+BC40</f>
        <v>2881</v>
      </c>
      <c r="BD57" s="635">
        <f t="shared" si="40"/>
        <v>2487</v>
      </c>
      <c r="BE57" s="635">
        <f t="shared" si="40"/>
        <v>2472</v>
      </c>
      <c r="BF57" s="635">
        <f t="shared" si="40"/>
        <v>2757</v>
      </c>
      <c r="BG57" s="635">
        <f t="shared" si="40"/>
        <v>2578</v>
      </c>
      <c r="BH57" s="635">
        <f t="shared" si="40"/>
        <v>2377</v>
      </c>
      <c r="BI57" s="635">
        <f t="shared" si="40"/>
        <v>2381</v>
      </c>
    </row>
    <row r="58" spans="1:73" x14ac:dyDescent="0.25">
      <c r="B58" s="334" t="s">
        <v>61</v>
      </c>
      <c r="L58" s="27">
        <f t="shared" ref="L58:AN58" si="41">L13+L27</f>
        <v>76148.976999999999</v>
      </c>
      <c r="M58" s="27">
        <f t="shared" si="41"/>
        <v>74524.320999999996</v>
      </c>
      <c r="N58" s="27">
        <f t="shared" si="41"/>
        <v>78457.540580000001</v>
      </c>
      <c r="O58" s="27">
        <f t="shared" si="41"/>
        <v>77142.09599999999</v>
      </c>
      <c r="P58" s="27">
        <f t="shared" si="41"/>
        <v>75650.592999999993</v>
      </c>
      <c r="Q58" s="27">
        <f t="shared" si="41"/>
        <v>83114</v>
      </c>
      <c r="R58" s="27">
        <f t="shared" si="41"/>
        <v>85012.69</v>
      </c>
      <c r="S58" s="27">
        <f t="shared" si="41"/>
        <v>76539.368000000002</v>
      </c>
      <c r="T58" s="211">
        <f t="shared" si="41"/>
        <v>67451.959999999992</v>
      </c>
      <c r="U58" s="211">
        <f t="shared" si="41"/>
        <v>66654</v>
      </c>
      <c r="V58" s="10">
        <f t="shared" si="41"/>
        <v>68397</v>
      </c>
      <c r="W58" s="10">
        <f t="shared" si="41"/>
        <v>58967</v>
      </c>
      <c r="X58" s="212">
        <f t="shared" si="41"/>
        <v>51991.519999999997</v>
      </c>
      <c r="Y58" s="254">
        <f t="shared" si="41"/>
        <v>53694</v>
      </c>
      <c r="Z58" s="284">
        <f t="shared" si="41"/>
        <v>55440</v>
      </c>
      <c r="AA58" s="264">
        <f t="shared" si="41"/>
        <v>46340</v>
      </c>
      <c r="AB58" s="264">
        <f t="shared" si="41"/>
        <v>33346</v>
      </c>
      <c r="AC58" s="264">
        <f t="shared" si="41"/>
        <v>35012</v>
      </c>
      <c r="AD58" s="264">
        <f t="shared" si="41"/>
        <v>37407</v>
      </c>
      <c r="AE58" s="339">
        <f t="shared" si="41"/>
        <v>32545.061349700001</v>
      </c>
      <c r="AF58" s="339">
        <f t="shared" si="41"/>
        <v>26631</v>
      </c>
      <c r="AG58" s="339">
        <f t="shared" si="41"/>
        <v>24112</v>
      </c>
      <c r="AH58" s="339">
        <f t="shared" si="41"/>
        <v>24143</v>
      </c>
      <c r="AI58" s="339">
        <f t="shared" si="41"/>
        <v>15048</v>
      </c>
      <c r="AJ58" s="339">
        <f t="shared" si="41"/>
        <v>14870</v>
      </c>
      <c r="AK58" s="339">
        <f t="shared" si="41"/>
        <v>17766</v>
      </c>
      <c r="AL58" s="339">
        <f t="shared" si="41"/>
        <v>19716</v>
      </c>
      <c r="AM58" s="339">
        <f t="shared" si="41"/>
        <v>16472</v>
      </c>
      <c r="AN58" s="339">
        <f t="shared" si="41"/>
        <v>10897</v>
      </c>
      <c r="AO58" s="339">
        <f t="shared" ref="AO58:BB58" si="42">AO13+AO27+AO41</f>
        <v>11739</v>
      </c>
      <c r="AP58" s="339">
        <f t="shared" si="42"/>
        <v>11647</v>
      </c>
      <c r="AQ58" s="339">
        <f t="shared" si="42"/>
        <v>10219</v>
      </c>
      <c r="AR58" s="339">
        <f t="shared" si="42"/>
        <v>8021</v>
      </c>
      <c r="AS58" s="339">
        <f t="shared" si="42"/>
        <v>9518</v>
      </c>
      <c r="AT58" s="339">
        <f t="shared" si="42"/>
        <v>10818</v>
      </c>
      <c r="AU58" s="339">
        <f t="shared" si="42"/>
        <v>9705</v>
      </c>
      <c r="AV58" s="339">
        <f t="shared" si="42"/>
        <v>11806</v>
      </c>
      <c r="AW58" s="339">
        <f t="shared" si="42"/>
        <v>11504</v>
      </c>
      <c r="AX58" s="339">
        <f t="shared" si="42"/>
        <v>10151</v>
      </c>
      <c r="AY58" s="339">
        <f t="shared" si="42"/>
        <v>9848</v>
      </c>
      <c r="AZ58" s="339">
        <f t="shared" si="42"/>
        <v>9644</v>
      </c>
      <c r="BA58" s="339">
        <f t="shared" si="42"/>
        <v>9724</v>
      </c>
      <c r="BB58" s="339">
        <f t="shared" si="42"/>
        <v>11696</v>
      </c>
      <c r="BC58" s="339">
        <f t="shared" ref="BC58:BJ58" si="43">BC13+BC27+BC41</f>
        <v>11199</v>
      </c>
      <c r="BD58" s="635">
        <f t="shared" si="43"/>
        <v>10389</v>
      </c>
      <c r="BE58" s="635">
        <f t="shared" si="43"/>
        <v>10557</v>
      </c>
      <c r="BF58" s="635">
        <f t="shared" si="43"/>
        <v>14503</v>
      </c>
      <c r="BG58" s="635">
        <f t="shared" si="43"/>
        <v>11988</v>
      </c>
      <c r="BH58" s="635">
        <f t="shared" si="43"/>
        <v>11867</v>
      </c>
      <c r="BI58" s="635">
        <f t="shared" si="43"/>
        <v>13078</v>
      </c>
      <c r="BJ58" s="709">
        <f t="shared" si="43"/>
        <v>0</v>
      </c>
    </row>
    <row r="59" spans="1:73" x14ac:dyDescent="0.25">
      <c r="B59" s="173" t="s">
        <v>129</v>
      </c>
      <c r="L59" s="27"/>
      <c r="M59" s="27"/>
      <c r="N59" s="27"/>
      <c r="O59" s="27"/>
      <c r="P59" s="27"/>
      <c r="Q59" s="27"/>
      <c r="R59" s="27"/>
      <c r="S59" s="170">
        <f t="shared" ref="S59:AB59" si="44">S56+S57+S58</f>
        <v>96859.678</v>
      </c>
      <c r="T59" s="211">
        <f t="shared" si="44"/>
        <v>86178.54</v>
      </c>
      <c r="U59" s="226">
        <v>86784</v>
      </c>
      <c r="V59" s="170">
        <f t="shared" si="44"/>
        <v>92114</v>
      </c>
      <c r="W59" s="170">
        <f t="shared" si="44"/>
        <v>78987</v>
      </c>
      <c r="X59" s="211">
        <f t="shared" si="44"/>
        <v>70546.319999999992</v>
      </c>
      <c r="Y59" s="256">
        <f t="shared" si="44"/>
        <v>74644</v>
      </c>
      <c r="Z59" s="285">
        <f t="shared" si="44"/>
        <v>81000</v>
      </c>
      <c r="AA59" s="261">
        <f t="shared" si="44"/>
        <v>68364</v>
      </c>
      <c r="AB59" s="351">
        <f t="shared" si="44"/>
        <v>54786</v>
      </c>
      <c r="AC59" s="261">
        <f t="shared" ref="AC59:AH59" si="45">AC56+AC57+AC58</f>
        <v>60008</v>
      </c>
      <c r="AD59" s="261">
        <f t="shared" si="45"/>
        <v>68565</v>
      </c>
      <c r="AE59" s="340">
        <f t="shared" si="45"/>
        <v>61203.62763303332</v>
      </c>
      <c r="AF59" s="354">
        <f t="shared" si="45"/>
        <v>53230</v>
      </c>
      <c r="AG59" s="354">
        <f t="shared" si="45"/>
        <v>54053</v>
      </c>
      <c r="AH59" s="354">
        <f t="shared" si="45"/>
        <v>60058</v>
      </c>
      <c r="AI59" s="354">
        <f t="shared" ref="AI59:AN59" si="46">AI56+AI57+AI58</f>
        <v>45550</v>
      </c>
      <c r="AJ59" s="354">
        <f t="shared" si="46"/>
        <v>42247</v>
      </c>
      <c r="AK59" s="354">
        <f t="shared" si="46"/>
        <v>47861</v>
      </c>
      <c r="AL59" s="354">
        <f t="shared" si="46"/>
        <v>55249</v>
      </c>
      <c r="AM59" s="354">
        <f t="shared" si="46"/>
        <v>47078</v>
      </c>
      <c r="AN59" s="354">
        <f t="shared" si="46"/>
        <v>39017</v>
      </c>
      <c r="AO59" s="354">
        <f t="shared" ref="AO59:BA59" si="47">AO56+AO57+AO58</f>
        <v>44809</v>
      </c>
      <c r="AP59" s="354">
        <f t="shared" si="47"/>
        <v>49552</v>
      </c>
      <c r="AQ59" s="354">
        <f t="shared" si="47"/>
        <v>45889</v>
      </c>
      <c r="AR59" s="354">
        <f t="shared" si="47"/>
        <v>41503</v>
      </c>
      <c r="AS59" s="354">
        <f t="shared" si="47"/>
        <v>48831</v>
      </c>
      <c r="AT59" s="354">
        <f t="shared" si="47"/>
        <v>62897</v>
      </c>
      <c r="AU59" s="354">
        <f t="shared" si="47"/>
        <v>62991</v>
      </c>
      <c r="AV59" s="354">
        <f t="shared" si="47"/>
        <v>61774</v>
      </c>
      <c r="AW59" s="354">
        <f t="shared" si="47"/>
        <v>69273</v>
      </c>
      <c r="AX59" s="354">
        <f t="shared" si="47"/>
        <v>70088</v>
      </c>
      <c r="AY59" s="354">
        <f t="shared" si="47"/>
        <v>75371</v>
      </c>
      <c r="AZ59" s="354">
        <f t="shared" si="47"/>
        <v>71926</v>
      </c>
      <c r="BA59" s="354">
        <f t="shared" si="47"/>
        <v>75423</v>
      </c>
      <c r="BB59" s="354">
        <f t="shared" ref="BB59:BI59" si="48">BB56+BB57+BB58</f>
        <v>95384</v>
      </c>
      <c r="BC59" s="354">
        <f t="shared" si="48"/>
        <v>101206</v>
      </c>
      <c r="BD59" s="636">
        <f t="shared" si="48"/>
        <v>97165</v>
      </c>
      <c r="BE59" s="636">
        <f t="shared" si="48"/>
        <v>105453</v>
      </c>
      <c r="BF59" s="636">
        <f t="shared" si="48"/>
        <v>122621</v>
      </c>
      <c r="BG59" s="636">
        <f t="shared" si="48"/>
        <v>113693</v>
      </c>
      <c r="BH59" s="636">
        <f t="shared" si="48"/>
        <v>100411</v>
      </c>
      <c r="BI59" s="636">
        <f t="shared" si="48"/>
        <v>109228</v>
      </c>
    </row>
    <row r="60" spans="1:73" x14ac:dyDescent="0.25">
      <c r="B60" s="21"/>
      <c r="L60" s="27"/>
      <c r="M60" s="27"/>
      <c r="N60" s="27"/>
      <c r="O60" s="27"/>
      <c r="P60" s="27"/>
      <c r="Q60" s="27"/>
      <c r="R60" s="27"/>
      <c r="S60" s="27"/>
      <c r="T60" s="27"/>
      <c r="V60" s="227"/>
      <c r="Z60" s="225"/>
      <c r="AM60" s="69"/>
      <c r="AR60" s="70"/>
      <c r="AS60" s="70"/>
      <c r="AT60" s="70"/>
      <c r="AU60" s="70"/>
      <c r="AV60" s="70"/>
    </row>
    <row r="61" spans="1:73" s="28" customFormat="1" ht="15" x14ac:dyDescent="0.3">
      <c r="B61" s="29" t="s">
        <v>7</v>
      </c>
      <c r="L61" s="32"/>
      <c r="M61" s="32"/>
      <c r="N61" s="32"/>
      <c r="O61" s="32"/>
      <c r="P61" s="32"/>
      <c r="Q61" s="32"/>
      <c r="R61" s="32"/>
      <c r="S61" s="32"/>
      <c r="T61" s="32"/>
      <c r="V61" s="12"/>
      <c r="W61" s="12"/>
      <c r="Y61" s="225"/>
      <c r="Z61" s="225"/>
      <c r="AM61" s="437"/>
      <c r="AN61" s="73"/>
      <c r="AO61" s="73"/>
      <c r="AP61" s="73"/>
      <c r="AQ61" s="73"/>
      <c r="AR61" s="70"/>
      <c r="AS61" s="70"/>
      <c r="AT61" s="70"/>
      <c r="AU61" s="70"/>
      <c r="AV61" s="70"/>
      <c r="BU61" s="28" t="s">
        <v>68</v>
      </c>
    </row>
    <row r="62" spans="1:73" x14ac:dyDescent="0.25">
      <c r="A62" s="21" t="s">
        <v>69</v>
      </c>
      <c r="B62" s="21" t="s">
        <v>39</v>
      </c>
      <c r="C62" s="33">
        <f t="shared" ref="C62:AT62" si="49">C3/C47</f>
        <v>0.61128396946529873</v>
      </c>
      <c r="D62" s="33">
        <f t="shared" si="49"/>
        <v>0.89144294610807739</v>
      </c>
      <c r="E62" s="33">
        <f t="shared" si="49"/>
        <v>0.61746682619624094</v>
      </c>
      <c r="F62" s="33">
        <f t="shared" si="49"/>
        <v>0.54709065744472274</v>
      </c>
      <c r="G62" s="33">
        <f t="shared" si="49"/>
        <v>0.44927945660581398</v>
      </c>
      <c r="H62" s="34">
        <f t="shared" si="49"/>
        <v>0.80379916240071858</v>
      </c>
      <c r="I62" s="34">
        <f t="shared" si="49"/>
        <v>0.76469289041765731</v>
      </c>
      <c r="J62" s="34">
        <f t="shared" si="49"/>
        <v>0.70137718332267307</v>
      </c>
      <c r="K62" s="34">
        <f t="shared" si="49"/>
        <v>0.70868127059670727</v>
      </c>
      <c r="L62" s="34">
        <f t="shared" si="49"/>
        <v>0.67518075854732906</v>
      </c>
      <c r="M62" s="34">
        <f t="shared" si="49"/>
        <v>0.71814975166056327</v>
      </c>
      <c r="N62" s="34">
        <f t="shared" si="49"/>
        <v>0.62752816363772745</v>
      </c>
      <c r="O62" s="34">
        <f t="shared" si="49"/>
        <v>0.69138515397300027</v>
      </c>
      <c r="P62" s="34">
        <f t="shared" si="49"/>
        <v>0.63348785877961278</v>
      </c>
      <c r="Q62" s="34">
        <f t="shared" si="49"/>
        <v>0.66886011536779733</v>
      </c>
      <c r="R62" s="34">
        <f t="shared" si="49"/>
        <v>0.6821868300298003</v>
      </c>
      <c r="S62" s="34">
        <f t="shared" si="49"/>
        <v>0.65455656378480631</v>
      </c>
      <c r="T62" s="33">
        <f t="shared" si="49"/>
        <v>0.62477329229538048</v>
      </c>
      <c r="U62" s="33">
        <f t="shared" si="49"/>
        <v>0.64932441272130392</v>
      </c>
      <c r="V62" s="14">
        <f t="shared" si="49"/>
        <v>0.6551773947436843</v>
      </c>
      <c r="W62" s="14">
        <f t="shared" si="49"/>
        <v>0.59294559144211467</v>
      </c>
      <c r="X62" s="14">
        <f t="shared" si="49"/>
        <v>0.55447868505729336</v>
      </c>
      <c r="Y62" s="257">
        <f t="shared" si="49"/>
        <v>0.54424947967602</v>
      </c>
      <c r="Z62" s="257">
        <f t="shared" si="49"/>
        <v>0.56199462181403492</v>
      </c>
      <c r="AA62" s="257">
        <f t="shared" si="49"/>
        <v>0.61831103010536081</v>
      </c>
      <c r="AB62" s="257">
        <f t="shared" si="49"/>
        <v>0.49357092009254316</v>
      </c>
      <c r="AC62" s="257">
        <f t="shared" si="49"/>
        <v>0.49871937077745288</v>
      </c>
      <c r="AD62" s="257">
        <f t="shared" si="49"/>
        <v>0.5199825808723153</v>
      </c>
      <c r="AE62" s="257">
        <f t="shared" si="49"/>
        <v>0.50961034662471827</v>
      </c>
      <c r="AF62" s="257">
        <f t="shared" si="49"/>
        <v>0.46790025950581066</v>
      </c>
      <c r="AG62" s="257">
        <f t="shared" si="49"/>
        <v>0.48086618762507594</v>
      </c>
      <c r="AH62" s="257">
        <f t="shared" si="49"/>
        <v>0.44788830236577032</v>
      </c>
      <c r="AI62" s="257">
        <f t="shared" si="49"/>
        <v>0.5113723508473299</v>
      </c>
      <c r="AJ62" s="257">
        <f t="shared" si="49"/>
        <v>0.51930274789609243</v>
      </c>
      <c r="AK62" s="257">
        <f t="shared" si="49"/>
        <v>0.49864598595463044</v>
      </c>
      <c r="AL62" s="257">
        <f t="shared" si="49"/>
        <v>0.49218132417533517</v>
      </c>
      <c r="AM62" s="257">
        <f t="shared" si="49"/>
        <v>0.52862553385801392</v>
      </c>
      <c r="AN62" s="257">
        <f t="shared" si="49"/>
        <v>0.53618337703662233</v>
      </c>
      <c r="AO62" s="257">
        <f t="shared" si="49"/>
        <v>0.51531629791212219</v>
      </c>
      <c r="AP62" s="257">
        <f t="shared" si="49"/>
        <v>0.45972588013974736</v>
      </c>
      <c r="AQ62" s="257">
        <f t="shared" si="49"/>
        <v>0.50336873539203431</v>
      </c>
      <c r="AR62" s="257">
        <f t="shared" si="49"/>
        <v>0.48130517622697228</v>
      </c>
      <c r="AS62" s="257">
        <f t="shared" si="49"/>
        <v>0.43843684695481455</v>
      </c>
      <c r="AT62" s="257">
        <f t="shared" si="49"/>
        <v>0.48843513872065525</v>
      </c>
      <c r="AU62" s="257"/>
      <c r="AV62" s="257"/>
    </row>
    <row r="63" spans="1:73" x14ac:dyDescent="0.25">
      <c r="A63" s="21" t="s">
        <v>81</v>
      </c>
      <c r="B63" s="21"/>
      <c r="C63" s="33"/>
      <c r="D63" s="33"/>
      <c r="E63" s="33"/>
      <c r="F63" s="33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>
        <f t="shared" ref="T63:AM63" si="50">T5/T49</f>
        <v>0.99675007266097704</v>
      </c>
      <c r="U63" s="34">
        <f t="shared" si="50"/>
        <v>0.99761846103309515</v>
      </c>
      <c r="V63" s="14">
        <f t="shared" si="50"/>
        <v>0.99820143884892087</v>
      </c>
      <c r="W63" s="14">
        <f t="shared" si="50"/>
        <v>0.99818016378525931</v>
      </c>
      <c r="X63" s="14">
        <f t="shared" si="50"/>
        <v>0.99836110352362739</v>
      </c>
      <c r="Y63" s="257">
        <f t="shared" si="50"/>
        <v>0.99844172886082183</v>
      </c>
      <c r="Z63" s="257">
        <f t="shared" si="50"/>
        <v>0.99875112745438144</v>
      </c>
      <c r="AA63" s="257">
        <f t="shared" si="50"/>
        <v>0.99850262041427507</v>
      </c>
      <c r="AB63" s="257">
        <f t="shared" si="50"/>
        <v>0.99869415166495668</v>
      </c>
      <c r="AC63" s="257">
        <f t="shared" si="50"/>
        <v>0.998653651969034</v>
      </c>
      <c r="AD63" s="257">
        <f t="shared" si="50"/>
        <v>0.99876333281805529</v>
      </c>
      <c r="AE63" s="257">
        <f t="shared" si="50"/>
        <v>0.99866818012814573</v>
      </c>
      <c r="AF63" s="257">
        <f t="shared" si="50"/>
        <v>0.99838557782860216</v>
      </c>
      <c r="AG63" s="257">
        <f t="shared" si="50"/>
        <v>0.9983970406905055</v>
      </c>
      <c r="AH63" s="257">
        <f t="shared" si="50"/>
        <v>0.99822525597269629</v>
      </c>
      <c r="AI63" s="257">
        <f t="shared" si="50"/>
        <v>0.99839842306270787</v>
      </c>
      <c r="AJ63" s="257">
        <f t="shared" si="50"/>
        <v>0.99838231329199245</v>
      </c>
      <c r="AK63" s="257">
        <f t="shared" si="50"/>
        <v>0.99801799054733953</v>
      </c>
      <c r="AL63" s="257">
        <f t="shared" si="50"/>
        <v>0.99729987293519695</v>
      </c>
      <c r="AM63" s="257">
        <f t="shared" si="50"/>
        <v>0.9981308411214953</v>
      </c>
      <c r="AN63" s="257" t="e">
        <f>AN4/AN48</f>
        <v>#DIV/0!</v>
      </c>
      <c r="AO63" s="490"/>
      <c r="AP63" s="312"/>
      <c r="AQ63" s="312"/>
      <c r="AR63" s="70"/>
      <c r="AS63" s="70"/>
      <c r="AT63" s="70"/>
      <c r="AU63" s="70"/>
      <c r="AV63" s="70"/>
    </row>
    <row r="64" spans="1:73" x14ac:dyDescent="0.25">
      <c r="A64" s="35" t="s">
        <v>70</v>
      </c>
      <c r="B64" s="35" t="s">
        <v>39</v>
      </c>
      <c r="C64" s="33">
        <f t="shared" ref="C64:S64" si="51">C6/C50</f>
        <v>1.7402686798092964E-3</v>
      </c>
      <c r="D64" s="33">
        <f t="shared" si="51"/>
        <v>0.10249343658173482</v>
      </c>
      <c r="E64" s="33">
        <f t="shared" si="51"/>
        <v>7.8097276350974437E-2</v>
      </c>
      <c r="F64" s="33">
        <f t="shared" si="51"/>
        <v>7.0172126774016935E-2</v>
      </c>
      <c r="G64" s="33">
        <f t="shared" si="51"/>
        <v>4.1907611736520731E-2</v>
      </c>
      <c r="H64" s="34">
        <f t="shared" si="51"/>
        <v>0.35835229674374774</v>
      </c>
      <c r="I64" s="34">
        <f t="shared" si="51"/>
        <v>0.42481982078217145</v>
      </c>
      <c r="J64" s="34">
        <f t="shared" si="51"/>
        <v>0.34880331119666241</v>
      </c>
      <c r="K64" s="34">
        <f t="shared" si="51"/>
        <v>0.38723590131075114</v>
      </c>
      <c r="L64" s="34">
        <f t="shared" si="51"/>
        <v>0.40871295707632632</v>
      </c>
      <c r="M64" s="34">
        <f t="shared" si="51"/>
        <v>0.44775309610910546</v>
      </c>
      <c r="N64" s="34">
        <f t="shared" si="51"/>
        <v>0.34267346370523016</v>
      </c>
      <c r="O64" s="34">
        <f t="shared" si="51"/>
        <v>0.38406610156574167</v>
      </c>
      <c r="P64" s="34">
        <f t="shared" si="51"/>
        <v>0.26982305720191563</v>
      </c>
      <c r="Q64" s="34">
        <f t="shared" si="51"/>
        <v>0.37600093560375941</v>
      </c>
      <c r="R64" s="34">
        <f t="shared" si="51"/>
        <v>0.36080360221775365</v>
      </c>
      <c r="S64" s="34">
        <f t="shared" si="51"/>
        <v>0.28658388439150212</v>
      </c>
      <c r="T64" s="34">
        <f t="shared" ref="T64:AM64" si="52">T6/T50</f>
        <v>0.32157680452957393</v>
      </c>
      <c r="U64" s="34">
        <f t="shared" si="52"/>
        <v>0.32888391319324839</v>
      </c>
      <c r="V64" s="14">
        <f t="shared" si="52"/>
        <v>0.34285332977445615</v>
      </c>
      <c r="W64" s="14">
        <f t="shared" si="52"/>
        <v>0.3170399386868773</v>
      </c>
      <c r="X64" s="14">
        <f t="shared" si="52"/>
        <v>0.31499755740107477</v>
      </c>
      <c r="Y64" s="257">
        <f t="shared" si="52"/>
        <v>0.31204394523243423</v>
      </c>
      <c r="Z64" s="257">
        <f t="shared" si="52"/>
        <v>0.35337650323774283</v>
      </c>
      <c r="AA64" s="257">
        <f t="shared" si="52"/>
        <v>0.33997291052505774</v>
      </c>
      <c r="AB64" s="257">
        <f t="shared" si="52"/>
        <v>0.31813929755931625</v>
      </c>
      <c r="AC64" s="257">
        <f t="shared" si="52"/>
        <v>0.28966660291961499</v>
      </c>
      <c r="AD64" s="257">
        <f t="shared" si="52"/>
        <v>0.30316657298107552</v>
      </c>
      <c r="AE64" s="257">
        <f t="shared" si="52"/>
        <v>0.31427734079361286</v>
      </c>
      <c r="AF64" s="257">
        <f t="shared" si="52"/>
        <v>0.34853420195439738</v>
      </c>
      <c r="AG64" s="257">
        <f t="shared" si="52"/>
        <v>0.32604131061086966</v>
      </c>
      <c r="AH64" s="257">
        <f t="shared" si="52"/>
        <v>0.25592396493359953</v>
      </c>
      <c r="AI64" s="257">
        <f t="shared" si="52"/>
        <v>0.3573279052553664</v>
      </c>
      <c r="AJ64" s="257">
        <f t="shared" si="52"/>
        <v>0.37293171456380309</v>
      </c>
      <c r="AK64" s="257">
        <f t="shared" si="52"/>
        <v>0.37914300464636036</v>
      </c>
      <c r="AL64" s="257">
        <f t="shared" si="52"/>
        <v>0.29760461519167258</v>
      </c>
      <c r="AM64" s="257">
        <f t="shared" si="52"/>
        <v>0.5274729020383121</v>
      </c>
      <c r="AN64" s="257">
        <f>AN5/AN49</f>
        <v>0.99814608824619944</v>
      </c>
      <c r="AO64" s="257">
        <f t="shared" ref="AO64:AT66" si="53">AO5/AO49</f>
        <v>0.99821196358907671</v>
      </c>
      <c r="AP64" s="257">
        <f t="shared" si="53"/>
        <v>0.99837815921070416</v>
      </c>
      <c r="AQ64" s="257">
        <f t="shared" si="53"/>
        <v>0.99823887287864232</v>
      </c>
      <c r="AR64" s="257">
        <f t="shared" si="53"/>
        <v>0.99856784819190836</v>
      </c>
      <c r="AS64" s="257">
        <f t="shared" si="53"/>
        <v>0.99876447876447871</v>
      </c>
      <c r="AT64" s="257">
        <f t="shared" si="53"/>
        <v>0.99881923854005406</v>
      </c>
      <c r="AU64" s="257"/>
      <c r="AV64" s="257"/>
    </row>
    <row r="65" spans="1:48" x14ac:dyDescent="0.25">
      <c r="A65" s="21" t="s">
        <v>71</v>
      </c>
      <c r="B65" s="21" t="s">
        <v>39</v>
      </c>
      <c r="C65" s="33">
        <f t="shared" ref="C65:S65" si="54">C7/C51</f>
        <v>0.65170814699686852</v>
      </c>
      <c r="D65" s="33">
        <f t="shared" si="54"/>
        <v>0.87538739478475081</v>
      </c>
      <c r="E65" s="33">
        <f t="shared" si="54"/>
        <v>0.67455857498170979</v>
      </c>
      <c r="F65" s="33">
        <f t="shared" si="54"/>
        <v>0.51617732834758345</v>
      </c>
      <c r="G65" s="33">
        <f t="shared" si="54"/>
        <v>0.39385633328913977</v>
      </c>
      <c r="H65" s="34">
        <f t="shared" si="54"/>
        <v>0.84949784762114799</v>
      </c>
      <c r="I65" s="34">
        <f t="shared" si="54"/>
        <v>0.83447385860276946</v>
      </c>
      <c r="J65" s="34">
        <f t="shared" si="54"/>
        <v>0.78032268103103131</v>
      </c>
      <c r="K65" s="34">
        <f t="shared" si="54"/>
        <v>0.81731915115319331</v>
      </c>
      <c r="L65" s="34">
        <f t="shared" si="54"/>
        <v>0.77776928344254026</v>
      </c>
      <c r="M65" s="34">
        <f t="shared" si="54"/>
        <v>0.84111550293890036</v>
      </c>
      <c r="N65" s="34">
        <f t="shared" si="54"/>
        <v>0.77001765721223525</v>
      </c>
      <c r="O65" s="34">
        <f t="shared" si="54"/>
        <v>0.81510750802480914</v>
      </c>
      <c r="P65" s="34">
        <f t="shared" si="54"/>
        <v>0.76020582225703159</v>
      </c>
      <c r="Q65" s="34">
        <f t="shared" si="54"/>
        <v>0.76094887793546084</v>
      </c>
      <c r="R65" s="34">
        <f t="shared" si="54"/>
        <v>0.73250101296596437</v>
      </c>
      <c r="S65" s="34">
        <f t="shared" si="54"/>
        <v>0.73637165625296186</v>
      </c>
      <c r="T65" s="34">
        <f t="shared" ref="T65:AM65" si="55">T7/T51</f>
        <v>0.7350227580268176</v>
      </c>
      <c r="U65" s="34">
        <f t="shared" si="55"/>
        <v>0.78010471204188481</v>
      </c>
      <c r="V65" s="14">
        <f t="shared" si="55"/>
        <v>0.71727019498607247</v>
      </c>
      <c r="W65" s="14">
        <f t="shared" si="55"/>
        <v>0.7321981424148607</v>
      </c>
      <c r="X65" s="14">
        <f t="shared" si="55"/>
        <v>0.70084745762711864</v>
      </c>
      <c r="Y65" s="257">
        <f t="shared" si="55"/>
        <v>0.72362685265911075</v>
      </c>
      <c r="Z65" s="257">
        <f t="shared" si="55"/>
        <v>0.69395562356541696</v>
      </c>
      <c r="AA65" s="257">
        <f t="shared" si="55"/>
        <v>0.70418848167539272</v>
      </c>
      <c r="AB65" s="257">
        <f t="shared" si="55"/>
        <v>0.68878048780487799</v>
      </c>
      <c r="AC65" s="257">
        <f t="shared" si="55"/>
        <v>0.67292225201072386</v>
      </c>
      <c r="AD65" s="257">
        <f t="shared" si="55"/>
        <v>0.71108263933376037</v>
      </c>
      <c r="AE65" s="257">
        <f t="shared" si="55"/>
        <v>0.74796500727972659</v>
      </c>
      <c r="AF65" s="257">
        <f t="shared" si="55"/>
        <v>0.74042829331602855</v>
      </c>
      <c r="AG65" s="257">
        <f t="shared" si="55"/>
        <v>0.75523560209424079</v>
      </c>
      <c r="AH65" s="257">
        <f t="shared" si="55"/>
        <v>0.74745186862967161</v>
      </c>
      <c r="AI65" s="257">
        <f t="shared" si="55"/>
        <v>0.6941896024464832</v>
      </c>
      <c r="AJ65" s="257">
        <f t="shared" si="55"/>
        <v>0.77111240535818293</v>
      </c>
      <c r="AK65" s="257">
        <f t="shared" si="55"/>
        <v>0.75814536340852134</v>
      </c>
      <c r="AL65" s="257">
        <f t="shared" si="55"/>
        <v>0.75843599357257629</v>
      </c>
      <c r="AM65" s="257">
        <f t="shared" si="55"/>
        <v>0.74985110184633708</v>
      </c>
      <c r="AN65" s="257">
        <f>AN6/AN50</f>
        <v>0.512702946482261</v>
      </c>
      <c r="AO65" s="257">
        <f t="shared" si="53"/>
        <v>0.48382649630127772</v>
      </c>
      <c r="AP65" s="257">
        <f t="shared" si="53"/>
        <v>0.50658130743122054</v>
      </c>
      <c r="AQ65" s="257">
        <f t="shared" si="53"/>
        <v>0.51095232151772341</v>
      </c>
      <c r="AR65" s="257">
        <f t="shared" si="53"/>
        <v>0.49137621272008625</v>
      </c>
      <c r="AS65" s="257">
        <f t="shared" si="53"/>
        <v>0.35793117630929533</v>
      </c>
      <c r="AT65" s="257">
        <f t="shared" si="53"/>
        <v>0.32549597785882411</v>
      </c>
      <c r="AU65" s="257"/>
      <c r="AV65" s="257"/>
    </row>
    <row r="66" spans="1:48" x14ac:dyDescent="0.25">
      <c r="A66" s="21" t="s">
        <v>72</v>
      </c>
      <c r="B66" s="21" t="s">
        <v>39</v>
      </c>
      <c r="C66" s="33">
        <f t="shared" ref="C66:S66" si="56">C8/C52</f>
        <v>0.35745100036031835</v>
      </c>
      <c r="D66" s="33">
        <f t="shared" si="56"/>
        <v>0.57872648596590592</v>
      </c>
      <c r="E66" s="33">
        <f t="shared" si="56"/>
        <v>0.39203907960249085</v>
      </c>
      <c r="F66" s="33">
        <f t="shared" si="56"/>
        <v>0.32339675810197149</v>
      </c>
      <c r="G66" s="33">
        <f t="shared" si="56"/>
        <v>0.23691943644516644</v>
      </c>
      <c r="H66" s="34">
        <f t="shared" si="56"/>
        <v>0.60154438071193372</v>
      </c>
      <c r="I66" s="34">
        <f t="shared" si="56"/>
        <v>0.65100012742498914</v>
      </c>
      <c r="J66" s="34">
        <f t="shared" si="56"/>
        <v>0.63686455162510569</v>
      </c>
      <c r="K66" s="34">
        <f t="shared" si="56"/>
        <v>0.63763344959188661</v>
      </c>
      <c r="L66" s="34">
        <f t="shared" si="56"/>
        <v>0.54923532025352428</v>
      </c>
      <c r="M66" s="34">
        <f t="shared" si="56"/>
        <v>0.67547134242343043</v>
      </c>
      <c r="N66" s="34">
        <f t="shared" si="56"/>
        <v>0.58265171423091022</v>
      </c>
      <c r="O66" s="34">
        <f t="shared" si="56"/>
        <v>0.60970423895067949</v>
      </c>
      <c r="P66" s="34">
        <f t="shared" si="56"/>
        <v>0.62447244809310198</v>
      </c>
      <c r="Q66" s="34">
        <f t="shared" si="56"/>
        <v>0.63001552392353843</v>
      </c>
      <c r="R66" s="34">
        <f t="shared" si="56"/>
        <v>0.62390337510495419</v>
      </c>
      <c r="S66" s="34">
        <f t="shared" si="56"/>
        <v>0.62344430546258522</v>
      </c>
      <c r="T66" s="34">
        <f t="shared" ref="T66:AM66" si="57">T8/T52</f>
        <v>0.66278563813223956</v>
      </c>
      <c r="U66" s="34">
        <f t="shared" si="57"/>
        <v>0.67872159049862013</v>
      </c>
      <c r="V66" s="14">
        <f t="shared" si="57"/>
        <v>0.68715995647442873</v>
      </c>
      <c r="W66" s="14">
        <f t="shared" si="57"/>
        <v>0.69068602039053051</v>
      </c>
      <c r="X66" s="14">
        <f t="shared" si="57"/>
        <v>0.59565831274267556</v>
      </c>
      <c r="Y66" s="257">
        <f t="shared" si="57"/>
        <v>0.66646390916463905</v>
      </c>
      <c r="Z66" s="257">
        <f t="shared" si="57"/>
        <v>0.64894991922455569</v>
      </c>
      <c r="AA66" s="257">
        <f t="shared" si="57"/>
        <v>0.64961694456962593</v>
      </c>
      <c r="AB66" s="257">
        <f t="shared" si="57"/>
        <v>0.61918918918918919</v>
      </c>
      <c r="AC66" s="257">
        <f t="shared" si="57"/>
        <v>0.60442194992008524</v>
      </c>
      <c r="AD66" s="257">
        <f t="shared" si="57"/>
        <v>0.58561001042752869</v>
      </c>
      <c r="AE66" s="257">
        <f t="shared" si="57"/>
        <v>0.58355701370392532</v>
      </c>
      <c r="AF66" s="257">
        <f t="shared" si="57"/>
        <v>0.57589134125636676</v>
      </c>
      <c r="AG66" s="257">
        <f t="shared" si="57"/>
        <v>0.56944444444444442</v>
      </c>
      <c r="AH66" s="257">
        <f t="shared" si="57"/>
        <v>0.57891963109354416</v>
      </c>
      <c r="AI66" s="257">
        <f t="shared" si="57"/>
        <v>0.50395998332638603</v>
      </c>
      <c r="AJ66" s="257">
        <f t="shared" si="57"/>
        <v>0.60585127996749288</v>
      </c>
      <c r="AK66" s="257">
        <f t="shared" si="57"/>
        <v>0.60034980323567988</v>
      </c>
      <c r="AL66" s="257">
        <f t="shared" si="57"/>
        <v>0.66011329556814391</v>
      </c>
      <c r="AM66" s="257">
        <f t="shared" si="57"/>
        <v>0.71804008908685968</v>
      </c>
      <c r="AN66" s="257">
        <f>AN7/AN51</f>
        <v>0.72951885565669705</v>
      </c>
      <c r="AO66" s="257">
        <f t="shared" si="53"/>
        <v>0.60718232044198894</v>
      </c>
      <c r="AP66" s="257">
        <f t="shared" si="53"/>
        <v>0.56786570743405274</v>
      </c>
      <c r="AQ66" s="257">
        <f t="shared" si="53"/>
        <v>0.55310199789695058</v>
      </c>
      <c r="AR66" s="257">
        <f t="shared" si="53"/>
        <v>0.53941176470588237</v>
      </c>
      <c r="AS66" s="257">
        <f t="shared" si="53"/>
        <v>0.51451800232288036</v>
      </c>
      <c r="AT66" s="257">
        <f t="shared" si="53"/>
        <v>0.50916936353829556</v>
      </c>
      <c r="AU66" s="257"/>
      <c r="AV66" s="257"/>
    </row>
    <row r="67" spans="1:48" x14ac:dyDescent="0.25">
      <c r="B67" s="21"/>
      <c r="C67" s="36"/>
      <c r="D67" s="36"/>
      <c r="E67" s="36"/>
      <c r="F67" s="36"/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153"/>
      <c r="U67" s="153"/>
      <c r="Z67" s="225"/>
      <c r="AM67" s="69"/>
      <c r="AO67" s="68"/>
      <c r="AR67" s="70"/>
      <c r="AS67" s="70"/>
      <c r="AT67" s="70"/>
      <c r="AU67" s="70"/>
      <c r="AV67" s="70"/>
    </row>
    <row r="68" spans="1:48" x14ac:dyDescent="0.25">
      <c r="B68" s="25" t="s">
        <v>62</v>
      </c>
      <c r="L68" s="27"/>
      <c r="M68" s="27"/>
      <c r="N68" s="27"/>
      <c r="O68" s="27"/>
      <c r="P68" s="27"/>
      <c r="Q68" s="27"/>
      <c r="R68" s="27"/>
      <c r="S68" s="27"/>
      <c r="T68" s="153"/>
      <c r="U68" s="153"/>
      <c r="Z68" s="225"/>
      <c r="AM68" s="69"/>
      <c r="AO68" s="68"/>
      <c r="AR68" s="70"/>
      <c r="AS68" s="70"/>
      <c r="AT68" s="70"/>
      <c r="AU68" s="70"/>
      <c r="AV68" s="70"/>
    </row>
    <row r="69" spans="1:48" x14ac:dyDescent="0.25">
      <c r="A69" s="21" t="s">
        <v>73</v>
      </c>
      <c r="B69" s="35" t="s">
        <v>7</v>
      </c>
      <c r="L69" s="34">
        <f t="shared" ref="L69:AT69" si="58">L11/L56</f>
        <v>0.57071671158379811</v>
      </c>
      <c r="M69" s="34">
        <f t="shared" si="58"/>
        <v>0.57030189938742226</v>
      </c>
      <c r="N69" s="34">
        <f t="shared" si="58"/>
        <v>0.61774181142486728</v>
      </c>
      <c r="O69" s="34">
        <f t="shared" si="58"/>
        <v>0.61588499065929325</v>
      </c>
      <c r="P69" s="34">
        <f t="shared" si="58"/>
        <v>0.60968567882587454</v>
      </c>
      <c r="Q69" s="34">
        <f t="shared" si="58"/>
        <v>0.60690740922955821</v>
      </c>
      <c r="R69" s="34">
        <f t="shared" si="58"/>
        <v>0.62246264499876869</v>
      </c>
      <c r="S69" s="34">
        <f t="shared" si="58"/>
        <v>0.64744321892825196</v>
      </c>
      <c r="T69" s="34">
        <f t="shared" si="58"/>
        <v>0.65612584593206502</v>
      </c>
      <c r="U69" s="34">
        <f t="shared" si="58"/>
        <v>0.63782417223943888</v>
      </c>
      <c r="V69" s="14">
        <f t="shared" si="58"/>
        <v>0.62418259557344069</v>
      </c>
      <c r="W69" s="14">
        <f t="shared" si="58"/>
        <v>0.64776936704783383</v>
      </c>
      <c r="X69" s="14">
        <f t="shared" si="58"/>
        <v>0.61712520023459183</v>
      </c>
      <c r="Y69" s="257">
        <f t="shared" si="58"/>
        <v>0.65603235228038648</v>
      </c>
      <c r="Z69" s="257">
        <f t="shared" si="58"/>
        <v>0.62356370158623398</v>
      </c>
      <c r="AA69" s="257">
        <f t="shared" si="58"/>
        <v>0.63383341253139636</v>
      </c>
      <c r="AB69" s="257">
        <f t="shared" si="58"/>
        <v>0.64853085899058061</v>
      </c>
      <c r="AC69" s="257">
        <f t="shared" si="58"/>
        <v>0.65112232469114317</v>
      </c>
      <c r="AD69" s="257">
        <f t="shared" si="58"/>
        <v>0.63970839017735337</v>
      </c>
      <c r="AE69" s="257">
        <f t="shared" si="58"/>
        <v>0.64137081130792561</v>
      </c>
      <c r="AF69" s="257">
        <f t="shared" si="58"/>
        <v>0.60919540229885061</v>
      </c>
      <c r="AG69" s="257">
        <f t="shared" si="58"/>
        <v>0.61115755202604605</v>
      </c>
      <c r="AH69" s="257">
        <f t="shared" si="58"/>
        <v>0.59831548299885617</v>
      </c>
      <c r="AI69" s="257">
        <f t="shared" si="58"/>
        <v>0.5925036849863129</v>
      </c>
      <c r="AJ69" s="257">
        <f t="shared" si="58"/>
        <v>0.58762644083744997</v>
      </c>
      <c r="AK69" s="257">
        <f t="shared" si="58"/>
        <v>0.5904618347778755</v>
      </c>
      <c r="AL69" s="257">
        <f t="shared" si="58"/>
        <v>0.58642371792704773</v>
      </c>
      <c r="AM69" s="257">
        <f t="shared" si="58"/>
        <v>0.5754131398629585</v>
      </c>
      <c r="AN69" s="257">
        <f t="shared" si="58"/>
        <v>0.58523472331497506</v>
      </c>
      <c r="AO69" s="257">
        <f t="shared" si="58"/>
        <v>0.57656772879383089</v>
      </c>
      <c r="AP69" s="257">
        <f t="shared" si="58"/>
        <v>0.57131402843309587</v>
      </c>
      <c r="AQ69" s="257">
        <f t="shared" si="58"/>
        <v>0.53213511204573827</v>
      </c>
      <c r="AR69" s="257">
        <f t="shared" si="58"/>
        <v>0.50769977802441735</v>
      </c>
      <c r="AS69" s="257">
        <f t="shared" si="58"/>
        <v>0.54632816982214571</v>
      </c>
      <c r="AT69" s="257">
        <f t="shared" si="58"/>
        <v>0.56472775897371608</v>
      </c>
      <c r="AU69" s="257"/>
      <c r="AV69" s="257"/>
    </row>
    <row r="70" spans="1:48" x14ac:dyDescent="0.25">
      <c r="A70" s="21" t="s">
        <v>74</v>
      </c>
      <c r="B70" s="35" t="s">
        <v>7</v>
      </c>
      <c r="L70" s="34">
        <f t="shared" ref="L70:AT70" si="59">L12/L57</f>
        <v>0.86299008649038322</v>
      </c>
      <c r="M70" s="34">
        <f t="shared" si="59"/>
        <v>0.88960651953576353</v>
      </c>
      <c r="N70" s="34">
        <f t="shared" si="59"/>
        <v>0.91063683773238724</v>
      </c>
      <c r="O70" s="34">
        <f t="shared" si="59"/>
        <v>0.87069409680473919</v>
      </c>
      <c r="P70" s="34">
        <f t="shared" si="59"/>
        <v>0.81892505419105976</v>
      </c>
      <c r="Q70" s="34">
        <f t="shared" si="59"/>
        <v>0.85877397184347637</v>
      </c>
      <c r="R70" s="34">
        <f t="shared" si="59"/>
        <v>0.84568871915833599</v>
      </c>
      <c r="S70" s="34">
        <f t="shared" si="59"/>
        <v>0.85295328809553639</v>
      </c>
      <c r="T70" s="34">
        <f t="shared" si="59"/>
        <v>0.88587541154610949</v>
      </c>
      <c r="U70" s="34">
        <f t="shared" si="59"/>
        <v>0.88650228774783935</v>
      </c>
      <c r="V70" s="14">
        <f t="shared" si="59"/>
        <v>0.88352745424292845</v>
      </c>
      <c r="W70" s="14">
        <f t="shared" si="59"/>
        <v>0.89042357274401474</v>
      </c>
      <c r="X70" s="14">
        <f t="shared" si="59"/>
        <v>0.88318117435875865</v>
      </c>
      <c r="Y70" s="257">
        <f t="shared" si="59"/>
        <v>0.88824536001053045</v>
      </c>
      <c r="Z70" s="257">
        <f t="shared" si="59"/>
        <v>0.86073325560305736</v>
      </c>
      <c r="AA70" s="257">
        <f t="shared" si="59"/>
        <v>0.91416426710544363</v>
      </c>
      <c r="AB70" s="257">
        <f t="shared" si="59"/>
        <v>0.89312448017743273</v>
      </c>
      <c r="AC70" s="257">
        <f t="shared" si="59"/>
        <v>0.88974854932301739</v>
      </c>
      <c r="AD70" s="257">
        <f t="shared" si="59"/>
        <v>0.88418592573357568</v>
      </c>
      <c r="AE70" s="257">
        <f t="shared" si="59"/>
        <v>0.88216100815691101</v>
      </c>
      <c r="AF70" s="257">
        <f t="shared" si="59"/>
        <v>0.88020758252847053</v>
      </c>
      <c r="AG70" s="257">
        <f t="shared" si="59"/>
        <v>0.87631724902939545</v>
      </c>
      <c r="AH70" s="257">
        <f t="shared" si="59"/>
        <v>0.8738674971687429</v>
      </c>
      <c r="AI70" s="257">
        <f t="shared" si="59"/>
        <v>0.87272458191505109</v>
      </c>
      <c r="AJ70" s="257">
        <f t="shared" si="59"/>
        <v>0.87324403789611238</v>
      </c>
      <c r="AK70" s="257">
        <f t="shared" si="59"/>
        <v>0.87089504185447519</v>
      </c>
      <c r="AL70" s="257">
        <f t="shared" si="59"/>
        <v>0.8696236559139785</v>
      </c>
      <c r="AM70" s="257">
        <f t="shared" si="59"/>
        <v>0.86473429951690817</v>
      </c>
      <c r="AN70" s="257">
        <f t="shared" si="59"/>
        <v>0.87237695536054938</v>
      </c>
      <c r="AO70" s="257">
        <f t="shared" si="59"/>
        <v>0.83327357475797781</v>
      </c>
      <c r="AP70" s="257">
        <f t="shared" si="59"/>
        <v>0.81014968966776191</v>
      </c>
      <c r="AQ70" s="257">
        <f t="shared" si="59"/>
        <v>0.80118411000763945</v>
      </c>
      <c r="AR70" s="257">
        <f t="shared" si="59"/>
        <v>0.80731182795698919</v>
      </c>
      <c r="AS70" s="257">
        <f t="shared" si="59"/>
        <v>0.84235346957107571</v>
      </c>
      <c r="AT70" s="257">
        <f t="shared" si="59"/>
        <v>0.85250177851553233</v>
      </c>
      <c r="AU70" s="257"/>
      <c r="AV70" s="257"/>
    </row>
    <row r="71" spans="1:48" x14ac:dyDescent="0.25">
      <c r="A71" s="21" t="s">
        <v>72</v>
      </c>
      <c r="B71" s="35" t="s">
        <v>7</v>
      </c>
      <c r="L71" s="34">
        <f t="shared" ref="L71:AT71" si="60">L13/L58</f>
        <v>0.58809559582133319</v>
      </c>
      <c r="M71" s="34">
        <f t="shared" si="60"/>
        <v>0.70288463278987812</v>
      </c>
      <c r="N71" s="34">
        <f t="shared" si="60"/>
        <v>0.7021413823675583</v>
      </c>
      <c r="O71" s="34">
        <f t="shared" si="60"/>
        <v>0.71902500549116533</v>
      </c>
      <c r="P71" s="34">
        <f t="shared" si="60"/>
        <v>0.73902923669084797</v>
      </c>
      <c r="Q71" s="34">
        <f t="shared" si="60"/>
        <v>0.73014173304136487</v>
      </c>
      <c r="R71" s="34">
        <f t="shared" si="60"/>
        <v>0.71352876846974256</v>
      </c>
      <c r="S71" s="34">
        <f t="shared" si="60"/>
        <v>0.70775342696845889</v>
      </c>
      <c r="T71" s="34">
        <f t="shared" si="60"/>
        <v>0.70476825284246758</v>
      </c>
      <c r="U71" s="34">
        <f t="shared" si="60"/>
        <v>0.71682119602724514</v>
      </c>
      <c r="V71" s="14">
        <f t="shared" si="60"/>
        <v>0.71930055411787064</v>
      </c>
      <c r="W71" s="14">
        <f t="shared" si="60"/>
        <v>0.72118303457866262</v>
      </c>
      <c r="X71" s="14">
        <f t="shared" si="60"/>
        <v>0.68377535413467427</v>
      </c>
      <c r="Y71" s="257">
        <f t="shared" si="60"/>
        <v>0.69234923827615746</v>
      </c>
      <c r="Z71" s="257">
        <f t="shared" si="60"/>
        <v>0.69164862914862912</v>
      </c>
      <c r="AA71" s="257">
        <f t="shared" si="60"/>
        <v>0.69566249460509277</v>
      </c>
      <c r="AB71" s="257">
        <f t="shared" si="60"/>
        <v>0.66478738079529776</v>
      </c>
      <c r="AC71" s="257">
        <f t="shared" si="60"/>
        <v>0.64058037244373356</v>
      </c>
      <c r="AD71" s="257">
        <f t="shared" si="60"/>
        <v>0.57331515491752882</v>
      </c>
      <c r="AE71" s="257">
        <f t="shared" si="60"/>
        <v>0.51897275038185453</v>
      </c>
      <c r="AF71" s="257">
        <f t="shared" si="60"/>
        <v>0.48826555518005332</v>
      </c>
      <c r="AG71" s="257">
        <f t="shared" si="60"/>
        <v>0.49668214996682147</v>
      </c>
      <c r="AH71" s="257">
        <f t="shared" si="60"/>
        <v>0.5295944994408317</v>
      </c>
      <c r="AI71" s="257">
        <f t="shared" si="60"/>
        <v>0.58705475810738972</v>
      </c>
      <c r="AJ71" s="257">
        <f t="shared" si="60"/>
        <v>0.49361129791526565</v>
      </c>
      <c r="AK71" s="257">
        <f t="shared" si="60"/>
        <v>0.40605651243949115</v>
      </c>
      <c r="AL71" s="257">
        <f t="shared" si="60"/>
        <v>0.41245688780685735</v>
      </c>
      <c r="AM71" s="257">
        <f t="shared" si="60"/>
        <v>0.39436619718309857</v>
      </c>
      <c r="AN71" s="257">
        <f t="shared" si="60"/>
        <v>0.44360833256859689</v>
      </c>
      <c r="AO71" s="257">
        <f t="shared" si="60"/>
        <v>0.42388619132805178</v>
      </c>
      <c r="AP71" s="257">
        <f t="shared" si="60"/>
        <v>0.43152743195672705</v>
      </c>
      <c r="AQ71" s="257">
        <f t="shared" si="60"/>
        <v>0.40111556903806633</v>
      </c>
      <c r="AR71" s="257">
        <f t="shared" si="60"/>
        <v>0.45331006108963967</v>
      </c>
      <c r="AS71" s="257">
        <f t="shared" si="60"/>
        <v>0.4246690481193528</v>
      </c>
      <c r="AT71" s="257">
        <f t="shared" si="60"/>
        <v>0.38408208541320021</v>
      </c>
      <c r="AU71" s="257"/>
      <c r="AV71" s="257"/>
    </row>
    <row r="72" spans="1:48" x14ac:dyDescent="0.25">
      <c r="B72" s="21"/>
      <c r="L72" s="27"/>
      <c r="M72" s="27"/>
      <c r="N72" s="27"/>
      <c r="O72" s="27"/>
      <c r="P72" s="27"/>
      <c r="Q72" s="27"/>
      <c r="R72" s="27"/>
      <c r="S72" s="27"/>
      <c r="T72" s="153"/>
      <c r="U72" s="153"/>
      <c r="Z72" s="225"/>
      <c r="AM72" s="69"/>
      <c r="AO72" s="68"/>
      <c r="AR72" s="70"/>
      <c r="AS72" s="70"/>
      <c r="AT72" s="70"/>
      <c r="AU72" s="70"/>
      <c r="AV72" s="70"/>
    </row>
    <row r="73" spans="1:48" s="28" customFormat="1" ht="15" x14ac:dyDescent="0.3">
      <c r="B73" s="29" t="s">
        <v>9</v>
      </c>
      <c r="L73" s="32"/>
      <c r="M73" s="32"/>
      <c r="N73" s="32"/>
      <c r="O73" s="32"/>
      <c r="P73" s="32"/>
      <c r="Q73" s="32"/>
      <c r="R73" s="32"/>
      <c r="S73" s="32"/>
      <c r="T73" s="154"/>
      <c r="U73" s="154"/>
      <c r="V73" s="12"/>
      <c r="W73" s="12"/>
      <c r="Y73" s="225"/>
      <c r="Z73" s="225"/>
      <c r="AM73" s="437"/>
      <c r="AN73" s="73"/>
      <c r="AO73" s="68"/>
      <c r="AP73" s="73"/>
      <c r="AQ73" s="73"/>
      <c r="AR73" s="70"/>
      <c r="AS73" s="70"/>
      <c r="AT73" s="70"/>
      <c r="AU73" s="70"/>
      <c r="AV73" s="70"/>
    </row>
    <row r="74" spans="1:48" x14ac:dyDescent="0.25">
      <c r="A74" s="21" t="s">
        <v>83</v>
      </c>
      <c r="B74" s="21" t="s">
        <v>9</v>
      </c>
      <c r="C74" s="33">
        <f t="shared" ref="C74:AT74" si="61">C17/C47</f>
        <v>0.38871603053470127</v>
      </c>
      <c r="D74" s="33">
        <f t="shared" si="61"/>
        <v>0.10855705389192254</v>
      </c>
      <c r="E74" s="36">
        <f t="shared" si="61"/>
        <v>0.38253317380375912</v>
      </c>
      <c r="F74" s="36">
        <f t="shared" si="61"/>
        <v>0.45290934255527726</v>
      </c>
      <c r="G74" s="36">
        <f t="shared" si="61"/>
        <v>0.55072054339418597</v>
      </c>
      <c r="H74" s="34">
        <f t="shared" si="61"/>
        <v>0.19620083759928142</v>
      </c>
      <c r="I74" s="34">
        <f t="shared" si="61"/>
        <v>0.23530710958234263</v>
      </c>
      <c r="J74" s="34">
        <f t="shared" si="61"/>
        <v>0.29862281667732693</v>
      </c>
      <c r="K74" s="34">
        <f t="shared" si="61"/>
        <v>0.29131872940329273</v>
      </c>
      <c r="L74" s="34">
        <f t="shared" si="61"/>
        <v>0.32481924145267094</v>
      </c>
      <c r="M74" s="34">
        <f t="shared" si="61"/>
        <v>0.28185024833943678</v>
      </c>
      <c r="N74" s="34">
        <f t="shared" si="61"/>
        <v>0.37247183636227249</v>
      </c>
      <c r="O74" s="34">
        <f t="shared" si="61"/>
        <v>0.30861484602699968</v>
      </c>
      <c r="P74" s="34">
        <f t="shared" si="61"/>
        <v>0.36651214122038717</v>
      </c>
      <c r="Q74" s="34">
        <f t="shared" si="61"/>
        <v>0.33113988463220267</v>
      </c>
      <c r="R74" s="34">
        <f t="shared" si="61"/>
        <v>0.31781316997019976</v>
      </c>
      <c r="S74" s="34">
        <f t="shared" si="61"/>
        <v>0.34544343621519363</v>
      </c>
      <c r="T74" s="34">
        <f t="shared" si="61"/>
        <v>0.37522670770461947</v>
      </c>
      <c r="U74" s="34">
        <f t="shared" si="61"/>
        <v>0.35067558727869613</v>
      </c>
      <c r="V74" s="14">
        <f t="shared" si="61"/>
        <v>0.34482260525631564</v>
      </c>
      <c r="W74" s="14">
        <f t="shared" si="61"/>
        <v>0.40705440855788533</v>
      </c>
      <c r="X74" s="14">
        <f t="shared" si="61"/>
        <v>0.44552131494270664</v>
      </c>
      <c r="Y74" s="257">
        <f t="shared" si="61"/>
        <v>0.45575052032398006</v>
      </c>
      <c r="Z74" s="257">
        <f t="shared" si="61"/>
        <v>0.43800537818596508</v>
      </c>
      <c r="AA74" s="257">
        <f t="shared" si="61"/>
        <v>0.38168896989463924</v>
      </c>
      <c r="AB74" s="257">
        <f t="shared" si="61"/>
        <v>0.50642907990745689</v>
      </c>
      <c r="AC74" s="257">
        <f t="shared" si="61"/>
        <v>0.50128062922254712</v>
      </c>
      <c r="AD74" s="257">
        <f t="shared" si="61"/>
        <v>0.4800174191276847</v>
      </c>
      <c r="AE74" s="257">
        <f t="shared" si="61"/>
        <v>0.49038965337528184</v>
      </c>
      <c r="AF74" s="257">
        <f t="shared" si="61"/>
        <v>0.53209974049418929</v>
      </c>
      <c r="AG74" s="257">
        <f t="shared" si="61"/>
        <v>0.51913381237492406</v>
      </c>
      <c r="AH74" s="257">
        <f t="shared" si="61"/>
        <v>0.55211169763422974</v>
      </c>
      <c r="AI74" s="257">
        <f t="shared" si="61"/>
        <v>0.4886276491526701</v>
      </c>
      <c r="AJ74" s="257">
        <f t="shared" si="61"/>
        <v>0.48069725210390757</v>
      </c>
      <c r="AK74" s="257">
        <f t="shared" si="61"/>
        <v>0.50135401404536961</v>
      </c>
      <c r="AL74" s="257">
        <f t="shared" si="61"/>
        <v>0.50781867582466478</v>
      </c>
      <c r="AM74" s="257">
        <f t="shared" si="61"/>
        <v>0.47137446614198608</v>
      </c>
      <c r="AN74" s="257">
        <f t="shared" si="61"/>
        <v>0.46381662296337761</v>
      </c>
      <c r="AO74" s="257">
        <f t="shared" si="61"/>
        <v>0.44053183754025138</v>
      </c>
      <c r="AP74" s="257">
        <f t="shared" si="61"/>
        <v>0.46242945444772909</v>
      </c>
      <c r="AQ74" s="257">
        <f t="shared" si="61"/>
        <v>0.41572885505204787</v>
      </c>
      <c r="AR74" s="257">
        <f t="shared" si="61"/>
        <v>0.43141146991612905</v>
      </c>
      <c r="AS74" s="257">
        <f t="shared" si="61"/>
        <v>0.47016242193569369</v>
      </c>
      <c r="AT74" s="257">
        <f t="shared" si="61"/>
        <v>0.43253262858730934</v>
      </c>
      <c r="AU74" s="257"/>
      <c r="AV74" s="257"/>
    </row>
    <row r="75" spans="1:48" x14ac:dyDescent="0.25">
      <c r="A75" s="21" t="s">
        <v>82</v>
      </c>
      <c r="B75" s="21"/>
      <c r="C75" s="33"/>
      <c r="D75" s="33"/>
      <c r="E75" s="36"/>
      <c r="F75" s="36"/>
      <c r="G75" s="3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>
        <f t="shared" ref="T75:AT75" si="62">T19/T49</f>
        <v>3.2499273390229079E-3</v>
      </c>
      <c r="U75" s="34">
        <f t="shared" si="62"/>
        <v>2.3815389669048204E-3</v>
      </c>
      <c r="V75" s="14">
        <f t="shared" si="62"/>
        <v>1.7985611510791368E-3</v>
      </c>
      <c r="W75" s="14">
        <f t="shared" si="62"/>
        <v>1.8198362147406734E-3</v>
      </c>
      <c r="X75" s="14">
        <f t="shared" si="62"/>
        <v>1.6388964763725759E-3</v>
      </c>
      <c r="Y75" s="257">
        <f t="shared" si="62"/>
        <v>1.5582711391782171E-3</v>
      </c>
      <c r="Z75" s="257">
        <f t="shared" si="62"/>
        <v>1.2488725456185389E-3</v>
      </c>
      <c r="AA75" s="257">
        <f t="shared" si="62"/>
        <v>1.4973795857249812E-3</v>
      </c>
      <c r="AB75" s="257">
        <f t="shared" si="62"/>
        <v>1.3058483350433729E-3</v>
      </c>
      <c r="AC75" s="257">
        <f t="shared" si="62"/>
        <v>1.3463480309660047E-3</v>
      </c>
      <c r="AD75" s="257">
        <f t="shared" si="62"/>
        <v>1.2366671819446591E-3</v>
      </c>
      <c r="AE75" s="257">
        <f t="shared" si="62"/>
        <v>1.3318198718541409E-3</v>
      </c>
      <c r="AF75" s="257">
        <f t="shared" si="62"/>
        <v>1.6144221713978205E-3</v>
      </c>
      <c r="AG75" s="257">
        <f t="shared" si="62"/>
        <v>1.6029593094944513E-3</v>
      </c>
      <c r="AH75" s="257">
        <f t="shared" si="62"/>
        <v>1.7747440273037543E-3</v>
      </c>
      <c r="AI75" s="257">
        <f t="shared" si="62"/>
        <v>1.601576937292103E-3</v>
      </c>
      <c r="AJ75" s="257">
        <f t="shared" si="62"/>
        <v>1.6176867080075492E-3</v>
      </c>
      <c r="AK75" s="257">
        <f t="shared" si="62"/>
        <v>1.9820094526604667E-3</v>
      </c>
      <c r="AL75" s="257">
        <f t="shared" si="62"/>
        <v>2.7001270648030497E-3</v>
      </c>
      <c r="AM75" s="257">
        <f t="shared" si="62"/>
        <v>1.869158878504673E-3</v>
      </c>
      <c r="AN75" s="257">
        <f t="shared" si="62"/>
        <v>1.8539117538005192E-3</v>
      </c>
      <c r="AO75" s="257">
        <f t="shared" si="62"/>
        <v>1.788036410923277E-3</v>
      </c>
      <c r="AP75" s="257">
        <f t="shared" si="62"/>
        <v>1.6218407892958507E-3</v>
      </c>
      <c r="AQ75" s="257">
        <f t="shared" si="62"/>
        <v>1.7611271213576688E-3</v>
      </c>
      <c r="AR75" s="257">
        <f t="shared" si="62"/>
        <v>1.4321518080916578E-3</v>
      </c>
      <c r="AS75" s="257">
        <f t="shared" si="62"/>
        <v>1.2355212355212356E-3</v>
      </c>
      <c r="AT75" s="257">
        <f t="shared" si="62"/>
        <v>1.1807614599459474E-3</v>
      </c>
      <c r="AU75" s="257"/>
      <c r="AV75" s="257"/>
    </row>
    <row r="76" spans="1:48" x14ac:dyDescent="0.25">
      <c r="A76" s="21" t="s">
        <v>84</v>
      </c>
      <c r="B76" s="21" t="s">
        <v>9</v>
      </c>
      <c r="C76" s="33">
        <f t="shared" ref="C76:S76" si="63">C20/C50</f>
        <v>0.99825973132019064</v>
      </c>
      <c r="D76" s="33">
        <f t="shared" si="63"/>
        <v>0.89750656341826518</v>
      </c>
      <c r="E76" s="36">
        <f t="shared" si="63"/>
        <v>0.92190272364902548</v>
      </c>
      <c r="F76" s="36">
        <f t="shared" si="63"/>
        <v>0.92982787322598304</v>
      </c>
      <c r="G76" s="36">
        <f t="shared" si="63"/>
        <v>0.95809238826347931</v>
      </c>
      <c r="H76" s="34">
        <f t="shared" si="63"/>
        <v>0.64164770325625231</v>
      </c>
      <c r="I76" s="34">
        <f t="shared" si="63"/>
        <v>0.57518017921782849</v>
      </c>
      <c r="J76" s="34">
        <f t="shared" si="63"/>
        <v>0.65119668880333759</v>
      </c>
      <c r="K76" s="34">
        <f t="shared" si="63"/>
        <v>0.61276409868924886</v>
      </c>
      <c r="L76" s="34">
        <f t="shared" si="63"/>
        <v>0.59128704292367373</v>
      </c>
      <c r="M76" s="34">
        <f t="shared" si="63"/>
        <v>0.55224690389089448</v>
      </c>
      <c r="N76" s="34">
        <f t="shared" si="63"/>
        <v>0.65732653629476978</v>
      </c>
      <c r="O76" s="34">
        <f t="shared" si="63"/>
        <v>0.61593389843425828</v>
      </c>
      <c r="P76" s="34">
        <f t="shared" si="63"/>
        <v>0.73017694279808443</v>
      </c>
      <c r="Q76" s="34">
        <f t="shared" si="63"/>
        <v>0.62399906439624064</v>
      </c>
      <c r="R76" s="34">
        <f t="shared" si="63"/>
        <v>0.63919639778224635</v>
      </c>
      <c r="S76" s="34">
        <f t="shared" si="63"/>
        <v>0.71341611560849783</v>
      </c>
      <c r="T76" s="34">
        <f t="shared" ref="T76:AT76" si="64">T20/T50</f>
        <v>0.67842319547042595</v>
      </c>
      <c r="U76" s="34">
        <f t="shared" si="64"/>
        <v>0.67111608680675161</v>
      </c>
      <c r="V76" s="14">
        <f t="shared" si="64"/>
        <v>0.65714667022554385</v>
      </c>
      <c r="W76" s="14">
        <f t="shared" si="64"/>
        <v>0.6829600613131227</v>
      </c>
      <c r="X76" s="14">
        <f t="shared" si="64"/>
        <v>0.68500244259892529</v>
      </c>
      <c r="Y76" s="257">
        <f t="shared" si="64"/>
        <v>0.68795605476756583</v>
      </c>
      <c r="Z76" s="257">
        <f t="shared" si="64"/>
        <v>0.64662349676225717</v>
      </c>
      <c r="AA76" s="257">
        <f t="shared" si="64"/>
        <v>0.66002708947494226</v>
      </c>
      <c r="AB76" s="257">
        <f t="shared" si="64"/>
        <v>0.68186070244068375</v>
      </c>
      <c r="AC76" s="257">
        <f t="shared" si="64"/>
        <v>0.71033339708038501</v>
      </c>
      <c r="AD76" s="257">
        <f t="shared" si="64"/>
        <v>0.69683342701892448</v>
      </c>
      <c r="AE76" s="257">
        <f t="shared" si="64"/>
        <v>0.68572265920638709</v>
      </c>
      <c r="AF76" s="257">
        <f t="shared" si="64"/>
        <v>0.65146579804560256</v>
      </c>
      <c r="AG76" s="257">
        <f t="shared" si="64"/>
        <v>0.67395868938913028</v>
      </c>
      <c r="AH76" s="257">
        <f t="shared" si="64"/>
        <v>0.74407603506640052</v>
      </c>
      <c r="AI76" s="257">
        <f t="shared" si="64"/>
        <v>0.6426720947446336</v>
      </c>
      <c r="AJ76" s="257">
        <f t="shared" si="64"/>
        <v>0.62706828543619697</v>
      </c>
      <c r="AK76" s="257">
        <f t="shared" si="64"/>
        <v>0.6208569953536397</v>
      </c>
      <c r="AL76" s="257">
        <f t="shared" si="64"/>
        <v>0.70239538480832742</v>
      </c>
      <c r="AM76" s="257">
        <f t="shared" si="64"/>
        <v>0.4725270979616879</v>
      </c>
      <c r="AN76" s="257">
        <f t="shared" si="64"/>
        <v>0.487297053517739</v>
      </c>
      <c r="AO76" s="257">
        <f t="shared" si="64"/>
        <v>0.51617350369872228</v>
      </c>
      <c r="AP76" s="257">
        <f t="shared" si="64"/>
        <v>0.49341869256877952</v>
      </c>
      <c r="AQ76" s="257">
        <f t="shared" si="64"/>
        <v>0.48904767848227659</v>
      </c>
      <c r="AR76" s="257">
        <f t="shared" si="64"/>
        <v>0.50862378727991375</v>
      </c>
      <c r="AS76" s="257">
        <f t="shared" si="64"/>
        <v>0.64206882369070473</v>
      </c>
      <c r="AT76" s="257">
        <f t="shared" si="64"/>
        <v>0.67450402214117589</v>
      </c>
      <c r="AU76" s="257"/>
      <c r="AV76" s="257"/>
    </row>
    <row r="77" spans="1:48" x14ac:dyDescent="0.25">
      <c r="A77" s="21" t="s">
        <v>75</v>
      </c>
      <c r="B77" s="21" t="s">
        <v>9</v>
      </c>
      <c r="C77" s="33">
        <f t="shared" ref="C77:S77" si="65">C21/C51</f>
        <v>0.34829185300313154</v>
      </c>
      <c r="D77" s="33">
        <f t="shared" si="65"/>
        <v>0.12461260521524931</v>
      </c>
      <c r="E77" s="36">
        <f t="shared" si="65"/>
        <v>0.3254414250182901</v>
      </c>
      <c r="F77" s="36">
        <f t="shared" si="65"/>
        <v>0.48382267165241666</v>
      </c>
      <c r="G77" s="36">
        <f t="shared" si="65"/>
        <v>0.60614366671086028</v>
      </c>
      <c r="H77" s="34">
        <f t="shared" si="65"/>
        <v>0.15050215237885195</v>
      </c>
      <c r="I77" s="34">
        <f t="shared" si="65"/>
        <v>0.16552614139723065</v>
      </c>
      <c r="J77" s="34">
        <f t="shared" si="65"/>
        <v>0.21967731896896864</v>
      </c>
      <c r="K77" s="34">
        <f t="shared" si="65"/>
        <v>0.18268084884680669</v>
      </c>
      <c r="L77" s="34">
        <f t="shared" si="65"/>
        <v>0.22223071655745966</v>
      </c>
      <c r="M77" s="34">
        <f t="shared" si="65"/>
        <v>0.15888449706109969</v>
      </c>
      <c r="N77" s="34">
        <f t="shared" si="65"/>
        <v>0.22998234278776469</v>
      </c>
      <c r="O77" s="34">
        <f t="shared" si="65"/>
        <v>0.18489249197519078</v>
      </c>
      <c r="P77" s="34">
        <f t="shared" si="65"/>
        <v>0.23979417774296841</v>
      </c>
      <c r="Q77" s="34">
        <f t="shared" si="65"/>
        <v>0.23905112206453918</v>
      </c>
      <c r="R77" s="34">
        <f t="shared" si="65"/>
        <v>0.26749898703403563</v>
      </c>
      <c r="S77" s="34">
        <f t="shared" si="65"/>
        <v>0.26362834374703809</v>
      </c>
      <c r="T77" s="34">
        <f t="shared" ref="T77:AT77" si="66">T21/T51</f>
        <v>0.26497724197318245</v>
      </c>
      <c r="U77" s="34">
        <f t="shared" si="66"/>
        <v>0.21989528795811519</v>
      </c>
      <c r="V77" s="14">
        <f t="shared" si="66"/>
        <v>0.28272980501392758</v>
      </c>
      <c r="W77" s="14">
        <f t="shared" si="66"/>
        <v>0.2678018575851393</v>
      </c>
      <c r="X77" s="14">
        <f t="shared" si="66"/>
        <v>0.29915254237288136</v>
      </c>
      <c r="Y77" s="257">
        <f t="shared" si="66"/>
        <v>0.2763731473408893</v>
      </c>
      <c r="Z77" s="257">
        <f t="shared" si="66"/>
        <v>0.30604437643458299</v>
      </c>
      <c r="AA77" s="257">
        <f t="shared" si="66"/>
        <v>0.29581151832460734</v>
      </c>
      <c r="AB77" s="257">
        <f t="shared" si="66"/>
        <v>0.31121951219512195</v>
      </c>
      <c r="AC77" s="257">
        <f t="shared" si="66"/>
        <v>0.32707774798927614</v>
      </c>
      <c r="AD77" s="257">
        <f t="shared" si="66"/>
        <v>0.28891736066623958</v>
      </c>
      <c r="AE77" s="257">
        <f t="shared" si="66"/>
        <v>0.25203499272027335</v>
      </c>
      <c r="AF77" s="257">
        <f t="shared" si="66"/>
        <v>0.25957170668397145</v>
      </c>
      <c r="AG77" s="257">
        <f t="shared" si="66"/>
        <v>0.24476439790575916</v>
      </c>
      <c r="AH77" s="257">
        <f t="shared" si="66"/>
        <v>0.25254813137032844</v>
      </c>
      <c r="AI77" s="257">
        <f t="shared" si="66"/>
        <v>0.3058103975535168</v>
      </c>
      <c r="AJ77" s="257">
        <f t="shared" si="66"/>
        <v>0.22888759464181713</v>
      </c>
      <c r="AK77" s="257">
        <f t="shared" si="66"/>
        <v>0.24185463659147868</v>
      </c>
      <c r="AL77" s="257">
        <f t="shared" si="66"/>
        <v>0.24156400642742368</v>
      </c>
      <c r="AM77" s="257">
        <f t="shared" si="66"/>
        <v>0.25014889815366287</v>
      </c>
      <c r="AN77" s="257">
        <f t="shared" si="66"/>
        <v>0.270481144343303</v>
      </c>
      <c r="AO77" s="257">
        <f t="shared" si="66"/>
        <v>0.23867403314917127</v>
      </c>
      <c r="AP77" s="257">
        <f t="shared" si="66"/>
        <v>0.23309352517985613</v>
      </c>
      <c r="AQ77" s="257">
        <f t="shared" si="66"/>
        <v>0.22975814931650893</v>
      </c>
      <c r="AR77" s="257">
        <f t="shared" si="66"/>
        <v>0.24294117647058824</v>
      </c>
      <c r="AS77" s="257">
        <f t="shared" si="66"/>
        <v>0.26713124274099886</v>
      </c>
      <c r="AT77" s="257">
        <f t="shared" si="66"/>
        <v>0.29881337648327938</v>
      </c>
      <c r="AU77" s="257"/>
      <c r="AV77" s="257"/>
    </row>
    <row r="78" spans="1:48" x14ac:dyDescent="0.25">
      <c r="A78" s="21" t="s">
        <v>76</v>
      </c>
      <c r="B78" s="21" t="s">
        <v>9</v>
      </c>
      <c r="C78" s="33">
        <f t="shared" ref="C78:S78" si="67">C22/C52</f>
        <v>0.64254899963968171</v>
      </c>
      <c r="D78" s="33">
        <f t="shared" si="67"/>
        <v>0.42127351403409413</v>
      </c>
      <c r="E78" s="36">
        <f t="shared" si="67"/>
        <v>0.60796092039750926</v>
      </c>
      <c r="F78" s="36">
        <f t="shared" si="67"/>
        <v>0.67660324189802856</v>
      </c>
      <c r="G78" s="36">
        <f t="shared" si="67"/>
        <v>0.76308056355483356</v>
      </c>
      <c r="H78" s="34">
        <f t="shared" si="67"/>
        <v>0.39845561928806622</v>
      </c>
      <c r="I78" s="34">
        <f t="shared" si="67"/>
        <v>0.34899987257501081</v>
      </c>
      <c r="J78" s="34">
        <f t="shared" si="67"/>
        <v>0.36313544837489431</v>
      </c>
      <c r="K78" s="34">
        <f t="shared" si="67"/>
        <v>0.36236655040811339</v>
      </c>
      <c r="L78" s="34">
        <f t="shared" si="67"/>
        <v>0.45076467974647566</v>
      </c>
      <c r="M78" s="34">
        <f t="shared" si="67"/>
        <v>0.32452865757656957</v>
      </c>
      <c r="N78" s="34">
        <f t="shared" si="67"/>
        <v>0.41734828576908978</v>
      </c>
      <c r="O78" s="34">
        <f t="shared" si="67"/>
        <v>0.39029576104932051</v>
      </c>
      <c r="P78" s="34">
        <f t="shared" si="67"/>
        <v>0.37552755190689802</v>
      </c>
      <c r="Q78" s="34">
        <f t="shared" si="67"/>
        <v>0.36998447607646151</v>
      </c>
      <c r="R78" s="34">
        <f t="shared" si="67"/>
        <v>0.37609662489504592</v>
      </c>
      <c r="S78" s="34">
        <f t="shared" si="67"/>
        <v>0.37655569453741472</v>
      </c>
      <c r="T78" s="34">
        <f t="shared" ref="T78:AT78" si="68">T22/T52</f>
        <v>0.33721436186776049</v>
      </c>
      <c r="U78" s="34">
        <f t="shared" si="68"/>
        <v>0.32127840950137987</v>
      </c>
      <c r="V78" s="14">
        <f t="shared" si="68"/>
        <v>0.31284004352557127</v>
      </c>
      <c r="W78" s="14">
        <f t="shared" si="68"/>
        <v>0.30931397960946949</v>
      </c>
      <c r="X78" s="14">
        <f t="shared" si="68"/>
        <v>0.40434168725732439</v>
      </c>
      <c r="Y78" s="257">
        <f t="shared" si="68"/>
        <v>0.3335360908353609</v>
      </c>
      <c r="Z78" s="257">
        <f t="shared" si="68"/>
        <v>0.35105008077544425</v>
      </c>
      <c r="AA78" s="257">
        <f t="shared" si="68"/>
        <v>0.35038305543037407</v>
      </c>
      <c r="AB78" s="257">
        <f t="shared" si="68"/>
        <v>0.38081081081081081</v>
      </c>
      <c r="AC78" s="257">
        <f t="shared" si="68"/>
        <v>0.39557805007991476</v>
      </c>
      <c r="AD78" s="257">
        <f t="shared" si="68"/>
        <v>0.41438998957247131</v>
      </c>
      <c r="AE78" s="257">
        <f t="shared" si="68"/>
        <v>0.41644298629607468</v>
      </c>
      <c r="AF78" s="257">
        <f t="shared" si="68"/>
        <v>0.42410865874363329</v>
      </c>
      <c r="AG78" s="257">
        <f t="shared" si="68"/>
        <v>0.43055555555555558</v>
      </c>
      <c r="AH78" s="257">
        <f t="shared" si="68"/>
        <v>0.42108036890645584</v>
      </c>
      <c r="AI78" s="257">
        <f t="shared" si="68"/>
        <v>0.49604001667361403</v>
      </c>
      <c r="AJ78" s="257">
        <f t="shared" si="68"/>
        <v>0.39414872003250712</v>
      </c>
      <c r="AK78" s="257">
        <f t="shared" si="68"/>
        <v>0.39965019676432006</v>
      </c>
      <c r="AL78" s="257">
        <f t="shared" si="68"/>
        <v>0.33988670443185603</v>
      </c>
      <c r="AM78" s="257">
        <f t="shared" si="68"/>
        <v>0.28195991091314032</v>
      </c>
      <c r="AN78" s="257">
        <f t="shared" si="68"/>
        <v>0.22479338842975208</v>
      </c>
      <c r="AO78" s="257">
        <f t="shared" si="68"/>
        <v>5.4570126974895806E-2</v>
      </c>
      <c r="AP78" s="257">
        <f t="shared" si="68"/>
        <v>4.7390730317559589E-2</v>
      </c>
      <c r="AQ78" s="257">
        <f t="shared" si="68"/>
        <v>3.2582518770364076E-2</v>
      </c>
      <c r="AR78" s="257">
        <f t="shared" si="68"/>
        <v>3.0436404326743754E-2</v>
      </c>
      <c r="AS78" s="257">
        <f t="shared" si="68"/>
        <v>3.1469560634409019E-2</v>
      </c>
      <c r="AT78" s="257">
        <f t="shared" si="68"/>
        <v>3.6281161281222808E-2</v>
      </c>
      <c r="AU78" s="257"/>
      <c r="AV78" s="257"/>
    </row>
    <row r="79" spans="1:48" x14ac:dyDescent="0.25">
      <c r="B79" s="25" t="s">
        <v>62</v>
      </c>
      <c r="L79" s="27"/>
      <c r="M79" s="27"/>
      <c r="N79" s="27"/>
      <c r="O79" s="27"/>
      <c r="P79" s="27"/>
      <c r="Q79" s="27"/>
      <c r="R79" s="27"/>
      <c r="S79" s="27"/>
      <c r="T79" s="153"/>
      <c r="U79" s="153"/>
      <c r="X79" s="9"/>
      <c r="Z79" s="225"/>
      <c r="AM79" s="69"/>
      <c r="AO79" s="68"/>
      <c r="AR79" s="70"/>
      <c r="AS79" s="70"/>
      <c r="AT79" s="70"/>
      <c r="AU79" s="70"/>
      <c r="AV79" s="70"/>
    </row>
    <row r="80" spans="1:48" x14ac:dyDescent="0.25">
      <c r="B80" s="21" t="s">
        <v>9</v>
      </c>
      <c r="L80" s="34">
        <f t="shared" ref="L80:AT80" si="69">L25/L56</f>
        <v>0.42928328841620195</v>
      </c>
      <c r="M80" s="34">
        <f t="shared" si="69"/>
        <v>0.42969810061257774</v>
      </c>
      <c r="N80" s="34">
        <f t="shared" si="69"/>
        <v>0.38225818857513277</v>
      </c>
      <c r="O80" s="34">
        <f t="shared" si="69"/>
        <v>0.38411500934070675</v>
      </c>
      <c r="P80" s="34">
        <f t="shared" si="69"/>
        <v>0.39031432117412534</v>
      </c>
      <c r="Q80" s="34">
        <f t="shared" si="69"/>
        <v>0.39309259077044179</v>
      </c>
      <c r="R80" s="34">
        <f t="shared" si="69"/>
        <v>0.3775373550012312</v>
      </c>
      <c r="S80" s="34">
        <f t="shared" si="69"/>
        <v>0.35255678107174793</v>
      </c>
      <c r="T80" s="34">
        <f t="shared" si="69"/>
        <v>0.34387415406793503</v>
      </c>
      <c r="U80" s="34">
        <f t="shared" si="69"/>
        <v>0.36217582776056106</v>
      </c>
      <c r="V80" s="14">
        <f t="shared" si="69"/>
        <v>0.37581740442655936</v>
      </c>
      <c r="W80" s="14">
        <f t="shared" si="69"/>
        <v>0.35223063295216622</v>
      </c>
      <c r="X80" s="14">
        <f t="shared" si="69"/>
        <v>0.38287479976540822</v>
      </c>
      <c r="Y80" s="257">
        <f t="shared" si="69"/>
        <v>0.34396764771961358</v>
      </c>
      <c r="Z80" s="257">
        <f t="shared" si="69"/>
        <v>0.37643629841376602</v>
      </c>
      <c r="AA80" s="257">
        <f t="shared" si="69"/>
        <v>0.36616658746860364</v>
      </c>
      <c r="AB80" s="257">
        <f t="shared" si="69"/>
        <v>0.35146914100941939</v>
      </c>
      <c r="AC80" s="257">
        <f t="shared" si="69"/>
        <v>0.34887767530885677</v>
      </c>
      <c r="AD80" s="257">
        <f t="shared" si="69"/>
        <v>0.36029160982264663</v>
      </c>
      <c r="AE80" s="257">
        <f t="shared" si="69"/>
        <v>0.35862918869207427</v>
      </c>
      <c r="AF80" s="257">
        <f t="shared" si="69"/>
        <v>0.39080459770114945</v>
      </c>
      <c r="AG80" s="257">
        <f t="shared" si="69"/>
        <v>0.38884244797395395</v>
      </c>
      <c r="AH80" s="257">
        <f t="shared" si="69"/>
        <v>0.40168451700114383</v>
      </c>
      <c r="AI80" s="257">
        <f t="shared" si="69"/>
        <v>0.4074963150136871</v>
      </c>
      <c r="AJ80" s="257">
        <f t="shared" si="69"/>
        <v>0.41237355916254997</v>
      </c>
      <c r="AK80" s="257">
        <f t="shared" si="69"/>
        <v>0.40953816522212455</v>
      </c>
      <c r="AL80" s="257">
        <f t="shared" si="69"/>
        <v>0.41357628207295222</v>
      </c>
      <c r="AM80" s="257">
        <f t="shared" si="69"/>
        <v>0.4245868601370415</v>
      </c>
      <c r="AN80" s="257">
        <f t="shared" si="69"/>
        <v>0.41476527668502494</v>
      </c>
      <c r="AO80" s="257">
        <f t="shared" si="69"/>
        <v>0.42343227120616905</v>
      </c>
      <c r="AP80" s="257">
        <f t="shared" si="69"/>
        <v>0.42868597156690413</v>
      </c>
      <c r="AQ80" s="257">
        <f t="shared" si="69"/>
        <v>0.46786488795426168</v>
      </c>
      <c r="AR80" s="257">
        <f t="shared" si="69"/>
        <v>0.49230022197558271</v>
      </c>
      <c r="AS80" s="257">
        <f t="shared" si="69"/>
        <v>0.45367183017785429</v>
      </c>
      <c r="AT80" s="257">
        <f t="shared" si="69"/>
        <v>0.43527224102628392</v>
      </c>
      <c r="AU80" s="257"/>
      <c r="AV80" s="257"/>
    </row>
    <row r="81" spans="1:51" x14ac:dyDescent="0.25">
      <c r="B81" s="21" t="s">
        <v>9</v>
      </c>
      <c r="L81" s="34">
        <f t="shared" ref="L81:AT81" si="70">L26/L57</f>
        <v>0.13700991350961675</v>
      </c>
      <c r="M81" s="34">
        <f t="shared" si="70"/>
        <v>0.11039348046423655</v>
      </c>
      <c r="N81" s="34">
        <f t="shared" si="70"/>
        <v>8.9363162267612858E-2</v>
      </c>
      <c r="O81" s="34">
        <f t="shared" si="70"/>
        <v>0.1293059031952607</v>
      </c>
      <c r="P81" s="34">
        <f t="shared" si="70"/>
        <v>0.18107494580894024</v>
      </c>
      <c r="Q81" s="34">
        <f t="shared" si="70"/>
        <v>0.14122602815652366</v>
      </c>
      <c r="R81" s="34">
        <f t="shared" si="70"/>
        <v>0.15431128084166384</v>
      </c>
      <c r="S81" s="34">
        <f t="shared" si="70"/>
        <v>0.1470467119044635</v>
      </c>
      <c r="T81" s="34">
        <f t="shared" si="70"/>
        <v>0.11412458845389054</v>
      </c>
      <c r="U81" s="34">
        <f t="shared" si="70"/>
        <v>0.11349771225216065</v>
      </c>
      <c r="V81" s="14">
        <f t="shared" si="70"/>
        <v>0.11647254575707154</v>
      </c>
      <c r="W81" s="14">
        <f t="shared" si="70"/>
        <v>0.10957642725598526</v>
      </c>
      <c r="X81" s="14">
        <f t="shared" si="70"/>
        <v>0.11681882564124139</v>
      </c>
      <c r="Y81" s="257">
        <f t="shared" si="70"/>
        <v>0.11175463998946952</v>
      </c>
      <c r="Z81" s="257">
        <f t="shared" si="70"/>
        <v>0.13926674439694262</v>
      </c>
      <c r="AA81" s="257">
        <f t="shared" si="70"/>
        <v>8.5835732894556427E-2</v>
      </c>
      <c r="AB81" s="257">
        <f t="shared" si="70"/>
        <v>0.10687551982256722</v>
      </c>
      <c r="AC81" s="257">
        <f t="shared" si="70"/>
        <v>0.1102514506769826</v>
      </c>
      <c r="AD81" s="257">
        <f t="shared" si="70"/>
        <v>0.1158140742664243</v>
      </c>
      <c r="AE81" s="257">
        <f t="shared" si="70"/>
        <v>0.11783899184308896</v>
      </c>
      <c r="AF81" s="257">
        <f t="shared" si="70"/>
        <v>0.11979241747152948</v>
      </c>
      <c r="AG81" s="257">
        <f t="shared" si="70"/>
        <v>0.12368275097060455</v>
      </c>
      <c r="AH81" s="257">
        <f t="shared" si="70"/>
        <v>0.12613250283125707</v>
      </c>
      <c r="AI81" s="257">
        <f t="shared" si="70"/>
        <v>0.12727541808494894</v>
      </c>
      <c r="AJ81" s="257">
        <f t="shared" si="70"/>
        <v>0.12675596210388762</v>
      </c>
      <c r="AK81" s="257">
        <f t="shared" si="70"/>
        <v>0.12910495814552478</v>
      </c>
      <c r="AL81" s="257">
        <f t="shared" si="70"/>
        <v>0.1303763440860215</v>
      </c>
      <c r="AM81" s="257">
        <f t="shared" si="70"/>
        <v>0.13526570048309178</v>
      </c>
      <c r="AN81" s="257">
        <f t="shared" si="70"/>
        <v>0.12762304463945059</v>
      </c>
      <c r="AO81" s="257">
        <f t="shared" si="70"/>
        <v>0.14324130512728578</v>
      </c>
      <c r="AP81" s="257">
        <f t="shared" si="70"/>
        <v>0.15370573201898502</v>
      </c>
      <c r="AQ81" s="257">
        <f t="shared" si="70"/>
        <v>0.1573720397249809</v>
      </c>
      <c r="AR81" s="257">
        <f t="shared" si="70"/>
        <v>0.1556989247311828</v>
      </c>
      <c r="AS81" s="257">
        <f t="shared" si="70"/>
        <v>0.15764653042892432</v>
      </c>
      <c r="AT81" s="257">
        <f t="shared" si="70"/>
        <v>0.14749822148446762</v>
      </c>
      <c r="AU81" s="257"/>
      <c r="AV81" s="257"/>
    </row>
    <row r="82" spans="1:51" x14ac:dyDescent="0.25">
      <c r="B82" s="21" t="s">
        <v>9</v>
      </c>
      <c r="L82" s="34">
        <f t="shared" ref="L82:AT82" si="71">L27/L58</f>
        <v>0.41190440417866675</v>
      </c>
      <c r="M82" s="34">
        <f t="shared" si="71"/>
        <v>0.29711536721012194</v>
      </c>
      <c r="N82" s="34">
        <f t="shared" si="71"/>
        <v>0.2978586176324417</v>
      </c>
      <c r="O82" s="34">
        <f t="shared" si="71"/>
        <v>0.28097499450883473</v>
      </c>
      <c r="P82" s="34">
        <f t="shared" si="71"/>
        <v>0.26097076330915214</v>
      </c>
      <c r="Q82" s="34">
        <f t="shared" si="71"/>
        <v>0.26985826695863513</v>
      </c>
      <c r="R82" s="34">
        <f t="shared" si="71"/>
        <v>0.28647123153025739</v>
      </c>
      <c r="S82" s="34">
        <f t="shared" si="71"/>
        <v>0.29224657303154106</v>
      </c>
      <c r="T82" s="34">
        <f t="shared" si="71"/>
        <v>0.29523174715753259</v>
      </c>
      <c r="U82" s="34">
        <f t="shared" si="71"/>
        <v>0.2831788039727548</v>
      </c>
      <c r="V82" s="14">
        <f t="shared" si="71"/>
        <v>0.28069944588212931</v>
      </c>
      <c r="W82" s="14">
        <f t="shared" si="71"/>
        <v>0.27881696542133738</v>
      </c>
      <c r="X82" s="14">
        <f t="shared" si="71"/>
        <v>0.31622464586532573</v>
      </c>
      <c r="Y82" s="257">
        <f t="shared" si="71"/>
        <v>0.30765076172384254</v>
      </c>
      <c r="Z82" s="257">
        <f t="shared" si="71"/>
        <v>0.30835137085137088</v>
      </c>
      <c r="AA82" s="257">
        <f t="shared" si="71"/>
        <v>0.30433750539490723</v>
      </c>
      <c r="AB82" s="257">
        <f t="shared" si="71"/>
        <v>0.33521261920470219</v>
      </c>
      <c r="AC82" s="257">
        <f t="shared" si="71"/>
        <v>0.35941962755626644</v>
      </c>
      <c r="AD82" s="257">
        <f t="shared" si="71"/>
        <v>0.42668484508247118</v>
      </c>
      <c r="AE82" s="257">
        <f t="shared" si="71"/>
        <v>0.48102724961814541</v>
      </c>
      <c r="AF82" s="257">
        <f t="shared" si="71"/>
        <v>0.51173444481994668</v>
      </c>
      <c r="AG82" s="257">
        <f t="shared" si="71"/>
        <v>0.50331785003317853</v>
      </c>
      <c r="AH82" s="257">
        <f t="shared" si="71"/>
        <v>0.4704055005591683</v>
      </c>
      <c r="AI82" s="257">
        <f t="shared" si="71"/>
        <v>0.41294524189261034</v>
      </c>
      <c r="AJ82" s="257">
        <f t="shared" si="71"/>
        <v>0.50638870208473441</v>
      </c>
      <c r="AK82" s="257">
        <f t="shared" si="71"/>
        <v>0.59394348756050885</v>
      </c>
      <c r="AL82" s="257">
        <f t="shared" si="71"/>
        <v>0.58754311219314259</v>
      </c>
      <c r="AM82" s="257">
        <f t="shared" si="71"/>
        <v>0.60563380281690138</v>
      </c>
      <c r="AN82" s="257">
        <f t="shared" si="71"/>
        <v>0.55639166743140311</v>
      </c>
      <c r="AO82" s="257">
        <f t="shared" si="71"/>
        <v>0.57611380867194817</v>
      </c>
      <c r="AP82" s="257">
        <f t="shared" si="71"/>
        <v>0.56847256804327295</v>
      </c>
      <c r="AQ82" s="257">
        <f t="shared" si="71"/>
        <v>0.57079949114394757</v>
      </c>
      <c r="AR82" s="257">
        <f t="shared" si="71"/>
        <v>0.51527240992394963</v>
      </c>
      <c r="AS82" s="257">
        <f t="shared" si="71"/>
        <v>0.54381172515234288</v>
      </c>
      <c r="AT82" s="257">
        <f t="shared" si="71"/>
        <v>0.56526160103531153</v>
      </c>
      <c r="AU82" s="257"/>
      <c r="AV82" s="257"/>
    </row>
    <row r="83" spans="1:51" x14ac:dyDescent="0.25">
      <c r="T83" s="27"/>
      <c r="Z83" s="225"/>
      <c r="AM83" s="69"/>
      <c r="AR83" s="70"/>
      <c r="AS83" s="70"/>
      <c r="AT83" s="70"/>
      <c r="AU83" s="70"/>
      <c r="AV83" s="70"/>
    </row>
    <row r="84" spans="1:51" x14ac:dyDescent="0.25">
      <c r="Z84" s="225"/>
      <c r="AM84" s="69"/>
      <c r="AR84" s="70"/>
      <c r="AS84" s="70"/>
      <c r="AT84" s="70"/>
      <c r="AU84" s="70"/>
      <c r="AV84" s="70"/>
    </row>
    <row r="85" spans="1:51" s="37" customFormat="1" ht="15" x14ac:dyDescent="0.3">
      <c r="B85" s="38" t="s">
        <v>64</v>
      </c>
      <c r="V85" s="15"/>
      <c r="W85" s="15"/>
      <c r="Y85" s="225"/>
      <c r="Z85" s="225"/>
      <c r="AM85" s="438"/>
      <c r="AN85" s="73"/>
      <c r="AO85" s="73"/>
      <c r="AP85" s="73"/>
      <c r="AQ85" s="73"/>
      <c r="AR85" s="70"/>
      <c r="AS85" s="70"/>
      <c r="AT85" s="70"/>
      <c r="AU85" s="70"/>
      <c r="AV85" s="70"/>
    </row>
    <row r="86" spans="1:51" x14ac:dyDescent="0.25">
      <c r="A86" s="155"/>
      <c r="B86" s="156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5"/>
      <c r="U86" s="155"/>
      <c r="V86" s="155"/>
      <c r="W86" s="155"/>
      <c r="Z86" s="225"/>
      <c r="AM86" s="69"/>
      <c r="AR86" s="70"/>
      <c r="AS86" s="70"/>
      <c r="AT86" s="70"/>
      <c r="AU86" s="70"/>
      <c r="AV86" s="70"/>
    </row>
    <row r="87" spans="1:51" ht="15" x14ac:dyDescent="0.3">
      <c r="A87" s="155"/>
      <c r="B87" s="158" t="s">
        <v>77</v>
      </c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7"/>
      <c r="V87" s="157"/>
      <c r="W87" s="157"/>
      <c r="Z87" s="225"/>
      <c r="AM87" s="69"/>
      <c r="AR87" s="70"/>
      <c r="AS87" s="70"/>
      <c r="AT87" s="70"/>
      <c r="AU87" s="70"/>
      <c r="AV87" s="70"/>
    </row>
    <row r="88" spans="1:51" x14ac:dyDescent="0.25">
      <c r="A88" s="155"/>
      <c r="B88" s="156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Z88" s="225"/>
      <c r="AM88" s="69"/>
      <c r="AR88" s="70"/>
      <c r="AS88" s="70"/>
      <c r="AT88" s="70"/>
      <c r="AU88" s="70"/>
      <c r="AV88" s="70"/>
    </row>
    <row r="89" spans="1:51" x14ac:dyDescent="0.25">
      <c r="A89" s="155"/>
      <c r="B89" s="156" t="s">
        <v>57</v>
      </c>
      <c r="C89" s="155"/>
      <c r="D89" s="155"/>
      <c r="E89" s="155"/>
      <c r="F89" s="155"/>
      <c r="G89" s="155"/>
      <c r="H89" s="155"/>
      <c r="I89" s="155"/>
      <c r="J89" s="155"/>
      <c r="K89" s="155"/>
      <c r="L89" s="159">
        <v>109.816</v>
      </c>
      <c r="M89" s="159">
        <v>954.072</v>
      </c>
      <c r="N89" s="159">
        <v>1937.664</v>
      </c>
      <c r="O89" s="159">
        <v>6628.5389999999998</v>
      </c>
      <c r="P89" s="159">
        <v>7822.0072330000003</v>
      </c>
      <c r="Q89" s="185">
        <v>10870.684810000001</v>
      </c>
      <c r="R89" s="185">
        <v>5197.1360000000004</v>
      </c>
      <c r="S89" s="185">
        <v>5882.1750000000002</v>
      </c>
      <c r="T89" s="185">
        <v>7942.0839999999998</v>
      </c>
      <c r="U89" s="187">
        <v>8572.2520000000004</v>
      </c>
      <c r="V89" s="185">
        <v>6730.3280000000004</v>
      </c>
      <c r="W89" s="185">
        <v>7064.5839999999998</v>
      </c>
      <c r="X89" s="270">
        <v>6719.1409999999996</v>
      </c>
      <c r="Y89" s="258">
        <v>8314.2049999999999</v>
      </c>
      <c r="Z89" s="271">
        <v>10205.172</v>
      </c>
      <c r="AA89" s="270">
        <v>8567</v>
      </c>
      <c r="AB89" s="270">
        <v>8328.2970000000005</v>
      </c>
      <c r="AC89" s="270">
        <v>9293.7999999999993</v>
      </c>
      <c r="AD89" s="270">
        <v>9678.4949199999992</v>
      </c>
      <c r="AE89" s="272">
        <v>8184.4019366666598</v>
      </c>
      <c r="AF89" s="272">
        <v>6569.55</v>
      </c>
      <c r="AG89" s="272">
        <v>6843.2330000000002</v>
      </c>
      <c r="AH89" s="272">
        <v>7334.42</v>
      </c>
      <c r="AI89" s="272">
        <v>6167.6059999999998</v>
      </c>
      <c r="AJ89" s="272">
        <v>5279.59</v>
      </c>
      <c r="AK89" s="270"/>
      <c r="AL89" s="260">
        <v>5235.3249999999998</v>
      </c>
      <c r="AM89" s="440">
        <v>5064.53</v>
      </c>
      <c r="AN89" s="488">
        <v>4260.4759999999997</v>
      </c>
      <c r="AO89" s="488">
        <v>4371.4759999999997</v>
      </c>
      <c r="AP89" s="512">
        <v>4591</v>
      </c>
      <c r="AQ89" s="67">
        <v>4185</v>
      </c>
      <c r="AR89" s="74">
        <v>3327</v>
      </c>
      <c r="AS89" s="74">
        <v>3978</v>
      </c>
      <c r="AT89" s="74">
        <v>4037</v>
      </c>
      <c r="AU89" s="74">
        <v>3688</v>
      </c>
      <c r="AV89" s="74">
        <v>3136</v>
      </c>
      <c r="AW89" s="69">
        <v>3301</v>
      </c>
      <c r="AX89" s="69">
        <v>3675</v>
      </c>
      <c r="AY89" s="69"/>
    </row>
    <row r="90" spans="1:51" x14ac:dyDescent="0.25">
      <c r="A90" s="155"/>
      <c r="B90" s="160" t="s">
        <v>78</v>
      </c>
      <c r="C90" s="155"/>
      <c r="D90" s="155"/>
      <c r="E90" s="155"/>
      <c r="F90" s="155"/>
      <c r="G90" s="155"/>
      <c r="H90" s="155"/>
      <c r="I90" s="155"/>
      <c r="J90" s="155"/>
      <c r="K90" s="155"/>
      <c r="L90" s="159">
        <v>1533.9179999999999</v>
      </c>
      <c r="M90" s="159">
        <v>3113.75</v>
      </c>
      <c r="N90" s="159">
        <v>5045.732</v>
      </c>
      <c r="O90" s="159">
        <v>6815.0780000000004</v>
      </c>
      <c r="P90" s="159">
        <v>6113.84879</v>
      </c>
      <c r="Q90" s="185">
        <v>7198.8915999999999</v>
      </c>
      <c r="R90" s="185">
        <v>10960.239</v>
      </c>
      <c r="S90" s="185">
        <v>9914.7330000000002</v>
      </c>
      <c r="T90" s="185">
        <v>11084.460999999999</v>
      </c>
      <c r="U90" s="187">
        <v>13568.956</v>
      </c>
      <c r="V90" s="185">
        <v>14976.562</v>
      </c>
      <c r="W90" s="185">
        <v>12878.88</v>
      </c>
      <c r="X90" s="270">
        <v>11549.368</v>
      </c>
      <c r="Y90" s="258">
        <v>13248.061</v>
      </c>
      <c r="Z90" s="271">
        <v>16432.54</v>
      </c>
      <c r="AA90" s="270">
        <v>12812</v>
      </c>
      <c r="AB90" s="270">
        <v>11467.252</v>
      </c>
      <c r="AC90" s="270">
        <v>13574.1</v>
      </c>
      <c r="AD90" s="270">
        <v>14689.059427</v>
      </c>
      <c r="AE90" s="272">
        <v>10879.825734999999</v>
      </c>
      <c r="AF90" s="272">
        <v>8025.21</v>
      </c>
      <c r="AG90" s="272">
        <v>8438.8559999999998</v>
      </c>
      <c r="AH90" s="272">
        <v>9834.2999999999993</v>
      </c>
      <c r="AI90" s="272">
        <v>7832.5479999999998</v>
      </c>
      <c r="AJ90" s="272">
        <v>6524.95</v>
      </c>
      <c r="AK90" s="270"/>
      <c r="AL90" s="260">
        <v>7297.2240000000002</v>
      </c>
      <c r="AM90" s="436">
        <v>5844.48</v>
      </c>
      <c r="AN90" s="488">
        <v>4863.9530000000004</v>
      </c>
      <c r="AO90" s="488">
        <v>5500.54</v>
      </c>
      <c r="AP90" s="488">
        <v>6220</v>
      </c>
      <c r="AQ90" s="67">
        <v>4849</v>
      </c>
      <c r="AR90" s="538">
        <v>3318</v>
      </c>
      <c r="AS90" s="74">
        <v>3797</v>
      </c>
      <c r="AT90" s="538">
        <v>3614</v>
      </c>
      <c r="AU90" s="538">
        <v>2776</v>
      </c>
      <c r="AV90" s="538">
        <v>2428</v>
      </c>
      <c r="AW90" s="69">
        <v>2474</v>
      </c>
      <c r="AX90" s="69">
        <v>2942</v>
      </c>
      <c r="AY90" s="69"/>
    </row>
    <row r="91" spans="1:51" ht="15.75" x14ac:dyDescent="0.3">
      <c r="A91" s="155"/>
      <c r="B91" s="156" t="s">
        <v>79</v>
      </c>
      <c r="C91" s="155"/>
      <c r="D91" s="155"/>
      <c r="E91" s="155"/>
      <c r="F91" s="155"/>
      <c r="G91" s="155"/>
      <c r="H91" s="155"/>
      <c r="I91" s="155"/>
      <c r="J91" s="155"/>
      <c r="K91" s="155"/>
      <c r="L91" s="159">
        <v>659.88900000000001</v>
      </c>
      <c r="M91" s="159">
        <f>2.395+856.512</f>
        <v>858.90699999999993</v>
      </c>
      <c r="N91" s="159">
        <f>178.73+1.367</f>
        <v>180.09699999999998</v>
      </c>
      <c r="O91" s="159">
        <f>241.226+3.292</f>
        <v>244.518</v>
      </c>
      <c r="P91" s="159">
        <f>215.6729033+3.183</f>
        <v>218.85590329999999</v>
      </c>
      <c r="Q91" s="185">
        <f>2252.495+3.4525</f>
        <v>2255.9474999999998</v>
      </c>
      <c r="R91" s="185">
        <f>503.795+3.861</f>
        <v>507.65600000000001</v>
      </c>
      <c r="S91" s="185">
        <f>388.354+1.871</f>
        <v>390.22499999999997</v>
      </c>
      <c r="T91" s="185">
        <v>425.88400000000001</v>
      </c>
      <c r="U91" s="187">
        <f>466.211+4.007</f>
        <v>470.21800000000002</v>
      </c>
      <c r="V91" s="185">
        <f>614.346+3.463</f>
        <v>617.80899999999997</v>
      </c>
      <c r="W91" s="185">
        <f>459.181+2.384</f>
        <v>461.565</v>
      </c>
      <c r="X91" s="270">
        <f>413.047+2.297</f>
        <v>415.34400000000005</v>
      </c>
      <c r="Y91" s="274">
        <f>531.857-2.503</f>
        <v>529.35399999999993</v>
      </c>
      <c r="Z91" s="277">
        <f>1042.158-2.18723333</f>
        <v>1039.9707666699999</v>
      </c>
      <c r="AA91" s="275">
        <f>954.6215817+1.93067</f>
        <v>956.55225169999994</v>
      </c>
      <c r="AB91" s="275">
        <f>1071.3012+1.81699</f>
        <v>1073.1181900000001</v>
      </c>
      <c r="AC91" s="275">
        <v>1232.7</v>
      </c>
      <c r="AD91" s="275">
        <f>1661.25408+2.3590221667</f>
        <v>1663.6131021666999</v>
      </c>
      <c r="AE91" s="276">
        <f>1494.39</f>
        <v>1494.39</v>
      </c>
      <c r="AF91" s="276">
        <v>1696.49</v>
      </c>
      <c r="AG91" s="276">
        <f>1467.896+77.299</f>
        <v>1545.1949999999999</v>
      </c>
      <c r="AH91" s="276">
        <v>1844.38</v>
      </c>
      <c r="AI91" s="276">
        <f>1601.806+55.815</f>
        <v>1657.6210000000001</v>
      </c>
      <c r="AJ91" s="276">
        <f>1365.65+34.95</f>
        <v>1400.6000000000001</v>
      </c>
      <c r="AK91" s="275"/>
      <c r="AL91" s="426">
        <v>1576.5540000000001</v>
      </c>
      <c r="AM91" s="448">
        <v>1373.7170000000001</v>
      </c>
      <c r="AN91" s="489">
        <v>1208.1289999999999</v>
      </c>
      <c r="AO91" s="489">
        <v>1408.8979999999999</v>
      </c>
      <c r="AP91" s="489">
        <v>1362</v>
      </c>
      <c r="AQ91" s="539">
        <v>1082</v>
      </c>
      <c r="AR91" s="553">
        <v>824</v>
      </c>
      <c r="AS91" s="539">
        <v>964</v>
      </c>
      <c r="AT91" s="539">
        <v>989</v>
      </c>
      <c r="AU91" s="539">
        <v>843</v>
      </c>
      <c r="AV91" s="539">
        <v>702</v>
      </c>
      <c r="AW91" s="69">
        <v>796</v>
      </c>
      <c r="AX91" s="69">
        <v>973</v>
      </c>
      <c r="AY91" s="69"/>
    </row>
    <row r="92" spans="1:51" ht="15.75" x14ac:dyDescent="0.3">
      <c r="A92" s="155"/>
      <c r="B92" s="156" t="s">
        <v>80</v>
      </c>
      <c r="C92" s="155"/>
      <c r="D92" s="155"/>
      <c r="E92" s="155"/>
      <c r="F92" s="155"/>
      <c r="G92" s="155"/>
      <c r="H92" s="155"/>
      <c r="I92" s="155"/>
      <c r="J92" s="155"/>
      <c r="K92" s="155"/>
      <c r="L92" s="159">
        <v>4.335</v>
      </c>
      <c r="M92" s="159">
        <v>17.524000000000001</v>
      </c>
      <c r="N92" s="159">
        <v>27.983000000000001</v>
      </c>
      <c r="O92" s="159">
        <v>41.61</v>
      </c>
      <c r="P92" s="159">
        <f>38.16695+0.0905</f>
        <v>38.257449999999999</v>
      </c>
      <c r="Q92" s="185">
        <f>44.381+0.956</f>
        <v>45.337000000000003</v>
      </c>
      <c r="R92" s="185">
        <f>72.864+1.698</f>
        <v>74.561999999999998</v>
      </c>
      <c r="S92" s="185">
        <f>61.506+1.596</f>
        <v>63.102000000000004</v>
      </c>
      <c r="T92" s="185">
        <f>70.714+1.826</f>
        <v>72.539999999999992</v>
      </c>
      <c r="U92" s="187">
        <f>68.237+1.877</f>
        <v>70.11399999999999</v>
      </c>
      <c r="V92" s="185">
        <f>84.234+2.082</f>
        <v>86.315999999999988</v>
      </c>
      <c r="W92" s="185">
        <f>69.536+2.641</f>
        <v>72.177000000000007</v>
      </c>
      <c r="X92" s="270">
        <v>64.013000000000005</v>
      </c>
      <c r="Y92" s="275">
        <f>67.79+2.41</f>
        <v>70.2</v>
      </c>
      <c r="Z92" s="277">
        <f>98.2611435+4.07693</f>
        <v>102.33807350000001</v>
      </c>
      <c r="AA92" s="275">
        <f>84.60823833+5.6227333</f>
        <v>90.230971629999999</v>
      </c>
      <c r="AB92" s="275">
        <f>88.064+6.473</f>
        <v>94.536999999999992</v>
      </c>
      <c r="AC92" s="275">
        <f>97.74+6.27</f>
        <v>104.00999999999999</v>
      </c>
      <c r="AD92" s="275">
        <v>119.278733</v>
      </c>
      <c r="AE92" s="276">
        <v>106.35120666666663</v>
      </c>
      <c r="AF92" s="276">
        <v>107.12</v>
      </c>
      <c r="AG92" s="276">
        <v>95.185000000000002</v>
      </c>
      <c r="AH92" s="276">
        <v>106.48</v>
      </c>
      <c r="AI92" s="276">
        <v>105.4</v>
      </c>
      <c r="AJ92" s="276">
        <v>100.36</v>
      </c>
      <c r="AK92" s="275"/>
      <c r="AL92" s="340">
        <v>96.436000000000007</v>
      </c>
      <c r="AM92" s="449">
        <v>90.177999999999997</v>
      </c>
      <c r="AN92" s="513">
        <v>84.578999999999994</v>
      </c>
      <c r="AO92" s="489">
        <v>80.777000000000001</v>
      </c>
      <c r="AP92" s="489">
        <v>73</v>
      </c>
      <c r="AQ92" s="540">
        <v>74</v>
      </c>
      <c r="AR92" s="519">
        <v>67</v>
      </c>
      <c r="AS92" s="519">
        <v>42</v>
      </c>
      <c r="AT92" s="519">
        <v>46</v>
      </c>
      <c r="AU92" s="519">
        <v>48</v>
      </c>
      <c r="AV92" s="519">
        <v>46</v>
      </c>
      <c r="AW92" s="69">
        <v>45</v>
      </c>
      <c r="AX92" s="69">
        <v>49</v>
      </c>
      <c r="AY92" s="69"/>
    </row>
    <row r="93" spans="1:51" ht="15.75" x14ac:dyDescent="0.3">
      <c r="A93" s="155"/>
      <c r="B93" s="156" t="s">
        <v>61</v>
      </c>
      <c r="C93" s="155"/>
      <c r="D93" s="155"/>
      <c r="E93" s="155"/>
      <c r="F93" s="155"/>
      <c r="G93" s="155"/>
      <c r="H93" s="155"/>
      <c r="I93" s="155"/>
      <c r="J93" s="155"/>
      <c r="K93" s="155"/>
      <c r="L93" s="159">
        <v>21.739000000000001</v>
      </c>
      <c r="M93" s="159">
        <v>87.483000000000004</v>
      </c>
      <c r="N93" s="159">
        <v>178.715</v>
      </c>
      <c r="O93" s="159">
        <v>249.631</v>
      </c>
      <c r="P93" s="159">
        <v>216.273</v>
      </c>
      <c r="Q93" s="185">
        <v>274.411</v>
      </c>
      <c r="R93" s="185">
        <v>139.87700000000001</v>
      </c>
      <c r="S93" s="185">
        <v>67.3</v>
      </c>
      <c r="T93" s="185">
        <v>430.62700000000001</v>
      </c>
      <c r="U93" s="187">
        <f>419.854</f>
        <v>419.85399999999998</v>
      </c>
      <c r="V93" s="185">
        <v>530.577</v>
      </c>
      <c r="W93" s="185">
        <v>395.51702499999999</v>
      </c>
      <c r="X93" s="270">
        <v>347.84960169999999</v>
      </c>
      <c r="Y93" s="258">
        <v>329.86425170000001</v>
      </c>
      <c r="Z93" s="271">
        <v>418.27</v>
      </c>
      <c r="AA93" s="270">
        <v>291.30130000000003</v>
      </c>
      <c r="AB93" s="270">
        <v>271.02620000000002</v>
      </c>
      <c r="AC93" s="270">
        <v>250.6</v>
      </c>
      <c r="AD93" s="270">
        <v>295.23633999999998</v>
      </c>
      <c r="AE93" s="270">
        <v>227.57047169999998</v>
      </c>
      <c r="AF93" s="270">
        <v>169.36</v>
      </c>
      <c r="AG93" s="270">
        <v>177.429</v>
      </c>
      <c r="AH93" s="270">
        <v>217.37</v>
      </c>
      <c r="AI93" s="270">
        <v>146.69399999999999</v>
      </c>
      <c r="AJ93" s="272">
        <v>143.81</v>
      </c>
      <c r="AK93" s="270"/>
      <c r="AL93" s="261">
        <v>186.62</v>
      </c>
      <c r="AM93" s="434">
        <v>154.54499999999999</v>
      </c>
      <c r="AN93" s="512">
        <v>66.468000000000004</v>
      </c>
      <c r="AO93" s="488">
        <v>71.784000000000006</v>
      </c>
      <c r="AP93" s="488">
        <v>99</v>
      </c>
      <c r="AQ93" s="540">
        <v>75</v>
      </c>
      <c r="AR93" s="519">
        <v>69</v>
      </c>
      <c r="AS93" s="519">
        <v>74</v>
      </c>
      <c r="AT93" s="519">
        <v>185</v>
      </c>
      <c r="AU93" s="519">
        <v>70</v>
      </c>
      <c r="AV93" s="519">
        <v>62</v>
      </c>
      <c r="AW93" s="69">
        <v>66</v>
      </c>
      <c r="AX93" s="69">
        <v>73</v>
      </c>
      <c r="AY93" s="69"/>
    </row>
    <row r="94" spans="1:51" ht="15.75" x14ac:dyDescent="0.3">
      <c r="A94" s="155"/>
      <c r="B94" s="160" t="s">
        <v>62</v>
      </c>
      <c r="C94" s="155"/>
      <c r="D94" s="155"/>
      <c r="E94" s="155"/>
      <c r="F94" s="155"/>
      <c r="G94" s="155"/>
      <c r="H94" s="155"/>
      <c r="I94" s="155"/>
      <c r="J94" s="155"/>
      <c r="K94" s="155"/>
      <c r="L94" s="159"/>
      <c r="M94" s="159"/>
      <c r="N94" s="159"/>
      <c r="O94" s="159"/>
      <c r="P94" s="159"/>
      <c r="Q94" s="159"/>
      <c r="R94" s="159"/>
      <c r="S94" s="182"/>
      <c r="T94" s="183">
        <f>T93+T92+T91+T89+T90</f>
        <v>19955.595999999998</v>
      </c>
      <c r="U94" s="183">
        <f>U93+U92+U91+U89+U90</f>
        <v>23101.394</v>
      </c>
      <c r="V94" s="157">
        <f>SUM(V89:V93)</f>
        <v>22941.592000000001</v>
      </c>
      <c r="W94" s="157">
        <f>SUM(W89:W93)</f>
        <v>20872.723024999999</v>
      </c>
      <c r="Z94" s="261"/>
      <c r="AM94" s="69"/>
      <c r="AN94" s="68"/>
      <c r="AO94" s="68"/>
      <c r="AP94" s="68"/>
      <c r="AQ94" s="519"/>
      <c r="AR94" s="519"/>
      <c r="AS94" s="519"/>
      <c r="AT94" s="519"/>
      <c r="AU94" s="519"/>
      <c r="AV94" s="519"/>
      <c r="AW94" s="69"/>
      <c r="AX94" s="69"/>
      <c r="AY94" s="69"/>
    </row>
    <row r="95" spans="1:51" ht="15.75" hidden="1" customHeight="1" x14ac:dyDescent="0.3">
      <c r="A95" s="155"/>
      <c r="B95" s="156" t="s">
        <v>59</v>
      </c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7"/>
      <c r="W95" s="157"/>
      <c r="X95" s="272">
        <f>11092.88639+661.618025+3.244268333</f>
        <v>11757.748683332999</v>
      </c>
      <c r="Y95" s="260">
        <f>12194.89859+861.2782633+3.201095</f>
        <v>13059.377948300002</v>
      </c>
      <c r="Z95" s="276">
        <v>16377876.498666599</v>
      </c>
      <c r="AA95" s="276">
        <v>1690354037</v>
      </c>
      <c r="AB95" s="276"/>
      <c r="AC95" s="276"/>
      <c r="AD95" s="276"/>
      <c r="AE95" s="276"/>
      <c r="AF95" s="276"/>
      <c r="AG95" s="276"/>
      <c r="AH95" s="276"/>
      <c r="AI95" s="276"/>
      <c r="AJ95" s="276"/>
      <c r="AK95" s="276"/>
      <c r="AL95" s="276"/>
      <c r="AM95" s="439"/>
      <c r="AN95" s="314"/>
      <c r="AO95" s="314"/>
      <c r="AP95" s="314"/>
      <c r="AQ95" s="518"/>
      <c r="AR95" s="552"/>
      <c r="AS95" s="546"/>
      <c r="AT95" s="546"/>
      <c r="AU95" s="546"/>
      <c r="AV95" s="546"/>
    </row>
    <row r="96" spans="1:51" ht="15.75" hidden="1" customHeight="1" x14ac:dyDescent="0.3">
      <c r="A96" s="155"/>
      <c r="B96" s="156" t="s">
        <v>60</v>
      </c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9"/>
      <c r="U96" s="159"/>
      <c r="V96" s="155"/>
      <c r="W96" s="155"/>
      <c r="X96" s="272">
        <f>18+14.811</f>
        <v>32.811</v>
      </c>
      <c r="Y96" s="260">
        <f>21000+16047</f>
        <v>37047</v>
      </c>
      <c r="Z96" s="260">
        <v>42352.101669999996</v>
      </c>
      <c r="AA96" s="272">
        <v>43945</v>
      </c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440"/>
      <c r="AN96" s="315"/>
      <c r="AO96" s="315"/>
      <c r="AP96" s="315"/>
      <c r="AQ96" s="516"/>
      <c r="AR96" s="517"/>
      <c r="AS96" s="547"/>
      <c r="AT96" s="547"/>
      <c r="AU96" s="547"/>
      <c r="AV96" s="547"/>
    </row>
    <row r="97" spans="1:52" ht="15.75" hidden="1" customHeight="1" x14ac:dyDescent="0.3">
      <c r="A97" s="155"/>
      <c r="B97" s="156" t="s">
        <v>61</v>
      </c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9"/>
      <c r="U97" s="159"/>
      <c r="V97" s="157"/>
      <c r="W97" s="157"/>
      <c r="X97" s="272">
        <v>2829.2164330000001</v>
      </c>
      <c r="Y97" s="276">
        <v>3866.6467299999999</v>
      </c>
      <c r="Z97" s="276">
        <v>4579706.7699999996</v>
      </c>
      <c r="AA97" s="276">
        <v>3579105</v>
      </c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439"/>
      <c r="AN97" s="314"/>
      <c r="AO97" s="314"/>
      <c r="AP97" s="314"/>
      <c r="AQ97" s="515"/>
      <c r="AR97" s="514"/>
      <c r="AS97" s="546"/>
      <c r="AT97" s="546"/>
      <c r="AU97" s="546"/>
      <c r="AV97" s="546"/>
    </row>
    <row r="98" spans="1:52" ht="15.75" x14ac:dyDescent="0.3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Z98" s="261"/>
      <c r="AM98" s="69"/>
      <c r="AQ98" s="515"/>
      <c r="AR98" s="514"/>
      <c r="AS98" s="546"/>
      <c r="AT98" s="546"/>
      <c r="AU98" s="546"/>
      <c r="AV98" s="546"/>
    </row>
    <row r="99" spans="1:52" ht="15.75" x14ac:dyDescent="0.25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7"/>
      <c r="W99" s="157"/>
      <c r="Z99" s="225"/>
      <c r="AM99" s="69"/>
      <c r="AQ99" s="740"/>
      <c r="AR99" s="741"/>
      <c r="AS99" s="548"/>
      <c r="AT99" s="548"/>
      <c r="AU99" s="548"/>
      <c r="AV99" s="548"/>
    </row>
    <row r="100" spans="1:52" ht="15" x14ac:dyDescent="0.3">
      <c r="A100" s="155"/>
      <c r="B100" s="162" t="s">
        <v>21</v>
      </c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Z100" s="225"/>
      <c r="AM100" s="69"/>
      <c r="AR100" s="70"/>
      <c r="AS100" s="70"/>
      <c r="AT100" s="70"/>
      <c r="AU100" s="70"/>
      <c r="AV100" s="70"/>
    </row>
    <row r="101" spans="1:52" x14ac:dyDescent="0.25">
      <c r="A101" s="155"/>
      <c r="B101" s="156" t="s">
        <v>57</v>
      </c>
      <c r="C101" s="155"/>
      <c r="D101" s="155"/>
      <c r="E101" s="155"/>
      <c r="F101" s="155"/>
      <c r="G101" s="155"/>
      <c r="H101" s="155"/>
      <c r="I101" s="155"/>
      <c r="J101" s="155"/>
      <c r="K101" s="155"/>
      <c r="L101" s="161">
        <v>80.400000000000006</v>
      </c>
      <c r="M101" s="155">
        <v>57</v>
      </c>
      <c r="N101" s="155">
        <v>56</v>
      </c>
      <c r="O101" s="155">
        <v>70</v>
      </c>
      <c r="P101" s="155">
        <v>43.118000000000002</v>
      </c>
      <c r="Q101" s="155">
        <v>37</v>
      </c>
      <c r="R101" s="155">
        <v>32.5</v>
      </c>
      <c r="S101" s="155">
        <v>30.6</v>
      </c>
      <c r="T101" s="163">
        <v>16.823</v>
      </c>
      <c r="U101" s="164">
        <v>16.55</v>
      </c>
      <c r="V101" s="157">
        <v>9.75</v>
      </c>
      <c r="W101" s="157">
        <v>10.45</v>
      </c>
      <c r="X101" s="20">
        <v>10</v>
      </c>
      <c r="Y101" s="225">
        <v>10.1</v>
      </c>
      <c r="Z101" s="258">
        <v>8.2362000000000002</v>
      </c>
      <c r="AA101" s="270">
        <v>6.9466999999999999</v>
      </c>
      <c r="AB101" s="270">
        <v>17.25</v>
      </c>
      <c r="AC101" s="270">
        <v>6.77</v>
      </c>
      <c r="AD101" s="270">
        <v>5.9</v>
      </c>
      <c r="AE101" s="270">
        <v>0.04</v>
      </c>
      <c r="AF101" s="344">
        <v>13.51</v>
      </c>
      <c r="AG101" s="270">
        <v>12</v>
      </c>
      <c r="AH101" s="270">
        <v>9</v>
      </c>
      <c r="AI101" s="270">
        <v>4</v>
      </c>
      <c r="AJ101" s="270">
        <v>4</v>
      </c>
      <c r="AK101" s="270"/>
      <c r="AL101" s="270">
        <v>4</v>
      </c>
      <c r="AM101" s="436">
        <v>3</v>
      </c>
      <c r="AN101" s="313">
        <v>3</v>
      </c>
      <c r="AO101" s="488">
        <v>3</v>
      </c>
      <c r="AP101" s="488">
        <v>2</v>
      </c>
      <c r="AQ101" s="489">
        <v>2</v>
      </c>
      <c r="AR101" s="538">
        <v>1.4</v>
      </c>
      <c r="AS101" s="538">
        <v>1</v>
      </c>
      <c r="AT101" s="538">
        <v>1</v>
      </c>
      <c r="AU101" s="538">
        <v>1</v>
      </c>
      <c r="AV101" s="538">
        <v>1</v>
      </c>
      <c r="AW101" s="69">
        <v>1</v>
      </c>
      <c r="AX101" s="69">
        <v>1</v>
      </c>
      <c r="AY101" s="69">
        <v>1</v>
      </c>
    </row>
    <row r="102" spans="1:52" x14ac:dyDescent="0.25">
      <c r="A102" s="155"/>
      <c r="B102" s="160" t="s">
        <v>78</v>
      </c>
      <c r="C102" s="155"/>
      <c r="D102" s="155"/>
      <c r="E102" s="155"/>
      <c r="F102" s="155"/>
      <c r="G102" s="155"/>
      <c r="H102" s="155"/>
      <c r="I102" s="155"/>
      <c r="J102" s="155"/>
      <c r="K102" s="155"/>
      <c r="L102" s="161">
        <v>120</v>
      </c>
      <c r="M102" s="155">
        <v>79</v>
      </c>
      <c r="N102" s="155">
        <v>63</v>
      </c>
      <c r="O102" s="155">
        <v>78</v>
      </c>
      <c r="P102" s="155">
        <v>58.603999999999999</v>
      </c>
      <c r="Q102" s="155">
        <v>55.4</v>
      </c>
      <c r="R102" s="155">
        <v>48.8</v>
      </c>
      <c r="S102" s="155">
        <v>46</v>
      </c>
      <c r="T102" s="163">
        <v>54.841000000000001</v>
      </c>
      <c r="U102" s="164">
        <v>37.06</v>
      </c>
      <c r="V102" s="155">
        <v>28.24</v>
      </c>
      <c r="W102" s="155">
        <v>26.97</v>
      </c>
      <c r="X102" s="20">
        <v>26.51</v>
      </c>
      <c r="Y102" s="225">
        <v>28.28</v>
      </c>
      <c r="Z102" s="258">
        <v>25.151700000000002</v>
      </c>
      <c r="AA102" s="270">
        <v>26.666416999999999</v>
      </c>
      <c r="AB102" s="270">
        <v>22.69</v>
      </c>
      <c r="AC102" s="270">
        <v>24.29</v>
      </c>
      <c r="AD102" s="270">
        <v>23.2</v>
      </c>
      <c r="AE102" s="270">
        <v>1.97</v>
      </c>
      <c r="AF102" s="344">
        <v>19.05</v>
      </c>
      <c r="AG102" s="270">
        <v>32</v>
      </c>
      <c r="AH102" s="270">
        <v>26</v>
      </c>
      <c r="AI102" s="270">
        <v>25</v>
      </c>
      <c r="AJ102" s="270">
        <v>16</v>
      </c>
      <c r="AK102" s="270"/>
      <c r="AL102" s="270">
        <v>18</v>
      </c>
      <c r="AM102" s="436">
        <v>17</v>
      </c>
      <c r="AN102" s="313">
        <v>15</v>
      </c>
      <c r="AO102" s="488">
        <v>14</v>
      </c>
      <c r="AP102" s="488">
        <v>12</v>
      </c>
      <c r="AQ102" s="489">
        <v>10.119999999999999</v>
      </c>
      <c r="AR102" s="538">
        <v>5.8</v>
      </c>
      <c r="AS102" s="538">
        <v>5</v>
      </c>
      <c r="AT102" s="538">
        <v>6</v>
      </c>
      <c r="AU102" s="538">
        <v>5</v>
      </c>
      <c r="AV102" s="538">
        <v>5</v>
      </c>
      <c r="AW102" s="69">
        <v>3</v>
      </c>
      <c r="AX102" s="69">
        <v>5</v>
      </c>
      <c r="AY102" s="69">
        <v>3</v>
      </c>
      <c r="AZ102" s="20">
        <v>3</v>
      </c>
    </row>
    <row r="103" spans="1:52" x14ac:dyDescent="0.25">
      <c r="A103" s="155"/>
      <c r="B103" s="156" t="s">
        <v>79</v>
      </c>
      <c r="C103" s="155"/>
      <c r="D103" s="155"/>
      <c r="E103" s="155"/>
      <c r="F103" s="155"/>
      <c r="G103" s="155"/>
      <c r="H103" s="155"/>
      <c r="I103" s="155"/>
      <c r="J103" s="155"/>
      <c r="K103" s="155"/>
      <c r="L103" s="161">
        <v>3.08</v>
      </c>
      <c r="M103" s="155">
        <v>60</v>
      </c>
      <c r="N103" s="155">
        <v>64</v>
      </c>
      <c r="O103" s="155">
        <v>76</v>
      </c>
      <c r="P103" s="155">
        <v>61.573999999999998</v>
      </c>
      <c r="Q103" s="155">
        <v>56.67</v>
      </c>
      <c r="R103" s="155">
        <v>52.4</v>
      </c>
      <c r="S103" s="155">
        <v>40.58</v>
      </c>
      <c r="T103" s="163">
        <v>31.88</v>
      </c>
      <c r="U103" s="164">
        <v>29.37</v>
      </c>
      <c r="V103" s="157">
        <f>23.36+3.33</f>
        <v>26.689999999999998</v>
      </c>
      <c r="W103" s="157">
        <v>23.63</v>
      </c>
      <c r="X103" s="20">
        <v>21.87</v>
      </c>
      <c r="Y103" s="225">
        <f>18.69+3.34</f>
        <v>22.03</v>
      </c>
      <c r="Z103" s="273">
        <f>18.0319+3.1314</f>
        <v>21.1633</v>
      </c>
      <c r="AA103" s="270">
        <f>15.766917+2.624033</f>
        <v>18.39095</v>
      </c>
      <c r="AB103" s="270">
        <v>15.4</v>
      </c>
      <c r="AC103" s="270">
        <f>14.84+2.75</f>
        <v>17.59</v>
      </c>
      <c r="AD103" s="270">
        <f>13.99+2.52</f>
        <v>16.510000000000002</v>
      </c>
      <c r="AE103" s="270">
        <v>1.1200000000000001</v>
      </c>
      <c r="AF103" s="344">
        <v>9.0299999999999994</v>
      </c>
      <c r="AG103" s="270">
        <f>12</f>
        <v>12</v>
      </c>
      <c r="AH103" s="270">
        <v>11</v>
      </c>
      <c r="AI103" s="270">
        <v>9</v>
      </c>
      <c r="AJ103" s="270">
        <v>8</v>
      </c>
      <c r="AK103" s="270"/>
      <c r="AL103" s="270">
        <v>9</v>
      </c>
      <c r="AM103" s="436">
        <v>8</v>
      </c>
      <c r="AN103" s="313">
        <v>7</v>
      </c>
      <c r="AO103" s="488">
        <v>7</v>
      </c>
      <c r="AP103" s="488">
        <v>6</v>
      </c>
      <c r="AQ103" s="489">
        <v>6.6</v>
      </c>
      <c r="AR103" s="538">
        <v>5.6</v>
      </c>
      <c r="AS103" s="538">
        <v>6</v>
      </c>
      <c r="AT103" s="538">
        <v>8</v>
      </c>
      <c r="AU103" s="538">
        <v>7</v>
      </c>
      <c r="AV103" s="538">
        <v>5</v>
      </c>
      <c r="AW103" s="69">
        <v>4</v>
      </c>
      <c r="AX103" s="69">
        <v>5</v>
      </c>
      <c r="AY103" s="69">
        <v>3</v>
      </c>
      <c r="AZ103" s="20">
        <v>2</v>
      </c>
    </row>
    <row r="104" spans="1:52" x14ac:dyDescent="0.25">
      <c r="A104" s="155"/>
      <c r="B104" s="156" t="s">
        <v>60</v>
      </c>
      <c r="C104" s="155"/>
      <c r="D104" s="155"/>
      <c r="E104" s="155"/>
      <c r="F104" s="155"/>
      <c r="G104" s="155"/>
      <c r="H104" s="155"/>
      <c r="I104" s="155"/>
      <c r="J104" s="155"/>
      <c r="K104" s="155"/>
      <c r="L104" s="161">
        <v>0.94</v>
      </c>
      <c r="M104" s="155">
        <v>3</v>
      </c>
      <c r="N104" s="155">
        <v>4</v>
      </c>
      <c r="O104" s="155">
        <v>6</v>
      </c>
      <c r="P104" s="155">
        <f>3.514+2.907</f>
        <v>6.4209999999999994</v>
      </c>
      <c r="Q104" s="155">
        <v>3.27</v>
      </c>
      <c r="R104" s="155">
        <f>0.139+3.26</f>
        <v>3.399</v>
      </c>
      <c r="S104" s="155">
        <v>2.89</v>
      </c>
      <c r="T104" s="163">
        <f>2.2+2.265</f>
        <v>4.4649999999999999</v>
      </c>
      <c r="U104" s="164">
        <v>3.66</v>
      </c>
      <c r="V104" s="155">
        <f>0.08+1.58</f>
        <v>1.6600000000000001</v>
      </c>
      <c r="W104" s="155">
        <v>1.59</v>
      </c>
      <c r="X104" s="20">
        <v>1.36</v>
      </c>
      <c r="Y104" s="225">
        <v>1.19</v>
      </c>
      <c r="Z104" s="258">
        <v>1.0792999999999999</v>
      </c>
      <c r="AA104" s="270">
        <f>0.880643</f>
        <v>0.88064299999999995</v>
      </c>
      <c r="AB104" s="270">
        <v>1.21</v>
      </c>
      <c r="AC104" s="270">
        <f>0.07+1.49</f>
        <v>1.56</v>
      </c>
      <c r="AD104" s="270">
        <v>0.74</v>
      </c>
      <c r="AE104" s="270">
        <v>0.1</v>
      </c>
      <c r="AF104" s="344">
        <v>3.43</v>
      </c>
      <c r="AG104" s="270">
        <v>1</v>
      </c>
      <c r="AH104" s="270">
        <v>0</v>
      </c>
      <c r="AI104" s="270">
        <v>0</v>
      </c>
      <c r="AJ104" s="270">
        <v>0</v>
      </c>
      <c r="AK104" s="270"/>
      <c r="AL104" s="270">
        <v>1</v>
      </c>
      <c r="AM104" s="436">
        <v>0</v>
      </c>
      <c r="AN104" s="313">
        <v>0</v>
      </c>
      <c r="AO104" s="488">
        <v>0</v>
      </c>
      <c r="AP104" s="488">
        <v>0</v>
      </c>
      <c r="AQ104" s="489">
        <v>0.24</v>
      </c>
      <c r="AR104" s="538">
        <v>0</v>
      </c>
      <c r="AS104" s="538"/>
      <c r="AT104" s="538"/>
      <c r="AU104" s="538"/>
      <c r="AV104" s="538"/>
      <c r="AW104" s="69"/>
      <c r="AX104" s="69"/>
      <c r="AY104" s="69"/>
    </row>
    <row r="105" spans="1:52" x14ac:dyDescent="0.25">
      <c r="A105" s="155"/>
      <c r="B105" s="156" t="s">
        <v>61</v>
      </c>
      <c r="C105" s="155"/>
      <c r="D105" s="155"/>
      <c r="E105" s="155"/>
      <c r="F105" s="155"/>
      <c r="G105" s="155"/>
      <c r="H105" s="155"/>
      <c r="I105" s="155"/>
      <c r="J105" s="155"/>
      <c r="K105" s="155"/>
      <c r="L105" s="161">
        <v>3.194</v>
      </c>
      <c r="M105" s="155">
        <v>15</v>
      </c>
      <c r="N105" s="155">
        <v>18</v>
      </c>
      <c r="O105" s="155">
        <v>22</v>
      </c>
      <c r="P105" s="155">
        <v>14.138999999999999</v>
      </c>
      <c r="Q105" s="155">
        <v>13.6</v>
      </c>
      <c r="R105" s="155">
        <v>11.27</v>
      </c>
      <c r="S105" s="155">
        <v>9.4</v>
      </c>
      <c r="T105" s="163">
        <v>9.8409999999999993</v>
      </c>
      <c r="U105" s="164">
        <v>9.02</v>
      </c>
      <c r="V105" s="157">
        <v>15.75</v>
      </c>
      <c r="W105" s="157">
        <v>17.809999999999999</v>
      </c>
      <c r="X105" s="20">
        <v>21.56</v>
      </c>
      <c r="Y105" s="225">
        <v>16.47</v>
      </c>
      <c r="Z105" s="261">
        <v>14.03</v>
      </c>
      <c r="AA105" s="270">
        <v>15.989147000000001</v>
      </c>
      <c r="AB105" s="270">
        <v>3.75</v>
      </c>
      <c r="AC105" s="270">
        <v>14.34</v>
      </c>
      <c r="AD105" s="270">
        <v>60.49</v>
      </c>
      <c r="AE105" s="270">
        <v>1.53</v>
      </c>
      <c r="AF105" s="344">
        <v>2.83</v>
      </c>
      <c r="AG105" s="270">
        <v>2</v>
      </c>
      <c r="AH105" s="270">
        <v>2</v>
      </c>
      <c r="AI105" s="270">
        <v>1.7</v>
      </c>
      <c r="AJ105" s="270">
        <v>8</v>
      </c>
      <c r="AK105" s="270"/>
      <c r="AL105" s="270">
        <v>2</v>
      </c>
      <c r="AM105" s="436">
        <v>1</v>
      </c>
      <c r="AN105" s="313">
        <v>1</v>
      </c>
      <c r="AO105" s="488">
        <v>1</v>
      </c>
      <c r="AP105" s="488">
        <v>1</v>
      </c>
      <c r="AQ105" s="489">
        <v>0.46</v>
      </c>
      <c r="AR105" s="538">
        <v>0</v>
      </c>
      <c r="AS105" s="538"/>
      <c r="AT105" s="538"/>
      <c r="AU105" s="538"/>
      <c r="AV105" s="538"/>
      <c r="AW105" s="69"/>
      <c r="AX105" s="69"/>
      <c r="AY105" s="69"/>
    </row>
    <row r="106" spans="1:52" x14ac:dyDescent="0.25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65">
        <f t="shared" ref="T106:Z106" si="72">T105+T104+T103+T101+T102</f>
        <v>117.85</v>
      </c>
      <c r="U106" s="165">
        <f t="shared" si="72"/>
        <v>95.66</v>
      </c>
      <c r="V106" s="155">
        <f t="shared" si="72"/>
        <v>82.089999999999989</v>
      </c>
      <c r="W106" s="155">
        <f t="shared" si="72"/>
        <v>80.45</v>
      </c>
      <c r="X106" s="155">
        <f t="shared" si="72"/>
        <v>81.3</v>
      </c>
      <c r="Y106" s="225">
        <f t="shared" si="72"/>
        <v>78.069999999999993</v>
      </c>
      <c r="Z106" s="260">
        <f t="shared" si="72"/>
        <v>69.660499999999999</v>
      </c>
      <c r="AA106" s="260">
        <f>AA105+AA104+AA103+AA101+AA102</f>
        <v>68.873857000000001</v>
      </c>
      <c r="AB106" s="260"/>
      <c r="AC106" s="260"/>
      <c r="AD106" s="260"/>
      <c r="AE106" s="260"/>
      <c r="AF106" s="260"/>
      <c r="AG106" s="260"/>
      <c r="AH106" s="260"/>
      <c r="AI106" s="260"/>
      <c r="AJ106" s="260"/>
      <c r="AK106" s="260"/>
      <c r="AL106" s="260"/>
      <c r="AM106" s="441"/>
      <c r="AN106" s="315"/>
      <c r="AO106" s="315"/>
      <c r="AP106" s="315"/>
      <c r="AQ106" s="315"/>
      <c r="AR106" s="70"/>
      <c r="AS106" s="70"/>
      <c r="AT106" s="70"/>
      <c r="AU106" s="70"/>
      <c r="AV106" s="70"/>
    </row>
    <row r="107" spans="1:52" x14ac:dyDescent="0.25">
      <c r="A107" s="166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7"/>
      <c r="W107" s="157"/>
      <c r="Z107" s="225"/>
      <c r="AM107" s="69"/>
      <c r="AR107" s="70"/>
      <c r="AS107" s="70"/>
      <c r="AT107" s="70"/>
      <c r="AU107" s="70"/>
      <c r="AV107" s="70"/>
    </row>
    <row r="108" spans="1:52" ht="15" x14ac:dyDescent="0.3">
      <c r="A108" s="155"/>
      <c r="B108" s="162" t="s">
        <v>27</v>
      </c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Z108" s="225"/>
      <c r="AM108" s="69"/>
      <c r="AR108" s="70"/>
      <c r="AS108" s="70"/>
      <c r="AT108" s="70"/>
      <c r="AU108" s="70"/>
      <c r="AV108" s="70"/>
    </row>
    <row r="109" spans="1:52" x14ac:dyDescent="0.25">
      <c r="A109" s="155"/>
      <c r="B109" s="156" t="s">
        <v>57</v>
      </c>
      <c r="C109" s="155"/>
      <c r="D109" s="155"/>
      <c r="E109" s="155"/>
      <c r="F109" s="155"/>
      <c r="G109" s="155"/>
      <c r="H109" s="155"/>
      <c r="I109" s="155"/>
      <c r="J109" s="155"/>
      <c r="K109" s="155"/>
      <c r="L109" s="161">
        <f>L101+L89</f>
        <v>190.21600000000001</v>
      </c>
      <c r="M109" s="161">
        <f>M101+M89</f>
        <v>1011.072</v>
      </c>
      <c r="N109" s="161">
        <f t="shared" ref="N109:T109" si="73">N101+N89</f>
        <v>1993.664</v>
      </c>
      <c r="O109" s="161">
        <f t="shared" si="73"/>
        <v>6698.5389999999998</v>
      </c>
      <c r="P109" s="161">
        <f t="shared" si="73"/>
        <v>7865.1252330000007</v>
      </c>
      <c r="Q109" s="161">
        <f t="shared" si="73"/>
        <v>10907.684810000001</v>
      </c>
      <c r="R109" s="161">
        <f t="shared" si="73"/>
        <v>5229.6360000000004</v>
      </c>
      <c r="S109" s="161">
        <f t="shared" si="73"/>
        <v>5912.7750000000005</v>
      </c>
      <c r="T109" s="210">
        <f t="shared" si="73"/>
        <v>7958.9070000000002</v>
      </c>
      <c r="U109" s="210">
        <f t="shared" ref="U109:AA109" si="74">U101+U89</f>
        <v>8588.8019999999997</v>
      </c>
      <c r="V109" s="157">
        <f t="shared" si="74"/>
        <v>6740.0780000000004</v>
      </c>
      <c r="W109" s="157">
        <f t="shared" si="74"/>
        <v>7075.0339999999997</v>
      </c>
      <c r="X109" s="208">
        <f t="shared" si="74"/>
        <v>6729.1409999999996</v>
      </c>
      <c r="Y109" s="255">
        <f t="shared" si="74"/>
        <v>8324.3050000000003</v>
      </c>
      <c r="Z109" s="261">
        <f t="shared" si="74"/>
        <v>10213.4082</v>
      </c>
      <c r="AA109" s="261">
        <f t="shared" si="74"/>
        <v>8573.9467000000004</v>
      </c>
      <c r="AB109" s="351">
        <f t="shared" ref="AB109:AC113" si="75">AB101+AB89</f>
        <v>8345.5470000000005</v>
      </c>
      <c r="AC109" s="261">
        <f t="shared" si="75"/>
        <v>9300.57</v>
      </c>
      <c r="AD109" s="261">
        <f t="shared" ref="AD109:AF113" si="76">AD101+AD89</f>
        <v>9684.3949199999988</v>
      </c>
      <c r="AE109" s="282">
        <f t="shared" ref="AE109:AY109" si="77">AE101+AE89</f>
        <v>8184.4419366666598</v>
      </c>
      <c r="AF109" s="282">
        <f t="shared" si="77"/>
        <v>6583.06</v>
      </c>
      <c r="AG109" s="282">
        <f t="shared" si="77"/>
        <v>6855.2330000000002</v>
      </c>
      <c r="AH109" s="282">
        <f t="shared" si="77"/>
        <v>7343.42</v>
      </c>
      <c r="AI109" s="282">
        <f t="shared" si="77"/>
        <v>6171.6059999999998</v>
      </c>
      <c r="AJ109" s="282">
        <f t="shared" si="77"/>
        <v>5283.59</v>
      </c>
      <c r="AK109" s="282"/>
      <c r="AL109" s="282">
        <f t="shared" si="77"/>
        <v>5239.3249999999998</v>
      </c>
      <c r="AM109" s="282">
        <f t="shared" si="77"/>
        <v>5067.53</v>
      </c>
      <c r="AN109" s="282">
        <f t="shared" si="77"/>
        <v>4263.4759999999997</v>
      </c>
      <c r="AO109" s="282">
        <f t="shared" si="77"/>
        <v>4374.4759999999997</v>
      </c>
      <c r="AP109" s="282">
        <f t="shared" si="77"/>
        <v>4593</v>
      </c>
      <c r="AQ109" s="282">
        <f t="shared" si="77"/>
        <v>4187</v>
      </c>
      <c r="AR109" s="282">
        <f t="shared" si="77"/>
        <v>3328.4</v>
      </c>
      <c r="AS109" s="282">
        <f t="shared" si="77"/>
        <v>3979</v>
      </c>
      <c r="AT109" s="282">
        <f t="shared" si="77"/>
        <v>4038</v>
      </c>
      <c r="AU109" s="282">
        <f t="shared" si="77"/>
        <v>3689</v>
      </c>
      <c r="AV109" s="282">
        <f t="shared" si="77"/>
        <v>3137</v>
      </c>
      <c r="AW109" s="282">
        <f t="shared" si="77"/>
        <v>3302</v>
      </c>
      <c r="AX109" s="282">
        <f t="shared" si="77"/>
        <v>3676</v>
      </c>
      <c r="AY109" s="282">
        <f t="shared" si="77"/>
        <v>1</v>
      </c>
    </row>
    <row r="110" spans="1:52" x14ac:dyDescent="0.25">
      <c r="A110" s="155"/>
      <c r="B110" s="160" t="s">
        <v>78</v>
      </c>
      <c r="C110" s="155"/>
      <c r="D110" s="155"/>
      <c r="E110" s="155"/>
      <c r="F110" s="155"/>
      <c r="G110" s="155"/>
      <c r="H110" s="155"/>
      <c r="I110" s="155"/>
      <c r="J110" s="155"/>
      <c r="K110" s="155"/>
      <c r="L110" s="161">
        <f t="shared" ref="L110:V113" si="78">L102+L90</f>
        <v>1653.9179999999999</v>
      </c>
      <c r="M110" s="161">
        <f t="shared" si="78"/>
        <v>3192.75</v>
      </c>
      <c r="N110" s="161">
        <f t="shared" si="78"/>
        <v>5108.732</v>
      </c>
      <c r="O110" s="161">
        <f t="shared" si="78"/>
        <v>6893.0780000000004</v>
      </c>
      <c r="P110" s="161">
        <f t="shared" si="78"/>
        <v>6172.4527900000003</v>
      </c>
      <c r="Q110" s="161">
        <f t="shared" si="78"/>
        <v>7254.2915999999996</v>
      </c>
      <c r="R110" s="161">
        <f t="shared" si="78"/>
        <v>11009.038999999999</v>
      </c>
      <c r="S110" s="161">
        <f t="shared" si="78"/>
        <v>9960.7330000000002</v>
      </c>
      <c r="T110" s="210">
        <f t="shared" si="78"/>
        <v>11139.302</v>
      </c>
      <c r="U110" s="210">
        <f t="shared" si="78"/>
        <v>13606.016</v>
      </c>
      <c r="V110" s="185">
        <f t="shared" si="78"/>
        <v>15004.802</v>
      </c>
      <c r="W110" s="185">
        <f>W102+W90</f>
        <v>12905.849999999999</v>
      </c>
      <c r="X110" s="209">
        <f t="shared" ref="X110:AA113" si="79">X102+X90</f>
        <v>11575.878000000001</v>
      </c>
      <c r="Y110" s="246">
        <f t="shared" si="79"/>
        <v>13276.341</v>
      </c>
      <c r="Z110" s="261">
        <f t="shared" si="79"/>
        <v>16457.691699999999</v>
      </c>
      <c r="AA110" s="261">
        <f t="shared" si="79"/>
        <v>12838.666417</v>
      </c>
      <c r="AB110" s="351">
        <f t="shared" si="75"/>
        <v>11489.942000000001</v>
      </c>
      <c r="AC110" s="261">
        <f>AC102+AC90</f>
        <v>13598.390000000001</v>
      </c>
      <c r="AD110" s="261">
        <f t="shared" si="76"/>
        <v>14712.259427000001</v>
      </c>
      <c r="AE110" s="282">
        <f t="shared" si="76"/>
        <v>10881.795734999998</v>
      </c>
      <c r="AF110" s="282">
        <f t="shared" si="76"/>
        <v>8044.26</v>
      </c>
      <c r="AG110" s="282">
        <f t="shared" ref="AG110:AH113" si="80">AG102+AG90</f>
        <v>8470.8559999999998</v>
      </c>
      <c r="AH110" s="282">
        <f t="shared" si="80"/>
        <v>9860.2999999999993</v>
      </c>
      <c r="AI110" s="282">
        <f t="shared" ref="AI110:AY113" si="81">AI102+AI90</f>
        <v>7857.5479999999998</v>
      </c>
      <c r="AJ110" s="282">
        <f t="shared" si="81"/>
        <v>6540.95</v>
      </c>
      <c r="AK110" s="282"/>
      <c r="AL110" s="282">
        <f t="shared" si="81"/>
        <v>7315.2240000000002</v>
      </c>
      <c r="AM110" s="282">
        <f t="shared" si="81"/>
        <v>5861.48</v>
      </c>
      <c r="AN110" s="282">
        <f t="shared" si="81"/>
        <v>4878.9530000000004</v>
      </c>
      <c r="AO110" s="282">
        <f t="shared" si="81"/>
        <v>5514.54</v>
      </c>
      <c r="AP110" s="282">
        <f t="shared" si="81"/>
        <v>6232</v>
      </c>
      <c r="AQ110" s="282">
        <f t="shared" si="81"/>
        <v>4859.12</v>
      </c>
      <c r="AR110" s="282">
        <f t="shared" si="81"/>
        <v>3323.8</v>
      </c>
      <c r="AS110" s="282">
        <f t="shared" si="81"/>
        <v>3802</v>
      </c>
      <c r="AT110" s="282">
        <f t="shared" si="81"/>
        <v>3620</v>
      </c>
      <c r="AU110" s="282">
        <f t="shared" si="81"/>
        <v>2781</v>
      </c>
      <c r="AV110" s="282">
        <f t="shared" si="81"/>
        <v>2433</v>
      </c>
      <c r="AW110" s="282">
        <f t="shared" si="81"/>
        <v>2477</v>
      </c>
      <c r="AX110" s="282">
        <f t="shared" si="81"/>
        <v>2947</v>
      </c>
      <c r="AY110" s="282">
        <f t="shared" si="81"/>
        <v>3</v>
      </c>
    </row>
    <row r="111" spans="1:52" x14ac:dyDescent="0.25">
      <c r="A111" s="155"/>
      <c r="B111" s="156" t="s">
        <v>79</v>
      </c>
      <c r="C111" s="155"/>
      <c r="D111" s="155"/>
      <c r="E111" s="155"/>
      <c r="F111" s="155"/>
      <c r="G111" s="155"/>
      <c r="H111" s="155"/>
      <c r="I111" s="155"/>
      <c r="J111" s="155"/>
      <c r="K111" s="155"/>
      <c r="L111" s="161">
        <f t="shared" si="78"/>
        <v>662.96900000000005</v>
      </c>
      <c r="M111" s="161">
        <f t="shared" si="78"/>
        <v>918.90699999999993</v>
      </c>
      <c r="N111" s="161">
        <f>N103+N91</f>
        <v>244.09699999999998</v>
      </c>
      <c r="O111" s="161">
        <f t="shared" si="78"/>
        <v>320.51800000000003</v>
      </c>
      <c r="P111" s="161">
        <f t="shared" si="78"/>
        <v>280.42990329999998</v>
      </c>
      <c r="Q111" s="161">
        <f t="shared" si="78"/>
        <v>2312.6174999999998</v>
      </c>
      <c r="R111" s="161">
        <f t="shared" si="78"/>
        <v>560.05600000000004</v>
      </c>
      <c r="S111" s="161">
        <f t="shared" si="78"/>
        <v>430.80499999999995</v>
      </c>
      <c r="T111" s="210">
        <f t="shared" si="78"/>
        <v>457.76400000000001</v>
      </c>
      <c r="U111" s="210">
        <f t="shared" si="78"/>
        <v>499.58800000000002</v>
      </c>
      <c r="V111" s="161">
        <f t="shared" si="78"/>
        <v>644.49900000000002</v>
      </c>
      <c r="W111" s="161">
        <f>W103+W91</f>
        <v>485.19499999999999</v>
      </c>
      <c r="X111" s="210">
        <f t="shared" si="79"/>
        <v>437.21400000000006</v>
      </c>
      <c r="Y111" s="256">
        <f>Y103+Y91</f>
        <v>551.3839999999999</v>
      </c>
      <c r="Z111" s="256">
        <f>Z103+Z91</f>
        <v>1061.1340666699998</v>
      </c>
      <c r="AA111" s="256">
        <f>AA103+AA91</f>
        <v>974.94320169999992</v>
      </c>
      <c r="AB111" s="256">
        <f t="shared" si="75"/>
        <v>1088.5181900000002</v>
      </c>
      <c r="AC111" s="256">
        <f t="shared" si="75"/>
        <v>1250.29</v>
      </c>
      <c r="AD111" s="256">
        <f t="shared" si="76"/>
        <v>1680.1231021666999</v>
      </c>
      <c r="AE111" s="32">
        <f t="shared" si="76"/>
        <v>1495.51</v>
      </c>
      <c r="AF111" s="32">
        <f t="shared" si="76"/>
        <v>1705.52</v>
      </c>
      <c r="AG111" s="32">
        <f t="shared" si="80"/>
        <v>1557.1949999999999</v>
      </c>
      <c r="AH111" s="32">
        <f t="shared" si="80"/>
        <v>1855.38</v>
      </c>
      <c r="AI111" s="32">
        <f t="shared" si="81"/>
        <v>1666.6210000000001</v>
      </c>
      <c r="AJ111" s="32">
        <f t="shared" si="81"/>
        <v>1408.6000000000001</v>
      </c>
      <c r="AK111" s="32"/>
      <c r="AL111" s="32">
        <f t="shared" si="81"/>
        <v>1585.5540000000001</v>
      </c>
      <c r="AM111" s="32">
        <f t="shared" si="81"/>
        <v>1381.7170000000001</v>
      </c>
      <c r="AN111" s="32">
        <f t="shared" si="81"/>
        <v>1215.1289999999999</v>
      </c>
      <c r="AO111" s="32">
        <f t="shared" si="81"/>
        <v>1415.8979999999999</v>
      </c>
      <c r="AP111" s="341">
        <f t="shared" si="81"/>
        <v>1368</v>
      </c>
      <c r="AQ111" s="32">
        <f t="shared" ref="AQ111:AY111" si="82">AQ103+AQ91</f>
        <v>1088.5999999999999</v>
      </c>
      <c r="AR111" s="542">
        <f t="shared" si="82"/>
        <v>829.6</v>
      </c>
      <c r="AS111" s="542">
        <f t="shared" si="82"/>
        <v>970</v>
      </c>
      <c r="AT111" s="542">
        <f t="shared" si="82"/>
        <v>997</v>
      </c>
      <c r="AU111" s="542">
        <f t="shared" si="82"/>
        <v>850</v>
      </c>
      <c r="AV111" s="542">
        <f t="shared" si="82"/>
        <v>707</v>
      </c>
      <c r="AW111" s="542">
        <f t="shared" si="82"/>
        <v>800</v>
      </c>
      <c r="AX111" s="542">
        <f t="shared" si="82"/>
        <v>978</v>
      </c>
      <c r="AY111" s="542">
        <f t="shared" si="82"/>
        <v>3</v>
      </c>
    </row>
    <row r="112" spans="1:52" x14ac:dyDescent="0.25">
      <c r="A112" s="155"/>
      <c r="B112" s="156" t="s">
        <v>60</v>
      </c>
      <c r="C112" s="155"/>
      <c r="D112" s="155"/>
      <c r="E112" s="155"/>
      <c r="F112" s="155"/>
      <c r="G112" s="155"/>
      <c r="H112" s="155"/>
      <c r="I112" s="155"/>
      <c r="J112" s="155"/>
      <c r="K112" s="155"/>
      <c r="L112" s="161">
        <f t="shared" si="78"/>
        <v>5.2750000000000004</v>
      </c>
      <c r="M112" s="161">
        <f t="shared" si="78"/>
        <v>20.524000000000001</v>
      </c>
      <c r="N112" s="161">
        <f t="shared" si="78"/>
        <v>31.983000000000001</v>
      </c>
      <c r="O112" s="161">
        <f t="shared" si="78"/>
        <v>47.61</v>
      </c>
      <c r="P112" s="161">
        <f t="shared" si="78"/>
        <v>44.678449999999998</v>
      </c>
      <c r="Q112" s="161">
        <f t="shared" si="78"/>
        <v>48.607000000000006</v>
      </c>
      <c r="R112" s="161">
        <f t="shared" si="78"/>
        <v>77.960999999999999</v>
      </c>
      <c r="S112" s="161">
        <f t="shared" si="78"/>
        <v>65.992000000000004</v>
      </c>
      <c r="T112" s="210">
        <f t="shared" si="78"/>
        <v>77.004999999999995</v>
      </c>
      <c r="U112" s="210">
        <f t="shared" si="78"/>
        <v>73.773999999999987</v>
      </c>
      <c r="V112" s="161">
        <f t="shared" si="78"/>
        <v>87.975999999999985</v>
      </c>
      <c r="W112" s="161">
        <f>W104+W92</f>
        <v>73.76700000000001</v>
      </c>
      <c r="X112" s="210">
        <f t="shared" si="79"/>
        <v>65.373000000000005</v>
      </c>
      <c r="Y112" s="256">
        <f t="shared" si="79"/>
        <v>71.39</v>
      </c>
      <c r="Z112" s="256">
        <f t="shared" si="79"/>
        <v>103.41737350000001</v>
      </c>
      <c r="AA112" s="256">
        <f t="shared" si="79"/>
        <v>91.111614630000005</v>
      </c>
      <c r="AB112" s="352">
        <f t="shared" si="75"/>
        <v>95.746999999999986</v>
      </c>
      <c r="AC112" s="256">
        <f t="shared" si="75"/>
        <v>105.57</v>
      </c>
      <c r="AD112" s="256">
        <f t="shared" si="76"/>
        <v>120.018733</v>
      </c>
      <c r="AE112" s="32">
        <f t="shared" si="76"/>
        <v>106.45120666666662</v>
      </c>
      <c r="AF112" s="32">
        <f t="shared" si="76"/>
        <v>110.55000000000001</v>
      </c>
      <c r="AG112" s="32">
        <f t="shared" si="80"/>
        <v>96.185000000000002</v>
      </c>
      <c r="AH112" s="32">
        <f t="shared" si="80"/>
        <v>106.48</v>
      </c>
      <c r="AI112" s="32">
        <f t="shared" si="81"/>
        <v>105.4</v>
      </c>
      <c r="AJ112" s="32">
        <f t="shared" si="81"/>
        <v>100.36</v>
      </c>
      <c r="AK112" s="32"/>
      <c r="AL112" s="32">
        <f t="shared" si="81"/>
        <v>97.436000000000007</v>
      </c>
      <c r="AM112" s="32">
        <f t="shared" si="81"/>
        <v>90.177999999999997</v>
      </c>
      <c r="AN112" s="32">
        <f t="shared" si="81"/>
        <v>84.578999999999994</v>
      </c>
      <c r="AO112" s="32">
        <f t="shared" si="81"/>
        <v>80.777000000000001</v>
      </c>
      <c r="AP112" s="32">
        <f t="shared" si="81"/>
        <v>73</v>
      </c>
      <c r="AQ112" s="32">
        <f t="shared" si="81"/>
        <v>74.239999999999995</v>
      </c>
      <c r="AR112" s="542">
        <f t="shared" si="81"/>
        <v>67</v>
      </c>
      <c r="AS112" s="542">
        <f t="shared" si="81"/>
        <v>42</v>
      </c>
      <c r="AT112" s="542">
        <f t="shared" si="81"/>
        <v>46</v>
      </c>
      <c r="AU112" s="542">
        <f t="shared" si="81"/>
        <v>48</v>
      </c>
      <c r="AV112" s="542">
        <f t="shared" si="81"/>
        <v>46</v>
      </c>
      <c r="AW112" s="542">
        <f t="shared" si="81"/>
        <v>45</v>
      </c>
      <c r="AX112" s="542">
        <f t="shared" si="81"/>
        <v>49</v>
      </c>
      <c r="AY112" s="542">
        <v>0.17</v>
      </c>
    </row>
    <row r="113" spans="1:51" s="41" customFormat="1" x14ac:dyDescent="0.25">
      <c r="A113" s="155"/>
      <c r="B113" s="156" t="s">
        <v>61</v>
      </c>
      <c r="C113" s="155"/>
      <c r="D113" s="155"/>
      <c r="E113" s="155"/>
      <c r="F113" s="155"/>
      <c r="G113" s="155"/>
      <c r="H113" s="155"/>
      <c r="I113" s="155"/>
      <c r="J113" s="155"/>
      <c r="K113" s="155"/>
      <c r="L113" s="161">
        <f t="shared" si="78"/>
        <v>24.933</v>
      </c>
      <c r="M113" s="161">
        <f t="shared" si="78"/>
        <v>102.483</v>
      </c>
      <c r="N113" s="161">
        <f t="shared" si="78"/>
        <v>196.715</v>
      </c>
      <c r="O113" s="161">
        <f t="shared" si="78"/>
        <v>271.63099999999997</v>
      </c>
      <c r="P113" s="161">
        <f t="shared" si="78"/>
        <v>230.41200000000001</v>
      </c>
      <c r="Q113" s="161">
        <f t="shared" si="78"/>
        <v>288.01100000000002</v>
      </c>
      <c r="R113" s="161">
        <f t="shared" si="78"/>
        <v>151.14700000000002</v>
      </c>
      <c r="S113" s="161">
        <f t="shared" si="78"/>
        <v>76.7</v>
      </c>
      <c r="T113" s="210">
        <f t="shared" si="78"/>
        <v>440.46800000000002</v>
      </c>
      <c r="U113" s="210">
        <f t="shared" si="78"/>
        <v>428.87399999999997</v>
      </c>
      <c r="V113" s="161">
        <f t="shared" si="78"/>
        <v>546.327</v>
      </c>
      <c r="W113" s="161">
        <f>W105+W93</f>
        <v>413.32702499999999</v>
      </c>
      <c r="X113" s="210">
        <f t="shared" si="79"/>
        <v>369.4096017</v>
      </c>
      <c r="Y113" s="256">
        <f t="shared" si="79"/>
        <v>346.33425169999998</v>
      </c>
      <c r="Z113" s="255">
        <f t="shared" si="79"/>
        <v>432.29999999999995</v>
      </c>
      <c r="AA113" s="255">
        <f t="shared" si="79"/>
        <v>307.29044700000003</v>
      </c>
      <c r="AB113" s="353">
        <f t="shared" si="75"/>
        <v>274.77620000000002</v>
      </c>
      <c r="AC113" s="255">
        <f t="shared" si="75"/>
        <v>264.94</v>
      </c>
      <c r="AD113" s="255">
        <f t="shared" si="76"/>
        <v>355.72633999999999</v>
      </c>
      <c r="AE113" s="341">
        <f t="shared" si="76"/>
        <v>229.10047169999999</v>
      </c>
      <c r="AF113" s="341">
        <f t="shared" si="76"/>
        <v>172.19000000000003</v>
      </c>
      <c r="AG113" s="341">
        <f t="shared" si="80"/>
        <v>179.429</v>
      </c>
      <c r="AH113" s="341">
        <f t="shared" si="80"/>
        <v>219.37</v>
      </c>
      <c r="AI113" s="341">
        <f t="shared" si="81"/>
        <v>148.39399999999998</v>
      </c>
      <c r="AJ113" s="341">
        <f>AJ105+AJ93</f>
        <v>151.81</v>
      </c>
      <c r="AK113" s="341"/>
      <c r="AL113" s="341">
        <f t="shared" ref="AL113:AW113" si="83">AL105+AL93</f>
        <v>188.62</v>
      </c>
      <c r="AM113" s="341">
        <f t="shared" si="83"/>
        <v>155.54499999999999</v>
      </c>
      <c r="AN113" s="341">
        <f t="shared" si="83"/>
        <v>67.468000000000004</v>
      </c>
      <c r="AO113" s="341">
        <f t="shared" si="83"/>
        <v>72.784000000000006</v>
      </c>
      <c r="AP113" s="341">
        <f t="shared" si="83"/>
        <v>100</v>
      </c>
      <c r="AQ113" s="341">
        <f t="shared" si="83"/>
        <v>75.459999999999994</v>
      </c>
      <c r="AR113" s="542">
        <f t="shared" si="83"/>
        <v>69</v>
      </c>
      <c r="AS113" s="542">
        <f t="shared" si="83"/>
        <v>74</v>
      </c>
      <c r="AT113" s="542">
        <f t="shared" si="83"/>
        <v>185</v>
      </c>
      <c r="AU113" s="542">
        <f t="shared" si="83"/>
        <v>70</v>
      </c>
      <c r="AV113" s="542">
        <f t="shared" si="83"/>
        <v>62</v>
      </c>
      <c r="AW113" s="542">
        <f t="shared" si="83"/>
        <v>66</v>
      </c>
      <c r="AX113" s="542">
        <f>AX105+AX93</f>
        <v>73</v>
      </c>
      <c r="AY113" s="542">
        <v>0.09</v>
      </c>
    </row>
    <row r="114" spans="1:51" x14ac:dyDescent="0.25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67"/>
      <c r="U114" s="167"/>
      <c r="V114" s="155"/>
      <c r="W114" s="155"/>
      <c r="Z114" s="225"/>
      <c r="AE114" s="28"/>
      <c r="AF114" s="28"/>
      <c r="AG114" s="28"/>
      <c r="AH114" s="28"/>
      <c r="AI114" s="28"/>
      <c r="AJ114" s="28"/>
      <c r="AK114" s="28"/>
      <c r="AL114" s="28"/>
      <c r="AM114" s="442"/>
      <c r="AN114" s="336"/>
      <c r="AO114" s="336"/>
      <c r="AP114" s="336"/>
      <c r="AQ114" s="336"/>
      <c r="AR114" s="70"/>
      <c r="AS114" s="70"/>
      <c r="AT114" s="70"/>
      <c r="AU114" s="70"/>
      <c r="AV114" s="70"/>
    </row>
    <row r="115" spans="1:51" x14ac:dyDescent="0.25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71">
        <f t="shared" ref="S115:AB115" si="84">S113+S112+S111+S110+S109</f>
        <v>16447.005000000001</v>
      </c>
      <c r="T115" s="171">
        <f t="shared" si="84"/>
        <v>20073.446</v>
      </c>
      <c r="U115" s="171">
        <f t="shared" si="84"/>
        <v>23197.054</v>
      </c>
      <c r="V115" s="157">
        <f t="shared" si="84"/>
        <v>23023.682000000001</v>
      </c>
      <c r="W115" s="157">
        <f t="shared" si="84"/>
        <v>20953.173024999996</v>
      </c>
      <c r="X115" s="157">
        <f t="shared" si="84"/>
        <v>19177.015601700001</v>
      </c>
      <c r="Y115" s="255">
        <f t="shared" si="84"/>
        <v>22569.7542517</v>
      </c>
      <c r="Z115" s="255">
        <f t="shared" si="84"/>
        <v>28267.951340170002</v>
      </c>
      <c r="AA115" s="255">
        <f t="shared" si="84"/>
        <v>22785.958380330001</v>
      </c>
      <c r="AB115" s="350">
        <f t="shared" si="84"/>
        <v>21294.53039</v>
      </c>
      <c r="AC115" s="255">
        <f t="shared" ref="AC115:AW115" si="85">AC113+AC112+AC111+AC110+AC109</f>
        <v>24519.760000000002</v>
      </c>
      <c r="AD115" s="255">
        <f t="shared" si="85"/>
        <v>26552.522522166699</v>
      </c>
      <c r="AE115" s="341">
        <f t="shared" si="85"/>
        <v>20897.299350033325</v>
      </c>
      <c r="AF115" s="341">
        <f t="shared" si="85"/>
        <v>16615.580000000002</v>
      </c>
      <c r="AG115" s="341">
        <f t="shared" si="85"/>
        <v>17158.898000000001</v>
      </c>
      <c r="AH115" s="341">
        <f t="shared" si="85"/>
        <v>19384.949999999997</v>
      </c>
      <c r="AI115" s="341">
        <f t="shared" si="85"/>
        <v>15949.569</v>
      </c>
      <c r="AJ115" s="341">
        <f t="shared" si="85"/>
        <v>13485.31</v>
      </c>
      <c r="AK115" s="341"/>
      <c r="AL115" s="341">
        <f t="shared" si="85"/>
        <v>14426.159</v>
      </c>
      <c r="AM115" s="341">
        <f t="shared" si="85"/>
        <v>12556.45</v>
      </c>
      <c r="AN115" s="341">
        <f t="shared" si="85"/>
        <v>10509.605</v>
      </c>
      <c r="AO115" s="341">
        <f t="shared" si="85"/>
        <v>11458.474999999999</v>
      </c>
      <c r="AP115" s="341">
        <f t="shared" si="85"/>
        <v>12366</v>
      </c>
      <c r="AQ115" s="341">
        <f t="shared" si="85"/>
        <v>10284.42</v>
      </c>
      <c r="AR115" s="341">
        <f t="shared" si="85"/>
        <v>7617.8000000000011</v>
      </c>
      <c r="AS115" s="341">
        <f t="shared" si="85"/>
        <v>8867</v>
      </c>
      <c r="AT115" s="341">
        <f t="shared" si="85"/>
        <v>8886</v>
      </c>
      <c r="AU115" s="341">
        <f t="shared" si="85"/>
        <v>7438</v>
      </c>
      <c r="AV115" s="341">
        <f>AV113+AV112+AV111+AV110+AV109</f>
        <v>6385</v>
      </c>
      <c r="AW115" s="341">
        <f t="shared" si="85"/>
        <v>6690</v>
      </c>
      <c r="AX115" s="341">
        <f>AX113+AX112+AX111+AX110+AX109</f>
        <v>7723</v>
      </c>
      <c r="AY115" s="341">
        <f>AY113+AY112+AY111+AY110+AY109</f>
        <v>7.26</v>
      </c>
    </row>
    <row r="116" spans="1:51" ht="15" x14ac:dyDescent="0.3">
      <c r="A116" s="155"/>
      <c r="B116" s="162" t="s">
        <v>21</v>
      </c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67"/>
      <c r="U116" s="155"/>
      <c r="V116" s="155"/>
      <c r="W116" s="155"/>
      <c r="Z116" s="225"/>
      <c r="AM116" s="69"/>
    </row>
    <row r="117" spans="1:51" x14ac:dyDescent="0.25">
      <c r="A117" s="155"/>
      <c r="B117" s="156" t="s">
        <v>57</v>
      </c>
      <c r="C117" s="155"/>
      <c r="D117" s="155"/>
      <c r="E117" s="155"/>
      <c r="F117" s="155"/>
      <c r="G117" s="155"/>
      <c r="H117" s="155"/>
      <c r="I117" s="155"/>
      <c r="J117" s="155"/>
      <c r="K117" s="155"/>
      <c r="L117" s="167">
        <f t="shared" ref="L117:W117" si="86">L101/L109</f>
        <v>0.42267737729738825</v>
      </c>
      <c r="M117" s="167">
        <f t="shared" si="86"/>
        <v>5.6375807064185338E-2</v>
      </c>
      <c r="N117" s="167">
        <f t="shared" si="86"/>
        <v>2.8088985907354501E-2</v>
      </c>
      <c r="O117" s="167">
        <f t="shared" si="86"/>
        <v>1.0450039926616835E-2</v>
      </c>
      <c r="P117" s="167">
        <f t="shared" si="86"/>
        <v>5.4821758996396134E-3</v>
      </c>
      <c r="Q117" s="167">
        <f t="shared" si="86"/>
        <v>3.392103883133748E-3</v>
      </c>
      <c r="R117" s="167">
        <f t="shared" si="86"/>
        <v>6.2145816649571781E-3</v>
      </c>
      <c r="S117" s="167">
        <f t="shared" si="86"/>
        <v>5.1752349784999424E-3</v>
      </c>
      <c r="T117" s="167">
        <f t="shared" si="86"/>
        <v>2.1137324509508653E-3</v>
      </c>
      <c r="U117" s="167">
        <f t="shared" si="86"/>
        <v>1.9269276436923335E-3</v>
      </c>
      <c r="V117" s="167">
        <f t="shared" si="86"/>
        <v>1.4465707963617037E-3</v>
      </c>
      <c r="W117" s="167">
        <f t="shared" si="86"/>
        <v>1.4770247040508922E-3</v>
      </c>
      <c r="X117" s="167">
        <f t="shared" ref="X117:AF117" si="87">X101/X109</f>
        <v>1.4860737796993703E-3</v>
      </c>
      <c r="Y117" s="259">
        <f t="shared" si="87"/>
        <v>1.213314504934646E-3</v>
      </c>
      <c r="Z117" s="259">
        <f t="shared" si="87"/>
        <v>8.0641053786531319E-4</v>
      </c>
      <c r="AA117" s="259">
        <f t="shared" si="87"/>
        <v>8.1021030839858142E-4</v>
      </c>
      <c r="AB117" s="259">
        <f t="shared" si="87"/>
        <v>2.066970565260731E-3</v>
      </c>
      <c r="AC117" s="259">
        <f t="shared" si="87"/>
        <v>7.2791237526302144E-4</v>
      </c>
      <c r="AD117" s="259">
        <f t="shared" si="87"/>
        <v>6.0922753034528261E-4</v>
      </c>
      <c r="AE117" s="259">
        <f t="shared" si="87"/>
        <v>4.8873216169813904E-6</v>
      </c>
      <c r="AF117" s="259">
        <f t="shared" si="87"/>
        <v>2.0522371055405842E-3</v>
      </c>
      <c r="AG117" s="259">
        <f t="shared" ref="AG117:AH121" si="88">AG101/AG109</f>
        <v>1.7504875472503997E-3</v>
      </c>
      <c r="AH117" s="259">
        <f t="shared" si="88"/>
        <v>1.2255869880791238E-3</v>
      </c>
      <c r="AI117" s="259">
        <f t="shared" ref="AI117:AT121" si="89">AI101/AI109</f>
        <v>6.4812951442460849E-4</v>
      </c>
      <c r="AJ117" s="259">
        <f t="shared" si="89"/>
        <v>7.5706101343972563E-4</v>
      </c>
      <c r="AK117" s="259"/>
      <c r="AL117" s="259">
        <f t="shared" si="89"/>
        <v>7.6345712472503612E-4</v>
      </c>
      <c r="AM117" s="259">
        <f t="shared" si="89"/>
        <v>5.9200438872586848E-4</v>
      </c>
      <c r="AN117" s="259">
        <f t="shared" si="89"/>
        <v>7.0365119916237368E-4</v>
      </c>
      <c r="AO117" s="259">
        <f t="shared" si="89"/>
        <v>6.8579642453176111E-4</v>
      </c>
      <c r="AP117" s="259">
        <f t="shared" si="89"/>
        <v>4.3544524276072284E-4</v>
      </c>
      <c r="AQ117" s="259">
        <f t="shared" si="89"/>
        <v>4.7766897540004778E-4</v>
      </c>
      <c r="AR117" s="259">
        <f t="shared" si="89"/>
        <v>4.2062252133157069E-4</v>
      </c>
      <c r="AS117" s="259">
        <f t="shared" si="89"/>
        <v>2.5131942699170643E-4</v>
      </c>
      <c r="AT117" s="259">
        <f t="shared" si="89"/>
        <v>2.4764735017335313E-4</v>
      </c>
      <c r="AU117" s="259"/>
      <c r="AV117" s="259"/>
    </row>
    <row r="118" spans="1:51" x14ac:dyDescent="0.25">
      <c r="A118" s="155"/>
      <c r="B118" s="160" t="s">
        <v>78</v>
      </c>
      <c r="C118" s="155"/>
      <c r="D118" s="155"/>
      <c r="E118" s="155"/>
      <c r="F118" s="155"/>
      <c r="G118" s="155"/>
      <c r="H118" s="155"/>
      <c r="I118" s="155"/>
      <c r="J118" s="155"/>
      <c r="K118" s="155"/>
      <c r="L118" s="167">
        <f t="shared" ref="L118:X118" si="90">L102/L110</f>
        <v>7.2554987611235869E-2</v>
      </c>
      <c r="M118" s="167">
        <f t="shared" si="90"/>
        <v>2.4743559627280559E-2</v>
      </c>
      <c r="N118" s="167">
        <f t="shared" si="90"/>
        <v>1.2331827153978717E-2</v>
      </c>
      <c r="O118" s="167">
        <f t="shared" si="90"/>
        <v>1.1315699604733907E-2</v>
      </c>
      <c r="P118" s="167">
        <f t="shared" si="90"/>
        <v>9.4944428080429265E-3</v>
      </c>
      <c r="Q118" s="167">
        <f t="shared" si="90"/>
        <v>7.6368587113316488E-3</v>
      </c>
      <c r="R118" s="167">
        <f t="shared" si="90"/>
        <v>4.4327211485035165E-3</v>
      </c>
      <c r="S118" s="167">
        <f t="shared" si="90"/>
        <v>4.618134026883363E-3</v>
      </c>
      <c r="T118" s="167">
        <f t="shared" si="90"/>
        <v>4.9231989580675707E-3</v>
      </c>
      <c r="U118" s="167">
        <f t="shared" si="90"/>
        <v>2.7237951212169677E-3</v>
      </c>
      <c r="V118" s="167">
        <f t="shared" si="90"/>
        <v>1.8820641551951169E-3</v>
      </c>
      <c r="W118" s="167">
        <f t="shared" si="90"/>
        <v>2.0897499970943412E-3</v>
      </c>
      <c r="X118" s="167">
        <f t="shared" si="90"/>
        <v>2.2901070657448189E-3</v>
      </c>
      <c r="Y118" s="259">
        <f t="shared" ref="Y118:AA119" si="91">Y102/Y110</f>
        <v>2.1301049739532903E-3</v>
      </c>
      <c r="Z118" s="259">
        <f t="shared" si="91"/>
        <v>1.5282641368230274E-3</v>
      </c>
      <c r="AA118" s="259">
        <f t="shared" si="91"/>
        <v>2.0770394785466447E-3</v>
      </c>
      <c r="AB118" s="259">
        <f t="shared" ref="AB118:AF121" si="92">AB102/AB110</f>
        <v>1.9747706298256337E-3</v>
      </c>
      <c r="AC118" s="259">
        <f t="shared" si="92"/>
        <v>1.7862408711619535E-3</v>
      </c>
      <c r="AD118" s="259">
        <f t="shared" si="92"/>
        <v>1.5769161844320975E-3</v>
      </c>
      <c r="AE118" s="259">
        <f t="shared" si="92"/>
        <v>1.8103629657959211E-4</v>
      </c>
      <c r="AF118" s="259">
        <f t="shared" si="92"/>
        <v>2.3681482199729995E-3</v>
      </c>
      <c r="AG118" s="259">
        <f t="shared" si="88"/>
        <v>3.7776583617995631E-3</v>
      </c>
      <c r="AH118" s="259">
        <f t="shared" si="88"/>
        <v>2.6368366074054545E-3</v>
      </c>
      <c r="AI118" s="259">
        <f t="shared" si="89"/>
        <v>3.1816541241618886E-3</v>
      </c>
      <c r="AJ118" s="259">
        <f t="shared" si="89"/>
        <v>2.4461278560453758E-3</v>
      </c>
      <c r="AK118" s="259"/>
      <c r="AL118" s="259">
        <f t="shared" si="89"/>
        <v>2.460621848353516E-3</v>
      </c>
      <c r="AM118" s="259">
        <f t="shared" si="89"/>
        <v>2.9002913939824072E-3</v>
      </c>
      <c r="AN118" s="259">
        <f t="shared" si="89"/>
        <v>3.0744301082629814E-3</v>
      </c>
      <c r="AO118" s="259">
        <f t="shared" si="89"/>
        <v>2.538743032057071E-3</v>
      </c>
      <c r="AP118" s="259">
        <f t="shared" si="89"/>
        <v>1.9255455712451862E-3</v>
      </c>
      <c r="AQ118" s="259">
        <f t="shared" si="89"/>
        <v>2.0826816378274253E-3</v>
      </c>
      <c r="AR118" s="259">
        <f t="shared" si="89"/>
        <v>1.7449906733257115E-3</v>
      </c>
      <c r="AS118" s="259">
        <f>AS102/AS110</f>
        <v>1.3150973172014729E-3</v>
      </c>
    </row>
    <row r="119" spans="1:51" x14ac:dyDescent="0.25">
      <c r="A119" s="155"/>
      <c r="B119" s="156" t="s">
        <v>79</v>
      </c>
      <c r="C119" s="155"/>
      <c r="D119" s="155"/>
      <c r="E119" s="155"/>
      <c r="F119" s="155"/>
      <c r="G119" s="155"/>
      <c r="H119" s="155"/>
      <c r="I119" s="155"/>
      <c r="J119" s="155"/>
      <c r="K119" s="155"/>
      <c r="L119" s="167">
        <f t="shared" ref="L119:S119" si="93">L103/L111</f>
        <v>4.6457677508299784E-3</v>
      </c>
      <c r="M119" s="167">
        <f t="shared" si="93"/>
        <v>6.5294964561157992E-2</v>
      </c>
      <c r="N119" s="167">
        <f>N103/N111</f>
        <v>0.2621908503586689</v>
      </c>
      <c r="O119" s="167">
        <f t="shared" si="93"/>
        <v>0.23711616820272183</v>
      </c>
      <c r="P119" s="167">
        <f t="shared" si="93"/>
        <v>0.2195700218679211</v>
      </c>
      <c r="Q119" s="167">
        <f t="shared" si="93"/>
        <v>2.450470084222748E-2</v>
      </c>
      <c r="R119" s="167">
        <f t="shared" si="93"/>
        <v>9.3562072364192145E-2</v>
      </c>
      <c r="S119" s="167">
        <f t="shared" si="93"/>
        <v>9.419574981720269E-2</v>
      </c>
      <c r="T119" s="167">
        <f t="shared" ref="T119:AA121" si="94">T103/T111</f>
        <v>6.9642872746655482E-2</v>
      </c>
      <c r="U119" s="167">
        <f t="shared" si="94"/>
        <v>5.8788441675940974E-2</v>
      </c>
      <c r="V119" s="167">
        <f t="shared" si="94"/>
        <v>4.1412011500405736E-2</v>
      </c>
      <c r="W119" s="167">
        <f t="shared" si="94"/>
        <v>4.8702068240604295E-2</v>
      </c>
      <c r="X119" s="167">
        <f>X103/X111</f>
        <v>5.0021271048045116E-2</v>
      </c>
      <c r="Y119" s="259">
        <f t="shared" si="91"/>
        <v>3.9954006645096712E-2</v>
      </c>
      <c r="Z119" s="259">
        <f t="shared" si="91"/>
        <v>1.994403974458539E-2</v>
      </c>
      <c r="AA119" s="259">
        <f t="shared" si="91"/>
        <v>1.8863611713925345E-2</v>
      </c>
      <c r="AB119" s="259">
        <f t="shared" si="92"/>
        <v>1.4147673545078744E-2</v>
      </c>
      <c r="AC119" s="259">
        <f t="shared" si="92"/>
        <v>1.406873605323565E-2</v>
      </c>
      <c r="AD119" s="259">
        <f t="shared" si="92"/>
        <v>9.8266609028282367E-3</v>
      </c>
      <c r="AE119" s="259">
        <f t="shared" si="92"/>
        <v>7.4890839914143004E-4</v>
      </c>
      <c r="AF119" s="259">
        <f t="shared" si="92"/>
        <v>5.294572916178057E-3</v>
      </c>
      <c r="AG119" s="259">
        <f t="shared" si="88"/>
        <v>7.7061639679038276E-3</v>
      </c>
      <c r="AH119" s="259">
        <f t="shared" si="88"/>
        <v>5.9287046319352367E-3</v>
      </c>
      <c r="AI119" s="259">
        <f t="shared" si="89"/>
        <v>5.400147964054215E-3</v>
      </c>
      <c r="AJ119" s="259">
        <f t="shared" si="89"/>
        <v>5.6793979838137155E-3</v>
      </c>
      <c r="AK119" s="259"/>
      <c r="AL119" s="259">
        <f t="shared" si="89"/>
        <v>5.6762494371052638E-3</v>
      </c>
      <c r="AM119" s="259">
        <f t="shared" si="89"/>
        <v>5.7898976418470638E-3</v>
      </c>
      <c r="AN119" s="259">
        <f t="shared" si="89"/>
        <v>5.760705241994883E-3</v>
      </c>
      <c r="AO119" s="259">
        <f t="shared" si="89"/>
        <v>4.9438589502916177E-3</v>
      </c>
      <c r="AP119" s="259">
        <f t="shared" si="89"/>
        <v>4.3859649122807015E-3</v>
      </c>
      <c r="AQ119" s="259">
        <f t="shared" si="89"/>
        <v>6.0628329965092785E-3</v>
      </c>
      <c r="AR119" s="259">
        <f t="shared" si="89"/>
        <v>6.7502410800385718E-3</v>
      </c>
      <c r="AS119" s="259">
        <f t="shared" si="89"/>
        <v>6.1855670103092781E-3</v>
      </c>
      <c r="AT119" s="259">
        <f t="shared" si="89"/>
        <v>8.0240722166499499E-3</v>
      </c>
      <c r="AU119" s="259"/>
      <c r="AV119" s="259"/>
    </row>
    <row r="120" spans="1:51" x14ac:dyDescent="0.25">
      <c r="A120" s="155"/>
      <c r="B120" s="156" t="s">
        <v>60</v>
      </c>
      <c r="C120" s="155"/>
      <c r="D120" s="155"/>
      <c r="E120" s="155"/>
      <c r="F120" s="155"/>
      <c r="G120" s="155"/>
      <c r="H120" s="155"/>
      <c r="I120" s="155"/>
      <c r="J120" s="155"/>
      <c r="K120" s="155"/>
      <c r="L120" s="167">
        <f t="shared" ref="L120:S120" si="95">L104/L112</f>
        <v>0.1781990521327014</v>
      </c>
      <c r="M120" s="167">
        <f t="shared" si="95"/>
        <v>0.14617033716624439</v>
      </c>
      <c r="N120" s="167">
        <f t="shared" si="95"/>
        <v>0.12506644154707189</v>
      </c>
      <c r="O120" s="167">
        <f t="shared" si="95"/>
        <v>0.12602394454946439</v>
      </c>
      <c r="P120" s="167">
        <f t="shared" si="95"/>
        <v>0.14371581825242369</v>
      </c>
      <c r="Q120" s="167">
        <f t="shared" si="95"/>
        <v>6.7274260908922578E-2</v>
      </c>
      <c r="R120" s="167">
        <f t="shared" si="95"/>
        <v>4.3598722438142147E-2</v>
      </c>
      <c r="S120" s="167">
        <f t="shared" si="95"/>
        <v>4.3793187052976114E-2</v>
      </c>
      <c r="T120" s="167">
        <f t="shared" si="94"/>
        <v>5.7983247841049287E-2</v>
      </c>
      <c r="U120" s="167">
        <f t="shared" si="94"/>
        <v>4.9610974055900467E-2</v>
      </c>
      <c r="V120" s="167">
        <f t="shared" si="94"/>
        <v>1.8868782395198694E-2</v>
      </c>
      <c r="W120" s="167">
        <f t="shared" si="94"/>
        <v>2.1554353572735774E-2</v>
      </c>
      <c r="X120" s="167">
        <f t="shared" si="94"/>
        <v>2.0803695715356493E-2</v>
      </c>
      <c r="Y120" s="259">
        <f t="shared" si="94"/>
        <v>1.6669001260680768E-2</v>
      </c>
      <c r="Z120" s="259">
        <f t="shared" si="94"/>
        <v>1.0436350909646721E-2</v>
      </c>
      <c r="AA120" s="259">
        <f t="shared" si="94"/>
        <v>9.665540486536759E-3</v>
      </c>
      <c r="AB120" s="259">
        <f t="shared" si="92"/>
        <v>1.2637471670130658E-2</v>
      </c>
      <c r="AC120" s="259">
        <f t="shared" si="92"/>
        <v>1.4776925262858768E-2</v>
      </c>
      <c r="AD120" s="259">
        <f t="shared" si="92"/>
        <v>6.1657041488681601E-3</v>
      </c>
      <c r="AE120" s="259">
        <f t="shared" si="92"/>
        <v>9.3939752428671432E-4</v>
      </c>
      <c r="AF120" s="259">
        <f t="shared" si="92"/>
        <v>3.1026684758028038E-2</v>
      </c>
      <c r="AG120" s="259">
        <f t="shared" si="88"/>
        <v>1.0396631491396788E-2</v>
      </c>
      <c r="AH120" s="259">
        <f t="shared" si="88"/>
        <v>0</v>
      </c>
      <c r="AI120" s="259">
        <f t="shared" si="89"/>
        <v>0</v>
      </c>
      <c r="AJ120" s="259">
        <f t="shared" si="89"/>
        <v>0</v>
      </c>
      <c r="AK120" s="259"/>
      <c r="AL120" s="259">
        <f t="shared" si="89"/>
        <v>1.0263147091424113E-2</v>
      </c>
      <c r="AM120" s="259">
        <f t="shared" si="89"/>
        <v>0</v>
      </c>
      <c r="AN120" s="259">
        <f t="shared" si="89"/>
        <v>0</v>
      </c>
      <c r="AO120" s="259">
        <f t="shared" si="89"/>
        <v>0</v>
      </c>
      <c r="AP120" s="259">
        <f t="shared" si="89"/>
        <v>0</v>
      </c>
      <c r="AQ120" s="259">
        <f t="shared" si="89"/>
        <v>3.2327586206896551E-3</v>
      </c>
      <c r="AR120" s="259">
        <f t="shared" si="89"/>
        <v>0</v>
      </c>
      <c r="AS120" s="259">
        <f t="shared" si="89"/>
        <v>0</v>
      </c>
      <c r="AT120" s="259"/>
      <c r="AU120" s="259"/>
      <c r="AV120" s="259"/>
    </row>
    <row r="121" spans="1:51" x14ac:dyDescent="0.25">
      <c r="A121" s="155"/>
      <c r="B121" s="156" t="s">
        <v>61</v>
      </c>
      <c r="C121" s="155"/>
      <c r="D121" s="155"/>
      <c r="E121" s="155"/>
      <c r="F121" s="155"/>
      <c r="G121" s="155"/>
      <c r="H121" s="155"/>
      <c r="I121" s="155"/>
      <c r="J121" s="155"/>
      <c r="K121" s="155"/>
      <c r="L121" s="167">
        <f t="shared" ref="L121:S121" si="96">L105/L113</f>
        <v>0.12810331688926321</v>
      </c>
      <c r="M121" s="167">
        <f t="shared" si="96"/>
        <v>0.14636573870788325</v>
      </c>
      <c r="N121" s="167">
        <f t="shared" si="96"/>
        <v>9.1502935719187661E-2</v>
      </c>
      <c r="O121" s="167">
        <f t="shared" si="96"/>
        <v>8.0992228427535895E-2</v>
      </c>
      <c r="P121" s="167">
        <f t="shared" si="96"/>
        <v>6.1363991458778182E-2</v>
      </c>
      <c r="Q121" s="167">
        <f t="shared" si="96"/>
        <v>4.7220418664564889E-2</v>
      </c>
      <c r="R121" s="167">
        <f t="shared" si="96"/>
        <v>7.4563173599211358E-2</v>
      </c>
      <c r="S121" s="167">
        <f t="shared" si="96"/>
        <v>0.12255541069100391</v>
      </c>
      <c r="T121" s="167">
        <f t="shared" si="94"/>
        <v>2.234214517286159E-2</v>
      </c>
      <c r="U121" s="167">
        <f t="shared" si="94"/>
        <v>2.1031818203015338E-2</v>
      </c>
      <c r="V121" s="167">
        <f t="shared" si="94"/>
        <v>2.8828888193334762E-2</v>
      </c>
      <c r="W121" s="167">
        <f t="shared" si="94"/>
        <v>4.3089367311513201E-2</v>
      </c>
      <c r="X121" s="167">
        <f>X105/X113</f>
        <v>5.8363399058341259E-2</v>
      </c>
      <c r="Y121" s="259">
        <f>Y105/Y113</f>
        <v>4.7555215573268118E-2</v>
      </c>
      <c r="Z121" s="259">
        <f>Z105/Z113</f>
        <v>3.2454314133703449E-2</v>
      </c>
      <c r="AA121" s="259">
        <f>AA105/AA113</f>
        <v>5.203268489501725E-2</v>
      </c>
      <c r="AB121" s="259">
        <f t="shared" si="92"/>
        <v>1.3647470195744754E-2</v>
      </c>
      <c r="AC121" s="259">
        <f t="shared" si="92"/>
        <v>5.412546236883823E-2</v>
      </c>
      <c r="AD121" s="259">
        <f t="shared" si="92"/>
        <v>0.17004644637785327</v>
      </c>
      <c r="AE121" s="259">
        <f t="shared" si="92"/>
        <v>6.6782926663000852E-3</v>
      </c>
      <c r="AF121" s="259">
        <f t="shared" si="92"/>
        <v>1.6435333062314882E-2</v>
      </c>
      <c r="AG121" s="259">
        <f t="shared" si="88"/>
        <v>1.114647019155209E-2</v>
      </c>
      <c r="AH121" s="259">
        <f t="shared" si="88"/>
        <v>9.1170169120663724E-3</v>
      </c>
      <c r="AI121" s="259">
        <f t="shared" si="89"/>
        <v>1.1455988786608624E-2</v>
      </c>
      <c r="AJ121" s="259">
        <f t="shared" si="89"/>
        <v>5.2697450760819442E-2</v>
      </c>
      <c r="AK121" s="259"/>
      <c r="AL121" s="259">
        <f t="shared" si="89"/>
        <v>1.0603329445445869E-2</v>
      </c>
      <c r="AM121" s="259">
        <f t="shared" si="89"/>
        <v>6.4290076826641817E-3</v>
      </c>
      <c r="AN121" s="259">
        <f t="shared" si="89"/>
        <v>1.4821841465583683E-2</v>
      </c>
      <c r="AO121" s="259">
        <f t="shared" si="89"/>
        <v>1.3739283358979995E-2</v>
      </c>
      <c r="AP121" s="259">
        <f t="shared" si="89"/>
        <v>0.01</v>
      </c>
      <c r="AQ121" s="259">
        <f t="shared" si="89"/>
        <v>6.0959448714550763E-3</v>
      </c>
      <c r="AR121" s="259">
        <f t="shared" si="89"/>
        <v>0</v>
      </c>
      <c r="AS121" s="259">
        <f t="shared" si="89"/>
        <v>0</v>
      </c>
      <c r="AT121" s="259"/>
      <c r="AU121" s="259"/>
      <c r="AV121" s="259"/>
    </row>
    <row r="122" spans="1:51" ht="14.25" thickBot="1" x14ac:dyDescent="0.3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Z122" s="225"/>
      <c r="AM122" s="69"/>
    </row>
    <row r="123" spans="1:51" ht="15" thickBot="1" x14ac:dyDescent="0.35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7"/>
      <c r="W123" s="157"/>
      <c r="Z123" s="225"/>
      <c r="AC123" s="72">
        <f t="shared" ref="AC123:AH123" si="97">AC53+AC115</f>
        <v>354473.76</v>
      </c>
      <c r="AD123" s="72">
        <f t="shared" si="97"/>
        <v>390976.52252216672</v>
      </c>
      <c r="AE123" s="72">
        <f t="shared" si="97"/>
        <v>342742.93430003326</v>
      </c>
      <c r="AF123" s="72">
        <f t="shared" si="97"/>
        <v>283492.58</v>
      </c>
      <c r="AG123" s="72">
        <f t="shared" si="97"/>
        <v>295506.89799999999</v>
      </c>
      <c r="AH123" s="72">
        <f t="shared" si="97"/>
        <v>288513.95</v>
      </c>
      <c r="AI123" s="20">
        <f>AH123/AG123</f>
        <v>0.97633575375962978</v>
      </c>
      <c r="AJ123" s="20">
        <f>AH123/AD123</f>
        <v>0.73793164903819131</v>
      </c>
      <c r="AL123" s="429"/>
      <c r="AM123" s="443"/>
      <c r="AN123" s="431"/>
      <c r="AP123" s="316"/>
    </row>
    <row r="124" spans="1:51" ht="15" thickBot="1" x14ac:dyDescent="0.35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Z124" s="225"/>
      <c r="AI124" s="20">
        <v>1</v>
      </c>
      <c r="AJ124" s="20">
        <v>1</v>
      </c>
      <c r="AK124" s="20">
        <v>1</v>
      </c>
      <c r="AL124" s="20">
        <v>1</v>
      </c>
      <c r="AM124" s="443"/>
      <c r="AN124" s="431"/>
      <c r="AP124" s="316"/>
    </row>
    <row r="125" spans="1:51" ht="15.75" thickBot="1" x14ac:dyDescent="0.35">
      <c r="A125" s="155"/>
      <c r="B125" s="158" t="s">
        <v>77</v>
      </c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7"/>
      <c r="W125" s="157"/>
      <c r="Z125" s="225"/>
      <c r="AI125" s="20">
        <f>AI124-AI123</f>
        <v>2.3664246240370224E-2</v>
      </c>
      <c r="AJ125" s="20">
        <f>AJ124-AJ123</f>
        <v>0.26206835096180869</v>
      </c>
      <c r="AL125" s="430"/>
      <c r="AM125" s="444"/>
      <c r="AN125" s="432"/>
      <c r="AP125" s="316"/>
    </row>
    <row r="126" spans="1:51" ht="15" thickBot="1" x14ac:dyDescent="0.35">
      <c r="A126" s="155"/>
      <c r="B126" s="156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Z126" s="225"/>
      <c r="AL126" s="376"/>
      <c r="AM126" s="433"/>
      <c r="AN126" s="375"/>
      <c r="AP126" s="316"/>
    </row>
    <row r="127" spans="1:51" x14ac:dyDescent="0.25">
      <c r="A127" s="155"/>
      <c r="B127" s="156" t="s">
        <v>57</v>
      </c>
      <c r="C127" s="155"/>
      <c r="D127" s="155"/>
      <c r="E127" s="155"/>
      <c r="F127" s="155"/>
      <c r="G127" s="155"/>
      <c r="H127" s="155"/>
      <c r="I127" s="155"/>
      <c r="J127" s="155"/>
      <c r="K127" s="155"/>
      <c r="L127" s="167">
        <f>L89/L109</f>
        <v>0.57732262270261181</v>
      </c>
      <c r="M127" s="167">
        <f t="shared" ref="M127:V128" si="98">M89/M109</f>
        <v>0.94362419293581468</v>
      </c>
      <c r="N127" s="167">
        <f t="shared" si="98"/>
        <v>0.97191101409264546</v>
      </c>
      <c r="O127" s="167">
        <f t="shared" si="98"/>
        <v>0.98954996007338314</v>
      </c>
      <c r="P127" s="167">
        <f t="shared" si="98"/>
        <v>0.99451782410036038</v>
      </c>
      <c r="Q127" s="167">
        <f>Q89/Q109</f>
        <v>0.99660789611686629</v>
      </c>
      <c r="R127" s="167">
        <f>R89/R109</f>
        <v>0.99378541833504286</v>
      </c>
      <c r="S127" s="167">
        <f t="shared" si="98"/>
        <v>0.99482476502149997</v>
      </c>
      <c r="T127" s="167">
        <f t="shared" ref="T127:AA127" si="99">T89/T109</f>
        <v>0.99788626754904908</v>
      </c>
      <c r="U127" s="167">
        <f t="shared" si="99"/>
        <v>0.99807307235630771</v>
      </c>
      <c r="V127" s="184">
        <f t="shared" si="99"/>
        <v>0.99855342920363832</v>
      </c>
      <c r="W127" s="184">
        <f t="shared" si="99"/>
        <v>0.99852297529594913</v>
      </c>
      <c r="X127" s="167">
        <f t="shared" si="99"/>
        <v>0.99851392622030066</v>
      </c>
      <c r="Y127" s="259">
        <f t="shared" si="99"/>
        <v>0.99878668549506533</v>
      </c>
      <c r="Z127" s="259">
        <f t="shared" si="99"/>
        <v>0.99919358946213477</v>
      </c>
      <c r="AA127" s="259">
        <f t="shared" si="99"/>
        <v>0.99918978969160133</v>
      </c>
      <c r="AB127" s="259">
        <f t="shared" ref="AB127:AF131" si="100">AB89/AB109</f>
        <v>0.99793302943473927</v>
      </c>
      <c r="AC127" s="259">
        <f t="shared" si="100"/>
        <v>0.99927208762473696</v>
      </c>
      <c r="AD127" s="259">
        <f t="shared" si="100"/>
        <v>0.9993907724696548</v>
      </c>
      <c r="AE127" s="259">
        <f t="shared" si="100"/>
        <v>0.99999511267838304</v>
      </c>
      <c r="AF127" s="259">
        <f t="shared" si="100"/>
        <v>0.99794776289445941</v>
      </c>
      <c r="AG127" s="259">
        <f t="shared" ref="AG127:AT127" si="101">AG89/AG109</f>
        <v>0.99824951245274962</v>
      </c>
      <c r="AH127" s="259">
        <f t="shared" si="101"/>
        <v>0.99877441301192083</v>
      </c>
      <c r="AI127" s="259">
        <f t="shared" si="101"/>
        <v>0.99935187048557539</v>
      </c>
      <c r="AJ127" s="259">
        <f t="shared" si="101"/>
        <v>0.99924293898656025</v>
      </c>
      <c r="AK127" s="259" t="e">
        <f t="shared" si="101"/>
        <v>#DIV/0!</v>
      </c>
      <c r="AL127" s="259">
        <f t="shared" si="101"/>
        <v>0.99923654287527497</v>
      </c>
      <c r="AM127" s="259">
        <f t="shared" si="101"/>
        <v>0.99940799561127414</v>
      </c>
      <c r="AN127" s="259">
        <f t="shared" si="101"/>
        <v>0.99929634880083762</v>
      </c>
      <c r="AO127" s="259">
        <f t="shared" si="101"/>
        <v>0.99931420357546819</v>
      </c>
      <c r="AP127" s="259">
        <f t="shared" si="101"/>
        <v>0.99956455475723927</v>
      </c>
      <c r="AQ127" s="259">
        <f t="shared" si="101"/>
        <v>0.99952233102459997</v>
      </c>
      <c r="AR127" s="259">
        <f t="shared" si="101"/>
        <v>0.99957937747866843</v>
      </c>
      <c r="AS127" s="259">
        <f t="shared" si="101"/>
        <v>0.99974868057300825</v>
      </c>
      <c r="AT127" s="259">
        <f t="shared" si="101"/>
        <v>0.99975235264982665</v>
      </c>
      <c r="AU127" s="259"/>
      <c r="AV127" s="259"/>
    </row>
    <row r="128" spans="1:51" x14ac:dyDescent="0.25">
      <c r="A128" s="155"/>
      <c r="B128" s="160" t="s">
        <v>78</v>
      </c>
      <c r="C128" s="155"/>
      <c r="D128" s="155"/>
      <c r="E128" s="155"/>
      <c r="F128" s="155"/>
      <c r="G128" s="155"/>
      <c r="H128" s="155"/>
      <c r="I128" s="155"/>
      <c r="J128" s="155"/>
      <c r="K128" s="155"/>
      <c r="L128" s="167">
        <f>L90/L110</f>
        <v>0.92744501238876409</v>
      </c>
      <c r="M128" s="167">
        <f t="shared" si="98"/>
        <v>0.97525644037271941</v>
      </c>
      <c r="N128" s="167">
        <f t="shared" si="98"/>
        <v>0.98766817284602126</v>
      </c>
      <c r="O128" s="167">
        <f>O90/O110</f>
        <v>0.98868430039526611</v>
      </c>
      <c r="P128" s="167">
        <f t="shared" si="98"/>
        <v>0.99050555719195699</v>
      </c>
      <c r="Q128" s="167">
        <f t="shared" si="98"/>
        <v>0.99236314128866843</v>
      </c>
      <c r="R128" s="167">
        <f t="shared" si="98"/>
        <v>0.99556727885149654</v>
      </c>
      <c r="S128" s="167">
        <f t="shared" si="98"/>
        <v>0.99538186597311662</v>
      </c>
      <c r="T128" s="167">
        <f t="shared" si="98"/>
        <v>0.99507680104193241</v>
      </c>
      <c r="U128" s="167">
        <f t="shared" si="98"/>
        <v>0.9972762048787831</v>
      </c>
      <c r="V128" s="167">
        <f t="shared" si="98"/>
        <v>0.9981179358448049</v>
      </c>
      <c r="W128" s="167">
        <f t="shared" ref="W128:AA131" si="102">W90/W110</f>
        <v>0.99791025000290567</v>
      </c>
      <c r="X128" s="167">
        <f>X90/X110</f>
        <v>0.99770989293425516</v>
      </c>
      <c r="Y128" s="259">
        <f>Y90/Y110</f>
        <v>0.99786989502604662</v>
      </c>
      <c r="Z128" s="259">
        <f>Z90/Z110</f>
        <v>0.99847173586317706</v>
      </c>
      <c r="AA128" s="259">
        <f>AA90/AA110</f>
        <v>0.99792296052145335</v>
      </c>
      <c r="AB128" s="259">
        <f t="shared" si="100"/>
        <v>0.99802522937017435</v>
      </c>
      <c r="AC128" s="259">
        <f t="shared" si="100"/>
        <v>0.99821375912883803</v>
      </c>
      <c r="AD128" s="259">
        <f t="shared" si="100"/>
        <v>0.99842308381556788</v>
      </c>
      <c r="AE128" s="259">
        <f t="shared" si="100"/>
        <v>0.99981896370342049</v>
      </c>
      <c r="AF128" s="259">
        <f t="shared" si="100"/>
        <v>0.997631851780027</v>
      </c>
      <c r="AG128" s="259">
        <f t="shared" ref="AG128:AS128" si="103">AG90/AG110</f>
        <v>0.99622234163820045</v>
      </c>
      <c r="AH128" s="259">
        <f t="shared" si="103"/>
        <v>0.99736316339259456</v>
      </c>
      <c r="AI128" s="259">
        <f t="shared" si="103"/>
        <v>0.99681834587583806</v>
      </c>
      <c r="AJ128" s="259">
        <f t="shared" si="103"/>
        <v>0.99755387214395463</v>
      </c>
      <c r="AK128" s="259" t="e">
        <f t="shared" si="103"/>
        <v>#DIV/0!</v>
      </c>
      <c r="AL128" s="259">
        <f t="shared" si="103"/>
        <v>0.99753937815164651</v>
      </c>
      <c r="AM128" s="259">
        <f t="shared" si="103"/>
        <v>0.9970997086060176</v>
      </c>
      <c r="AN128" s="259">
        <f t="shared" si="103"/>
        <v>0.99692556989173697</v>
      </c>
      <c r="AO128" s="259">
        <f t="shared" si="103"/>
        <v>0.99746125696794297</v>
      </c>
      <c r="AP128" s="259">
        <f t="shared" si="103"/>
        <v>0.99807445442875486</v>
      </c>
      <c r="AQ128" s="259">
        <f t="shared" si="103"/>
        <v>0.99791731836217257</v>
      </c>
      <c r="AR128" s="259">
        <f t="shared" si="103"/>
        <v>0.99825500932667421</v>
      </c>
      <c r="AS128" s="259">
        <f t="shared" si="103"/>
        <v>0.99868490268279853</v>
      </c>
      <c r="AT128" s="259"/>
      <c r="AU128" s="259"/>
      <c r="AV128" s="259"/>
    </row>
    <row r="129" spans="1:48" x14ac:dyDescent="0.25">
      <c r="A129" s="155"/>
      <c r="B129" s="156" t="s">
        <v>79</v>
      </c>
      <c r="C129" s="155"/>
      <c r="D129" s="155"/>
      <c r="E129" s="155"/>
      <c r="F129" s="155"/>
      <c r="G129" s="155"/>
      <c r="H129" s="155"/>
      <c r="I129" s="155"/>
      <c r="J129" s="155"/>
      <c r="K129" s="155"/>
      <c r="L129" s="167">
        <f t="shared" ref="L129:V131" si="104">L91/L111</f>
        <v>0.99535423224916997</v>
      </c>
      <c r="M129" s="167">
        <f t="shared" si="104"/>
        <v>0.93470503543884198</v>
      </c>
      <c r="N129" s="167">
        <f t="shared" si="104"/>
        <v>0.73780914964133104</v>
      </c>
      <c r="O129" s="167">
        <f t="shared" si="104"/>
        <v>0.76288383179727803</v>
      </c>
      <c r="P129" s="167">
        <f t="shared" si="104"/>
        <v>0.78042997813207893</v>
      </c>
      <c r="Q129" s="167">
        <f t="shared" si="104"/>
        <v>0.97549529915777244</v>
      </c>
      <c r="R129" s="167">
        <f t="shared" si="104"/>
        <v>0.90643792763580777</v>
      </c>
      <c r="S129" s="167">
        <f t="shared" si="104"/>
        <v>0.90580425018279731</v>
      </c>
      <c r="T129" s="167">
        <f t="shared" si="104"/>
        <v>0.93035712725334452</v>
      </c>
      <c r="U129" s="167">
        <f t="shared" si="104"/>
        <v>0.94121155832405901</v>
      </c>
      <c r="V129" s="167">
        <f t="shared" si="104"/>
        <v>0.95858798849959415</v>
      </c>
      <c r="W129" s="167">
        <f t="shared" si="102"/>
        <v>0.9512979317593957</v>
      </c>
      <c r="X129" s="167">
        <f t="shared" si="102"/>
        <v>0.9499787289519549</v>
      </c>
      <c r="Y129" s="259">
        <f t="shared" si="102"/>
        <v>0.96004599335490337</v>
      </c>
      <c r="Z129" s="259">
        <f t="shared" si="102"/>
        <v>0.98005596025541464</v>
      </c>
      <c r="AA129" s="259">
        <f t="shared" si="102"/>
        <v>0.98113638828607463</v>
      </c>
      <c r="AB129" s="259">
        <f t="shared" si="100"/>
        <v>0.98585232645492116</v>
      </c>
      <c r="AC129" s="259">
        <f t="shared" si="100"/>
        <v>0.98593126394676445</v>
      </c>
      <c r="AD129" s="259">
        <f t="shared" si="100"/>
        <v>0.99017333909717176</v>
      </c>
      <c r="AE129" s="259">
        <f t="shared" si="100"/>
        <v>0.99925109160085868</v>
      </c>
      <c r="AF129" s="259">
        <f t="shared" si="100"/>
        <v>0.99470542708382192</v>
      </c>
      <c r="AG129" s="259">
        <f t="shared" ref="AG129:AS129" si="105">AG91/AG111</f>
        <v>0.9922938360320962</v>
      </c>
      <c r="AH129" s="259">
        <f t="shared" si="105"/>
        <v>0.99407129536806471</v>
      </c>
      <c r="AI129" s="259">
        <f t="shared" si="105"/>
        <v>0.99459985203594581</v>
      </c>
      <c r="AJ129" s="259">
        <f t="shared" si="105"/>
        <v>0.99432060201618633</v>
      </c>
      <c r="AK129" s="259" t="e">
        <f t="shared" si="105"/>
        <v>#DIV/0!</v>
      </c>
      <c r="AL129" s="259">
        <f t="shared" si="105"/>
        <v>0.99432375056289468</v>
      </c>
      <c r="AM129" s="259">
        <f t="shared" si="105"/>
        <v>0.99421010235815288</v>
      </c>
      <c r="AN129" s="259">
        <f t="shared" si="105"/>
        <v>0.9942392947580051</v>
      </c>
      <c r="AO129" s="259">
        <f t="shared" si="105"/>
        <v>0.99505614104970841</v>
      </c>
      <c r="AP129" s="259">
        <f t="shared" si="105"/>
        <v>0.99561403508771928</v>
      </c>
      <c r="AQ129" s="259">
        <f t="shared" si="105"/>
        <v>0.99393716700349077</v>
      </c>
      <c r="AR129" s="259">
        <f t="shared" si="105"/>
        <v>0.99324975891996137</v>
      </c>
      <c r="AS129" s="259">
        <f t="shared" si="105"/>
        <v>0.99381443298969074</v>
      </c>
      <c r="AT129" s="259"/>
      <c r="AU129" s="259"/>
      <c r="AV129" s="259"/>
    </row>
    <row r="130" spans="1:48" x14ac:dyDescent="0.25">
      <c r="A130" s="155"/>
      <c r="B130" s="156" t="s">
        <v>80</v>
      </c>
      <c r="C130" s="155"/>
      <c r="D130" s="155"/>
      <c r="E130" s="155"/>
      <c r="F130" s="155"/>
      <c r="G130" s="155"/>
      <c r="H130" s="155"/>
      <c r="I130" s="155"/>
      <c r="J130" s="155"/>
      <c r="K130" s="155"/>
      <c r="L130" s="167">
        <f t="shared" si="104"/>
        <v>0.82180094786729851</v>
      </c>
      <c r="M130" s="167">
        <f t="shared" si="104"/>
        <v>0.85382966283375561</v>
      </c>
      <c r="N130" s="167">
        <f t="shared" si="104"/>
        <v>0.87493355845292808</v>
      </c>
      <c r="O130" s="167">
        <f t="shared" si="104"/>
        <v>0.87397605545053558</v>
      </c>
      <c r="P130" s="167">
        <f t="shared" si="104"/>
        <v>0.85628418174757626</v>
      </c>
      <c r="Q130" s="167">
        <f t="shared" si="104"/>
        <v>0.93272573909107737</v>
      </c>
      <c r="R130" s="167">
        <f t="shared" si="104"/>
        <v>0.95640127756185789</v>
      </c>
      <c r="S130" s="167">
        <f t="shared" si="104"/>
        <v>0.95620681294702392</v>
      </c>
      <c r="T130" s="167">
        <f t="shared" si="104"/>
        <v>0.94201675215895064</v>
      </c>
      <c r="U130" s="167">
        <f t="shared" si="104"/>
        <v>0.95038902594409957</v>
      </c>
      <c r="V130" s="167">
        <f t="shared" si="104"/>
        <v>0.98113121760480138</v>
      </c>
      <c r="W130" s="167">
        <f t="shared" si="102"/>
        <v>0.97844564642726417</v>
      </c>
      <c r="X130" s="167">
        <f t="shared" si="102"/>
        <v>0.97919630428464355</v>
      </c>
      <c r="Y130" s="259">
        <f t="shared" ref="Y130:AA131" si="106">Y92/Y112</f>
        <v>0.98333099873931928</v>
      </c>
      <c r="Z130" s="259">
        <f t="shared" si="106"/>
        <v>0.98956364909035321</v>
      </c>
      <c r="AA130" s="259">
        <f t="shared" si="106"/>
        <v>0.99033445951346322</v>
      </c>
      <c r="AB130" s="259">
        <f t="shared" si="100"/>
        <v>0.98736252832986937</v>
      </c>
      <c r="AC130" s="259">
        <f t="shared" si="100"/>
        <v>0.98522307473714121</v>
      </c>
      <c r="AD130" s="259">
        <f t="shared" si="100"/>
        <v>0.99383429585113192</v>
      </c>
      <c r="AE130" s="259">
        <f t="shared" si="100"/>
        <v>0.99906060247571338</v>
      </c>
      <c r="AF130" s="259">
        <f t="shared" si="100"/>
        <v>0.96897331524197194</v>
      </c>
      <c r="AG130" s="259">
        <f t="shared" ref="AG130:AS130" si="107">AG92/AG112</f>
        <v>0.9896033685086032</v>
      </c>
      <c r="AH130" s="259">
        <f t="shared" si="107"/>
        <v>1</v>
      </c>
      <c r="AI130" s="259">
        <f t="shared" si="107"/>
        <v>1</v>
      </c>
      <c r="AJ130" s="259">
        <f t="shared" si="107"/>
        <v>1</v>
      </c>
      <c r="AK130" s="259" t="e">
        <f t="shared" si="107"/>
        <v>#DIV/0!</v>
      </c>
      <c r="AL130" s="259">
        <f t="shared" si="107"/>
        <v>0.98973685290857594</v>
      </c>
      <c r="AM130" s="259">
        <f t="shared" si="107"/>
        <v>1</v>
      </c>
      <c r="AN130" s="259">
        <f t="shared" si="107"/>
        <v>1</v>
      </c>
      <c r="AO130" s="259">
        <f t="shared" si="107"/>
        <v>1</v>
      </c>
      <c r="AP130" s="259">
        <f t="shared" si="107"/>
        <v>1</v>
      </c>
      <c r="AQ130" s="259">
        <f t="shared" si="107"/>
        <v>0.99676724137931039</v>
      </c>
      <c r="AR130" s="259">
        <f t="shared" si="107"/>
        <v>1</v>
      </c>
      <c r="AS130" s="259">
        <f t="shared" si="107"/>
        <v>1</v>
      </c>
      <c r="AT130" s="259"/>
      <c r="AU130" s="259"/>
      <c r="AV130" s="259"/>
    </row>
    <row r="131" spans="1:48" ht="14.25" thickBot="1" x14ac:dyDescent="0.3">
      <c r="A131" s="155"/>
      <c r="B131" s="156" t="s">
        <v>61</v>
      </c>
      <c r="C131" s="155"/>
      <c r="D131" s="155"/>
      <c r="E131" s="155"/>
      <c r="F131" s="155"/>
      <c r="G131" s="155"/>
      <c r="H131" s="155"/>
      <c r="I131" s="155"/>
      <c r="J131" s="155"/>
      <c r="K131" s="155"/>
      <c r="L131" s="167">
        <f t="shared" si="104"/>
        <v>0.87189668311073676</v>
      </c>
      <c r="M131" s="167">
        <f t="shared" si="104"/>
        <v>0.85363426129211672</v>
      </c>
      <c r="N131" s="167">
        <f t="shared" si="104"/>
        <v>0.90849706428081234</v>
      </c>
      <c r="O131" s="167">
        <f t="shared" si="104"/>
        <v>0.91900777157246416</v>
      </c>
      <c r="P131" s="167">
        <f t="shared" si="104"/>
        <v>0.93863600854122176</v>
      </c>
      <c r="Q131" s="167">
        <f t="shared" si="104"/>
        <v>0.95277958133543506</v>
      </c>
      <c r="R131" s="167">
        <f t="shared" si="104"/>
        <v>0.92543682640078861</v>
      </c>
      <c r="S131" s="167">
        <f t="shared" si="104"/>
        <v>0.87744458930899605</v>
      </c>
      <c r="T131" s="167">
        <f t="shared" si="104"/>
        <v>0.97765785482713841</v>
      </c>
      <c r="U131" s="167">
        <f t="shared" si="104"/>
        <v>0.97896818179698475</v>
      </c>
      <c r="V131" s="167">
        <f t="shared" si="104"/>
        <v>0.97117111180666527</v>
      </c>
      <c r="W131" s="167">
        <f t="shared" si="102"/>
        <v>0.95691063268848675</v>
      </c>
      <c r="X131" s="167">
        <f t="shared" si="102"/>
        <v>0.94163660094165869</v>
      </c>
      <c r="Y131" s="259">
        <f t="shared" si="106"/>
        <v>0.95244478442673197</v>
      </c>
      <c r="Z131" s="240">
        <f t="shared" si="106"/>
        <v>0.96754568586629663</v>
      </c>
      <c r="AA131" s="240">
        <f t="shared" si="106"/>
        <v>0.94796731510498278</v>
      </c>
      <c r="AB131" s="240">
        <f t="shared" si="100"/>
        <v>0.98635252980425525</v>
      </c>
      <c r="AC131" s="240">
        <f t="shared" si="100"/>
        <v>0.9458745376311618</v>
      </c>
      <c r="AD131" s="240">
        <f t="shared" si="100"/>
        <v>0.82995355362214673</v>
      </c>
      <c r="AE131" s="240">
        <f t="shared" si="100"/>
        <v>0.99332170733369995</v>
      </c>
      <c r="AF131" s="240">
        <f t="shared" si="100"/>
        <v>0.98356466693768507</v>
      </c>
      <c r="AG131" s="240">
        <f t="shared" ref="AG131:AS131" si="108">AG93/AG113</f>
        <v>0.98885352980844787</v>
      </c>
      <c r="AH131" s="240">
        <f t="shared" si="108"/>
        <v>0.99088298308793366</v>
      </c>
      <c r="AI131" s="240">
        <f t="shared" si="108"/>
        <v>0.98854401121339142</v>
      </c>
      <c r="AJ131" s="240">
        <f t="shared" si="108"/>
        <v>0.94730254923918056</v>
      </c>
      <c r="AK131" s="240" t="e">
        <f t="shared" si="108"/>
        <v>#DIV/0!</v>
      </c>
      <c r="AL131" s="240">
        <f t="shared" si="108"/>
        <v>0.98939667055455416</v>
      </c>
      <c r="AM131" s="240">
        <f t="shared" si="108"/>
        <v>0.99357099231733581</v>
      </c>
      <c r="AN131" s="240">
        <f t="shared" si="108"/>
        <v>0.98517815853441637</v>
      </c>
      <c r="AO131" s="240">
        <f t="shared" si="108"/>
        <v>0.98626071664102</v>
      </c>
      <c r="AP131" s="240">
        <f t="shared" si="108"/>
        <v>0.99</v>
      </c>
      <c r="AQ131" s="240">
        <f t="shared" si="108"/>
        <v>0.99390405512854496</v>
      </c>
      <c r="AR131" s="240">
        <f t="shared" si="108"/>
        <v>1</v>
      </c>
      <c r="AS131" s="240">
        <f t="shared" si="108"/>
        <v>1</v>
      </c>
      <c r="AT131" s="240"/>
      <c r="AU131" s="240"/>
      <c r="AV131" s="240"/>
    </row>
    <row r="132" spans="1:48" ht="15" thickBot="1" x14ac:dyDescent="0.35">
      <c r="AL132" s="374"/>
      <c r="AM132" s="375"/>
      <c r="AN132" s="375"/>
      <c r="AP132" s="316"/>
    </row>
    <row r="133" spans="1:48" ht="15" thickBot="1" x14ac:dyDescent="0.35">
      <c r="AL133" s="377"/>
      <c r="AM133" s="375"/>
      <c r="AN133" s="375"/>
      <c r="AP133" s="316"/>
    </row>
    <row r="134" spans="1:48" ht="14.25" thickBot="1" x14ac:dyDescent="0.3">
      <c r="B134" s="156" t="s">
        <v>57</v>
      </c>
      <c r="Q134" s="203"/>
      <c r="R134" s="203"/>
      <c r="S134" s="203"/>
      <c r="T134" s="203"/>
      <c r="U134" s="203"/>
      <c r="V134" s="203"/>
      <c r="W134" s="203"/>
      <c r="X134" s="203"/>
      <c r="AL134" s="378"/>
      <c r="AM134" s="378"/>
      <c r="AN134" s="378"/>
      <c r="AP134" s="316"/>
    </row>
    <row r="135" spans="1:48" ht="14.25" thickBot="1" x14ac:dyDescent="0.3">
      <c r="B135" s="160" t="s">
        <v>78</v>
      </c>
      <c r="Q135" s="203"/>
      <c r="R135" s="203"/>
      <c r="S135" s="203"/>
      <c r="T135" s="203"/>
      <c r="U135" s="203"/>
      <c r="V135" s="203"/>
      <c r="W135" s="203"/>
      <c r="X135" s="203"/>
      <c r="AL135" s="378"/>
      <c r="AM135" s="378"/>
      <c r="AN135" s="378"/>
      <c r="AP135" s="316"/>
    </row>
    <row r="136" spans="1:48" x14ac:dyDescent="0.25">
      <c r="B136" s="156" t="s">
        <v>79</v>
      </c>
      <c r="Q136" s="203"/>
      <c r="R136" s="203"/>
      <c r="S136" s="203"/>
      <c r="T136" s="203"/>
      <c r="U136" s="203"/>
      <c r="V136" s="203"/>
      <c r="W136" s="203"/>
      <c r="X136" s="203"/>
    </row>
    <row r="137" spans="1:48" x14ac:dyDescent="0.25">
      <c r="B137" s="156" t="s">
        <v>60</v>
      </c>
      <c r="Q137" s="203"/>
      <c r="R137" s="203"/>
      <c r="S137" s="203"/>
      <c r="T137" s="203"/>
      <c r="U137" s="203"/>
      <c r="V137" s="203"/>
      <c r="W137" s="203"/>
      <c r="X137" s="203"/>
    </row>
    <row r="138" spans="1:48" x14ac:dyDescent="0.25">
      <c r="B138" s="156" t="s">
        <v>61</v>
      </c>
      <c r="Q138" s="203"/>
      <c r="R138" s="203"/>
      <c r="S138" s="203"/>
      <c r="T138" s="203"/>
      <c r="U138" s="203"/>
      <c r="V138" s="203"/>
      <c r="W138" s="203"/>
      <c r="X138" s="203"/>
    </row>
  </sheetData>
  <mergeCells count="14">
    <mergeCell ref="AV30:AY30"/>
    <mergeCell ref="AZ30:BC30"/>
    <mergeCell ref="AZ1:BC1"/>
    <mergeCell ref="D1:G1"/>
    <mergeCell ref="H1:K1"/>
    <mergeCell ref="L1:O1"/>
    <mergeCell ref="P1:R1"/>
    <mergeCell ref="T1:W1"/>
    <mergeCell ref="AQ99:AR99"/>
    <mergeCell ref="AJ1:AL1"/>
    <mergeCell ref="AB1:AE1"/>
    <mergeCell ref="X1:Z1"/>
    <mergeCell ref="AR1:AT1"/>
    <mergeCell ref="AF1:AI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3"/>
  <sheetViews>
    <sheetView tabSelected="1" view="pageBreakPreview" topLeftCell="A7" zoomScale="90" zoomScaleNormal="90" zoomScaleSheetLayoutView="90" workbookViewId="0">
      <selection activeCell="B20" sqref="B20"/>
    </sheetView>
  </sheetViews>
  <sheetFormatPr defaultRowHeight="51" customHeight="1" x14ac:dyDescent="0.25"/>
  <cols>
    <col min="1" max="1" width="8.28515625" style="242" customWidth="1"/>
    <col min="2" max="2" width="70.5703125" style="242" bestFit="1" customWidth="1"/>
    <col min="3" max="3" width="34.5703125" style="242" customWidth="1"/>
    <col min="4" max="4" width="30.7109375" style="242" customWidth="1"/>
    <col min="5" max="5" width="26.5703125" style="242" customWidth="1"/>
    <col min="6" max="7" width="23.7109375" style="242" hidden="1" customWidth="1"/>
    <col min="8" max="9" width="23.7109375" style="242" customWidth="1"/>
    <col min="10" max="10" width="0.140625" style="242" customWidth="1"/>
    <col min="11" max="11" width="33" style="242" hidden="1" customWidth="1"/>
    <col min="12" max="12" width="0.5703125" style="242" hidden="1" customWidth="1"/>
    <col min="13" max="13" width="18.85546875" style="242" customWidth="1"/>
    <col min="14" max="15" width="9.140625" style="242"/>
    <col min="16" max="16" width="9.140625" style="242" customWidth="1"/>
    <col min="17" max="18" width="9.140625" style="242"/>
    <col min="19" max="19" width="9.140625" style="242" customWidth="1"/>
    <col min="20" max="20" width="14.85546875" style="242" customWidth="1"/>
    <col min="21" max="21" width="20" style="242" customWidth="1"/>
    <col min="22" max="16384" width="9.140625" style="242"/>
  </cols>
  <sheetData>
    <row r="1" spans="1:21" ht="78" customHeight="1" thickBot="1" x14ac:dyDescent="0.3">
      <c r="A1" s="637" t="s">
        <v>101</v>
      </c>
      <c r="B1" s="241" t="s">
        <v>102</v>
      </c>
      <c r="C1" s="447" t="s">
        <v>198</v>
      </c>
      <c r="D1" s="447" t="s">
        <v>197</v>
      </c>
      <c r="E1" s="447" t="s">
        <v>199</v>
      </c>
      <c r="F1" s="241" t="s">
        <v>168</v>
      </c>
      <c r="G1" s="241" t="s">
        <v>169</v>
      </c>
      <c r="H1" s="447" t="s">
        <v>193</v>
      </c>
      <c r="I1" s="447" t="s">
        <v>194</v>
      </c>
      <c r="J1" s="241" t="s">
        <v>131</v>
      </c>
      <c r="K1" s="241" t="s">
        <v>132</v>
      </c>
    </row>
    <row r="2" spans="1:21" ht="33.75" customHeight="1" thickBot="1" x14ac:dyDescent="0.35">
      <c r="A2" s="638">
        <v>1</v>
      </c>
      <c r="B2" s="639" t="s">
        <v>170</v>
      </c>
      <c r="C2" s="640"/>
      <c r="D2" s="640"/>
      <c r="E2" s="641"/>
      <c r="F2" s="642">
        <f>F3+F9</f>
        <v>0</v>
      </c>
      <c r="G2" s="643">
        <f>G3+G9</f>
        <v>0</v>
      </c>
      <c r="H2" s="452" t="e">
        <f>(C2-D2)/D2</f>
        <v>#DIV/0!</v>
      </c>
      <c r="I2" s="452" t="e">
        <f>(C2-E2)/E2</f>
        <v>#DIV/0!</v>
      </c>
      <c r="J2" s="451" t="e">
        <f t="shared" ref="J2:J14" si="0">(E2-F2)/F2</f>
        <v>#DIV/0!</v>
      </c>
      <c r="K2" s="305" t="e">
        <f t="shared" ref="K2:K14" si="1">(E2-G2)/G2</f>
        <v>#DIV/0!</v>
      </c>
    </row>
    <row r="3" spans="1:21" ht="28.5" customHeight="1" thickBot="1" x14ac:dyDescent="0.35">
      <c r="A3" s="638">
        <v>1.1000000000000001</v>
      </c>
      <c r="B3" s="644" t="s">
        <v>171</v>
      </c>
      <c r="C3" s="645">
        <v>351394</v>
      </c>
      <c r="D3" s="645">
        <v>342937</v>
      </c>
      <c r="E3" s="646">
        <v>328700</v>
      </c>
      <c r="F3" s="642">
        <f>F4+F5+F6+F7+F8</f>
        <v>0</v>
      </c>
      <c r="G3" s="643">
        <f>G4+G5+G6+G7+G8</f>
        <v>0</v>
      </c>
      <c r="H3" s="452">
        <f>(C3-D3)/D3</f>
        <v>2.4660506157107572E-2</v>
      </c>
      <c r="I3" s="452">
        <f t="shared" ref="I3:I14" si="2">(C3-E3)/E3</f>
        <v>6.9041679342865842E-2</v>
      </c>
      <c r="J3" s="451" t="e">
        <f t="shared" si="0"/>
        <v>#DIV/0!</v>
      </c>
      <c r="K3" s="305" t="e">
        <f t="shared" si="1"/>
        <v>#DIV/0!</v>
      </c>
      <c r="L3" s="243"/>
    </row>
    <row r="4" spans="1:21" ht="31.5" customHeight="1" thickBot="1" x14ac:dyDescent="0.35">
      <c r="A4" s="647" t="s">
        <v>172</v>
      </c>
      <c r="B4" s="648" t="s">
        <v>173</v>
      </c>
      <c r="C4" s="649">
        <v>254426</v>
      </c>
      <c r="D4" s="649">
        <v>249235</v>
      </c>
      <c r="E4" s="646">
        <v>282148</v>
      </c>
      <c r="F4" s="650"/>
      <c r="G4" s="651"/>
      <c r="H4" s="452">
        <f t="shared" ref="H4:H14" si="3">(C4-D4)/D4</f>
        <v>2.0827732862559432E-2</v>
      </c>
      <c r="I4" s="452">
        <f t="shared" si="2"/>
        <v>-9.8253398925386676E-2</v>
      </c>
      <c r="J4" s="451" t="e">
        <f t="shared" si="0"/>
        <v>#DIV/0!</v>
      </c>
      <c r="K4" s="305" t="e">
        <f t="shared" si="1"/>
        <v>#DIV/0!</v>
      </c>
      <c r="L4" s="243"/>
    </row>
    <row r="5" spans="1:21" ht="29.25" customHeight="1" thickBot="1" x14ac:dyDescent="0.35">
      <c r="A5" s="652" t="s">
        <v>172</v>
      </c>
      <c r="B5" s="648" t="s">
        <v>174</v>
      </c>
      <c r="C5" s="653"/>
      <c r="D5" s="653"/>
      <c r="E5" s="654"/>
      <c r="F5" s="650"/>
      <c r="G5" s="651"/>
      <c r="H5" s="452" t="e">
        <f t="shared" si="3"/>
        <v>#DIV/0!</v>
      </c>
      <c r="I5" s="452" t="e">
        <f t="shared" si="2"/>
        <v>#DIV/0!</v>
      </c>
      <c r="J5" s="451" t="e">
        <f t="shared" si="0"/>
        <v>#DIV/0!</v>
      </c>
      <c r="K5" s="305" t="e">
        <f t="shared" si="1"/>
        <v>#DIV/0!</v>
      </c>
      <c r="L5" s="244"/>
      <c r="M5" s="303"/>
    </row>
    <row r="6" spans="1:21" ht="28.5" customHeight="1" thickBot="1" x14ac:dyDescent="0.35">
      <c r="A6" s="652" t="s">
        <v>175</v>
      </c>
      <c r="B6" s="655" t="s">
        <v>176</v>
      </c>
      <c r="C6" s="653">
        <v>79184</v>
      </c>
      <c r="D6" s="653">
        <v>77766</v>
      </c>
      <c r="E6" s="646">
        <v>82845</v>
      </c>
      <c r="F6" s="650"/>
      <c r="G6" s="651"/>
      <c r="H6" s="452">
        <f t="shared" si="3"/>
        <v>1.8234189748733379E-2</v>
      </c>
      <c r="I6" s="452">
        <f t="shared" si="2"/>
        <v>-4.4190959019856361E-2</v>
      </c>
      <c r="J6" s="451" t="e">
        <f t="shared" si="0"/>
        <v>#DIV/0!</v>
      </c>
      <c r="K6" s="305" t="e">
        <f t="shared" si="1"/>
        <v>#DIV/0!</v>
      </c>
      <c r="L6" s="245"/>
      <c r="U6" s="494"/>
    </row>
    <row r="7" spans="1:21" ht="28.5" customHeight="1" thickBot="1" x14ac:dyDescent="0.35">
      <c r="A7" s="652" t="s">
        <v>177</v>
      </c>
      <c r="B7" s="648" t="s">
        <v>103</v>
      </c>
      <c r="C7" s="653">
        <v>2603</v>
      </c>
      <c r="D7" s="653">
        <v>2488</v>
      </c>
      <c r="E7" s="580">
        <v>2326</v>
      </c>
      <c r="F7" s="650"/>
      <c r="G7" s="651"/>
      <c r="H7" s="452">
        <f t="shared" si="3"/>
        <v>4.6221864951768492E-2</v>
      </c>
      <c r="I7" s="452">
        <f t="shared" si="2"/>
        <v>0.11908856405846947</v>
      </c>
      <c r="J7" s="451" t="e">
        <f t="shared" si="0"/>
        <v>#DIV/0!</v>
      </c>
      <c r="K7" s="305" t="e">
        <f t="shared" si="1"/>
        <v>#DIV/0!</v>
      </c>
      <c r="U7" s="494"/>
    </row>
    <row r="8" spans="1:21" ht="27" customHeight="1" thickBot="1" x14ac:dyDescent="0.35">
      <c r="A8" s="652" t="s">
        <v>178</v>
      </c>
      <c r="B8" s="648" t="s">
        <v>104</v>
      </c>
      <c r="C8" s="653">
        <v>15181</v>
      </c>
      <c r="D8" s="653">
        <v>13448</v>
      </c>
      <c r="E8" s="580">
        <v>15381</v>
      </c>
      <c r="F8" s="650"/>
      <c r="G8" s="651"/>
      <c r="H8" s="452">
        <f>(C8-D8)/D8</f>
        <v>0.12886674598453302</v>
      </c>
      <c r="I8" s="452">
        <f t="shared" si="2"/>
        <v>-1.3003055718093752E-2</v>
      </c>
      <c r="J8" s="451" t="e">
        <f t="shared" si="0"/>
        <v>#DIV/0!</v>
      </c>
      <c r="K8" s="305" t="e">
        <f t="shared" si="1"/>
        <v>#DIV/0!</v>
      </c>
      <c r="L8" s="244"/>
      <c r="U8" s="494"/>
    </row>
    <row r="9" spans="1:21" ht="29.25" customHeight="1" thickBot="1" x14ac:dyDescent="0.35">
      <c r="A9" s="638">
        <v>1.2</v>
      </c>
      <c r="B9" s="644" t="s">
        <v>179</v>
      </c>
      <c r="C9" s="656"/>
      <c r="D9" s="656"/>
      <c r="E9" s="641"/>
      <c r="F9" s="642">
        <f>SUM(F10:F14)</f>
        <v>0</v>
      </c>
      <c r="G9" s="643">
        <f>SUM(G10:G14)</f>
        <v>0</v>
      </c>
      <c r="H9" s="452" t="e">
        <f t="shared" si="3"/>
        <v>#DIV/0!</v>
      </c>
      <c r="I9" s="452" t="e">
        <f t="shared" si="2"/>
        <v>#DIV/0!</v>
      </c>
      <c r="J9" s="451" t="e">
        <f t="shared" si="0"/>
        <v>#DIV/0!</v>
      </c>
      <c r="K9" s="305" t="e">
        <f t="shared" si="1"/>
        <v>#DIV/0!</v>
      </c>
      <c r="U9" s="494"/>
    </row>
    <row r="10" spans="1:21" ht="28.5" customHeight="1" thickBot="1" x14ac:dyDescent="0.35">
      <c r="A10" s="647" t="s">
        <v>180</v>
      </c>
      <c r="B10" s="648" t="s">
        <v>181</v>
      </c>
      <c r="C10" s="653"/>
      <c r="D10" s="653"/>
      <c r="E10" s="646"/>
      <c r="F10" s="657"/>
      <c r="G10" s="651"/>
      <c r="H10" s="452" t="e">
        <f t="shared" si="3"/>
        <v>#DIV/0!</v>
      </c>
      <c r="I10" s="452" t="e">
        <f t="shared" si="2"/>
        <v>#DIV/0!</v>
      </c>
      <c r="J10" s="451" t="e">
        <f t="shared" si="0"/>
        <v>#DIV/0!</v>
      </c>
      <c r="K10" s="305" t="e">
        <f t="shared" si="1"/>
        <v>#DIV/0!</v>
      </c>
      <c r="U10" s="494"/>
    </row>
    <row r="11" spans="1:21" ht="26.25" customHeight="1" thickBot="1" x14ac:dyDescent="0.35">
      <c r="A11" s="647" t="s">
        <v>182</v>
      </c>
      <c r="B11" s="648" t="s">
        <v>183</v>
      </c>
      <c r="C11" s="653"/>
      <c r="D11" s="653"/>
      <c r="E11" s="646"/>
      <c r="F11" s="657"/>
      <c r="G11" s="651"/>
      <c r="H11" s="452" t="e">
        <f t="shared" si="3"/>
        <v>#DIV/0!</v>
      </c>
      <c r="I11" s="452" t="e">
        <f t="shared" si="2"/>
        <v>#DIV/0!</v>
      </c>
      <c r="J11" s="451" t="e">
        <f t="shared" si="0"/>
        <v>#DIV/0!</v>
      </c>
      <c r="K11" s="305" t="e">
        <f t="shared" si="1"/>
        <v>#DIV/0!</v>
      </c>
      <c r="U11" s="658"/>
    </row>
    <row r="12" spans="1:21" ht="28.5" customHeight="1" thickBot="1" x14ac:dyDescent="0.35">
      <c r="A12" s="647" t="s">
        <v>184</v>
      </c>
      <c r="B12" s="648" t="s">
        <v>176</v>
      </c>
      <c r="C12" s="653"/>
      <c r="D12" s="653"/>
      <c r="E12" s="580"/>
      <c r="F12" s="657"/>
      <c r="G12" s="651"/>
      <c r="H12" s="452" t="e">
        <f>(C12-D12)/D12</f>
        <v>#DIV/0!</v>
      </c>
      <c r="I12" s="452" t="e">
        <f t="shared" si="2"/>
        <v>#DIV/0!</v>
      </c>
      <c r="J12" s="451" t="e">
        <f t="shared" si="0"/>
        <v>#DIV/0!</v>
      </c>
      <c r="K12" s="305" t="e">
        <f t="shared" si="1"/>
        <v>#DIV/0!</v>
      </c>
    </row>
    <row r="13" spans="1:21" ht="29.25" customHeight="1" thickBot="1" x14ac:dyDescent="0.35">
      <c r="A13" s="647" t="s">
        <v>185</v>
      </c>
      <c r="B13" s="648" t="s">
        <v>103</v>
      </c>
      <c r="C13" s="653"/>
      <c r="D13" s="653"/>
      <c r="E13" s="580"/>
      <c r="F13" s="657"/>
      <c r="G13" s="659"/>
      <c r="H13" s="452" t="e">
        <f t="shared" si="3"/>
        <v>#DIV/0!</v>
      </c>
      <c r="I13" s="452" t="e">
        <f t="shared" si="2"/>
        <v>#DIV/0!</v>
      </c>
      <c r="J13" s="451" t="e">
        <f t="shared" si="0"/>
        <v>#DIV/0!</v>
      </c>
      <c r="K13" s="305" t="e">
        <f t="shared" si="1"/>
        <v>#DIV/0!</v>
      </c>
    </row>
    <row r="14" spans="1:21" ht="27" customHeight="1" thickBot="1" x14ac:dyDescent="0.35">
      <c r="A14" s="647" t="s">
        <v>186</v>
      </c>
      <c r="B14" s="648" t="s">
        <v>104</v>
      </c>
      <c r="C14" s="653"/>
      <c r="D14" s="668"/>
      <c r="E14" s="580"/>
      <c r="F14" s="657"/>
      <c r="G14" s="659"/>
      <c r="H14" s="452" t="e">
        <f t="shared" si="3"/>
        <v>#DIV/0!</v>
      </c>
      <c r="I14" s="452" t="e">
        <f t="shared" si="2"/>
        <v>#DIV/0!</v>
      </c>
      <c r="J14" s="451" t="e">
        <f t="shared" si="0"/>
        <v>#DIV/0!</v>
      </c>
      <c r="K14" s="305" t="e">
        <f t="shared" si="1"/>
        <v>#DIV/0!</v>
      </c>
    </row>
    <row r="15" spans="1:21" ht="51" customHeight="1" thickBot="1" x14ac:dyDescent="0.3">
      <c r="A15" s="637" t="s">
        <v>101</v>
      </c>
      <c r="B15" s="241" t="s">
        <v>102</v>
      </c>
      <c r="C15" s="665" t="s">
        <v>198</v>
      </c>
      <c r="D15" s="669" t="s">
        <v>197</v>
      </c>
      <c r="E15" s="447" t="s">
        <v>199</v>
      </c>
      <c r="F15" s="241" t="s">
        <v>168</v>
      </c>
      <c r="G15" s="241" t="s">
        <v>169</v>
      </c>
      <c r="H15" s="447" t="s">
        <v>195</v>
      </c>
      <c r="I15" s="447" t="s">
        <v>196</v>
      </c>
      <c r="J15" s="241" t="s">
        <v>187</v>
      </c>
      <c r="K15" s="241" t="s">
        <v>188</v>
      </c>
    </row>
    <row r="16" spans="1:21" ht="51" customHeight="1" thickBot="1" x14ac:dyDescent="0.35">
      <c r="A16" s="638">
        <v>1</v>
      </c>
      <c r="B16" s="639" t="s">
        <v>189</v>
      </c>
      <c r="C16" s="666">
        <v>109228</v>
      </c>
      <c r="D16" s="666">
        <v>100411</v>
      </c>
      <c r="E16" s="641">
        <v>105453</v>
      </c>
      <c r="F16" s="660">
        <f>F17+F18+F19</f>
        <v>0</v>
      </c>
      <c r="G16" s="660">
        <f>G17+G18+G19</f>
        <v>0</v>
      </c>
      <c r="H16" s="450">
        <f>(C16-D16)/D16</f>
        <v>8.7809104580175476E-2</v>
      </c>
      <c r="I16" s="450">
        <f>(C16-E16)/E16</f>
        <v>3.5797938418063023E-2</v>
      </c>
      <c r="J16" s="305" t="e">
        <f t="shared" ref="H16:J19" si="4">(E16-F16)/F16</f>
        <v>#DIV/0!</v>
      </c>
      <c r="K16" s="305" t="e">
        <f>(E16-G16)/G16</f>
        <v>#DIV/0!</v>
      </c>
    </row>
    <row r="17" spans="1:12" ht="51" customHeight="1" thickBot="1" x14ac:dyDescent="0.35">
      <c r="A17" s="652" t="s">
        <v>175</v>
      </c>
      <c r="B17" s="648" t="s">
        <v>190</v>
      </c>
      <c r="C17" s="667">
        <v>93769</v>
      </c>
      <c r="D17" s="667">
        <v>86167</v>
      </c>
      <c r="E17" s="646">
        <v>92424</v>
      </c>
      <c r="F17" s="661"/>
      <c r="G17" s="662"/>
      <c r="H17" s="450">
        <f>(C17-D17)/D17</f>
        <v>8.8224030081121549E-2</v>
      </c>
      <c r="I17" s="450">
        <f>(C17-E17)/E17</f>
        <v>1.4552497186877867E-2</v>
      </c>
      <c r="J17" s="305" t="e">
        <f t="shared" si="4"/>
        <v>#DIV/0!</v>
      </c>
      <c r="K17" s="305" t="e">
        <f>(E17-G17)/G17</f>
        <v>#DIV/0!</v>
      </c>
    </row>
    <row r="18" spans="1:12" ht="51" customHeight="1" thickBot="1" x14ac:dyDescent="0.3">
      <c r="A18" s="652" t="s">
        <v>177</v>
      </c>
      <c r="B18" s="648" t="s">
        <v>106</v>
      </c>
      <c r="C18" s="667">
        <v>2381</v>
      </c>
      <c r="D18" s="700">
        <v>2377</v>
      </c>
      <c r="E18" s="701">
        <v>2472</v>
      </c>
      <c r="F18" s="702"/>
      <c r="G18" s="703"/>
      <c r="H18" s="704">
        <f t="shared" si="4"/>
        <v>1.6827934371055953E-3</v>
      </c>
      <c r="I18" s="450">
        <f>(C18-E18)/E18</f>
        <v>-3.6812297734627832E-2</v>
      </c>
      <c r="J18" s="450" t="e">
        <f t="shared" ref="J18:L18" si="5">(D18-F18)/F18</f>
        <v>#DIV/0!</v>
      </c>
      <c r="K18" s="450" t="e">
        <f t="shared" si="5"/>
        <v>#DIV/0!</v>
      </c>
      <c r="L18" s="450">
        <f t="shared" si="5"/>
        <v>-1</v>
      </c>
    </row>
    <row r="19" spans="1:12" ht="51" customHeight="1" thickBot="1" x14ac:dyDescent="0.35">
      <c r="A19" s="652" t="s">
        <v>178</v>
      </c>
      <c r="B19" s="648" t="s">
        <v>105</v>
      </c>
      <c r="C19" s="667">
        <v>13078</v>
      </c>
      <c r="D19" s="705">
        <v>11867</v>
      </c>
      <c r="E19" s="646">
        <v>10557</v>
      </c>
      <c r="F19" s="706"/>
      <c r="G19" s="707"/>
      <c r="H19" s="708">
        <f t="shared" si="4"/>
        <v>0.10204769528945816</v>
      </c>
      <c r="I19" s="450">
        <f>(C19-E19)/E19</f>
        <v>0.23879890120299327</v>
      </c>
      <c r="J19" s="305" t="e">
        <f t="shared" si="4"/>
        <v>#DIV/0!</v>
      </c>
      <c r="K19" s="305" t="e">
        <f>(E19-G19)/G19</f>
        <v>#DIV/0!</v>
      </c>
    </row>
    <row r="20" spans="1:12" ht="51" customHeight="1" x14ac:dyDescent="0.3">
      <c r="A20" s="391"/>
      <c r="B20" s="392"/>
      <c r="C20" s="392"/>
      <c r="D20" s="393"/>
      <c r="E20" s="663"/>
      <c r="F20" s="394"/>
      <c r="G20" s="395"/>
      <c r="H20" s="664"/>
      <c r="I20" s="664"/>
      <c r="J20" s="390"/>
      <c r="K20" s="390"/>
    </row>
    <row r="21" spans="1:12" ht="51" customHeight="1" x14ac:dyDescent="0.3">
      <c r="A21" s="391"/>
      <c r="B21" s="392"/>
      <c r="C21" s="392"/>
      <c r="D21" s="393"/>
      <c r="E21" s="663"/>
      <c r="F21" s="394"/>
      <c r="G21" s="395"/>
      <c r="H21" s="664"/>
      <c r="I21" s="664"/>
      <c r="J21" s="390"/>
      <c r="K21" s="390"/>
    </row>
    <row r="22" spans="1:12" ht="51" customHeight="1" x14ac:dyDescent="0.3">
      <c r="A22" s="391"/>
      <c r="B22" s="392"/>
      <c r="C22" s="392"/>
      <c r="D22" s="393"/>
      <c r="E22" s="663"/>
      <c r="F22" s="394"/>
      <c r="G22" s="395"/>
      <c r="H22" s="664"/>
      <c r="I22" s="664"/>
      <c r="J22" s="390"/>
      <c r="K22" s="390"/>
    </row>
    <row r="23" spans="1:12" ht="51" customHeight="1" x14ac:dyDescent="0.3">
      <c r="A23" s="391"/>
      <c r="B23" s="392"/>
      <c r="C23" s="392"/>
      <c r="D23" s="393"/>
      <c r="E23" s="663"/>
      <c r="F23" s="394"/>
      <c r="G23" s="395"/>
      <c r="H23" s="664"/>
      <c r="I23" s="664"/>
      <c r="J23" s="390"/>
      <c r="K23" s="390"/>
    </row>
  </sheetData>
  <pageMargins left="0.7" right="0.7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MBB</vt:lpstr>
      <vt:lpstr>Sheet1 (2)</vt:lpstr>
      <vt:lpstr>Te dhenat per parapag </vt:lpstr>
      <vt:lpstr>te hyrat </vt:lpstr>
      <vt:lpstr>Trafiku Min&amp;Grafet </vt:lpstr>
      <vt:lpstr>traffi indikators TM4 2015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Enver Bajcinca</cp:lastModifiedBy>
  <cp:lastPrinted>2016-01-29T12:21:26Z</cp:lastPrinted>
  <dcterms:created xsi:type="dcterms:W3CDTF">2010-08-12T09:53:22Z</dcterms:created>
  <dcterms:modified xsi:type="dcterms:W3CDTF">2022-11-22T14:55:10Z</dcterms:modified>
</cp:coreProperties>
</file>