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E\0-General Data\Ho so vay von\Ho So vay von\5-Sacombank\"/>
    </mc:Choice>
  </mc:AlternateContent>
  <bookViews>
    <workbookView xWindow="0" yWindow="0" windowWidth="25200" windowHeight="11880" firstSheet="1" activeTab="1"/>
  </bookViews>
  <sheets>
    <sheet name="AR condition" sheetId="4" state="hidden" r:id="rId1"/>
    <sheet name="Summary 2026" sheetId="1" r:id="rId2"/>
    <sheet name="Financial Imbalance " sheetId="7" r:id="rId3"/>
    <sheet name="Sheet1" sheetId="5" state="hidden" r:id="rId4"/>
    <sheet name="Sheet2" sheetId="6" state="hidden" r:id="rId5"/>
    <sheet name="Long Loan 2021" sheetId="2" state="hidden" r:id="rId6"/>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55" i="1" l="1"/>
  <c r="I56" i="1" l="1"/>
  <c r="I68" i="1"/>
  <c r="C67" i="1"/>
  <c r="H68" i="1"/>
  <c r="J67" i="1"/>
  <c r="I67" i="1"/>
  <c r="D11" i="7"/>
  <c r="E11" i="7"/>
  <c r="C11" i="7"/>
  <c r="D10" i="7"/>
  <c r="C10" i="7"/>
  <c r="E10" i="7" s="1"/>
  <c r="E9" i="7"/>
  <c r="E4" i="7"/>
  <c r="D4" i="7"/>
  <c r="C4" i="7"/>
  <c r="I62" i="1" l="1"/>
  <c r="I55" i="1"/>
  <c r="I66" i="1"/>
  <c r="C66" i="1" s="1"/>
  <c r="I65" i="1"/>
  <c r="I54" i="1"/>
  <c r="I52" i="1"/>
  <c r="I51" i="1"/>
  <c r="I50" i="1"/>
  <c r="I49" i="1"/>
  <c r="I63" i="1"/>
  <c r="I61" i="1"/>
  <c r="I60" i="1"/>
  <c r="F60" i="1"/>
  <c r="H64" i="1"/>
  <c r="J68" i="1" s="1"/>
  <c r="J63" i="1"/>
  <c r="J62" i="1"/>
  <c r="G62" i="1"/>
  <c r="G61" i="1"/>
  <c r="F64" i="1"/>
  <c r="J66" i="1" l="1"/>
  <c r="J65" i="1"/>
  <c r="J61" i="1"/>
  <c r="C60" i="1"/>
  <c r="C65" i="1"/>
  <c r="I64" i="1"/>
  <c r="J60" i="1"/>
  <c r="C55" i="1"/>
  <c r="C54" i="1"/>
  <c r="C49" i="1"/>
  <c r="J52" i="1"/>
  <c r="J54" i="1"/>
  <c r="J49" i="1"/>
  <c r="I33" i="1"/>
  <c r="I32" i="1"/>
  <c r="I30" i="1"/>
  <c r="I29" i="1"/>
  <c r="I28" i="1"/>
  <c r="I27" i="1"/>
  <c r="I44" i="1"/>
  <c r="J55" i="1" s="1"/>
  <c r="I43" i="1"/>
  <c r="I41" i="1"/>
  <c r="I40" i="1"/>
  <c r="J51" i="1" s="1"/>
  <c r="I39" i="1"/>
  <c r="J50" i="1" s="1"/>
  <c r="I38" i="1"/>
  <c r="F49" i="1"/>
  <c r="F53" i="1" s="1"/>
  <c r="H53" i="1"/>
  <c r="H56" i="1" s="1"/>
  <c r="G51" i="1"/>
  <c r="G50" i="1"/>
  <c r="I53" i="1" l="1"/>
  <c r="G40" i="1"/>
  <c r="G39" i="1"/>
  <c r="J64" i="1" l="1"/>
  <c r="C33" i="1"/>
  <c r="C27" i="1"/>
  <c r="C32" i="1"/>
  <c r="C44" i="1"/>
  <c r="C43" i="1"/>
  <c r="C38" i="1"/>
  <c r="F42" i="1" l="1"/>
  <c r="H10" i="6"/>
  <c r="H11" i="6"/>
  <c r="G9" i="6"/>
  <c r="F9" i="6"/>
  <c r="H8" i="6"/>
  <c r="H7" i="6"/>
  <c r="H6" i="6"/>
  <c r="H5" i="6"/>
  <c r="H9" i="6" s="1"/>
  <c r="H12" i="6" s="1"/>
  <c r="M12" i="6" s="1"/>
  <c r="L11" i="6"/>
  <c r="M11" i="6" s="1"/>
  <c r="L10" i="6"/>
  <c r="M10" i="6" s="1"/>
  <c r="K9" i="6"/>
  <c r="K12" i="6" s="1"/>
  <c r="L12" i="6" s="1"/>
  <c r="L8" i="6"/>
  <c r="L7" i="6"/>
  <c r="M7" i="6" s="1"/>
  <c r="J7" i="6"/>
  <c r="L6" i="6"/>
  <c r="M6" i="6" s="1"/>
  <c r="L5" i="6"/>
  <c r="M8" i="6" l="1"/>
  <c r="L9" i="6"/>
  <c r="M5" i="6"/>
  <c r="M9" i="6" l="1"/>
  <c r="H31" i="1"/>
  <c r="F31" i="1"/>
  <c r="G29" i="1"/>
  <c r="H34" i="1" l="1"/>
  <c r="I31" i="1"/>
  <c r="I34" i="1" s="1"/>
  <c r="I21" i="1"/>
  <c r="K23" i="1" s="1"/>
  <c r="F19" i="1" l="1"/>
  <c r="H19" i="1"/>
  <c r="H22" i="1" s="1"/>
  <c r="I15" i="1" l="1"/>
  <c r="H10" i="4" l="1"/>
  <c r="I10" i="4"/>
  <c r="J10" i="4"/>
  <c r="G10" i="4"/>
  <c r="E4" i="4"/>
  <c r="E3" i="4"/>
  <c r="J4" i="2" l="1"/>
  <c r="L6" i="2" l="1"/>
  <c r="L5" i="2"/>
  <c r="L4" i="2"/>
  <c r="K6" i="2"/>
  <c r="J6" i="2"/>
  <c r="K5" i="2"/>
  <c r="K4" i="2"/>
  <c r="J5" i="2"/>
  <c r="F4" i="2"/>
  <c r="H6" i="2"/>
  <c r="F5" i="2"/>
  <c r="G5" i="2" s="1"/>
  <c r="F6" i="2"/>
  <c r="D6" i="2"/>
  <c r="C6" i="2"/>
  <c r="G4" i="2" l="1"/>
  <c r="G6" i="2" s="1"/>
  <c r="I8" i="1" l="1"/>
  <c r="I7" i="1"/>
  <c r="I6" i="1"/>
  <c r="F8" i="1" l="1"/>
  <c r="G8" i="1" s="1"/>
  <c r="F7" i="1" l="1"/>
  <c r="F10" i="1" s="1"/>
  <c r="G7" i="1" l="1"/>
  <c r="H9" i="1"/>
  <c r="I9" i="1" s="1"/>
  <c r="H10" i="1" l="1"/>
  <c r="I10" i="1" s="1"/>
  <c r="G9" i="1"/>
  <c r="I17" i="1" l="1"/>
  <c r="I18" i="1"/>
  <c r="G17" i="1"/>
  <c r="I16" i="1" l="1"/>
  <c r="I22" i="1"/>
  <c r="I19" i="1" l="1"/>
  <c r="I20" i="1" s="1"/>
  <c r="H42" i="1" l="1"/>
  <c r="H45" i="1" l="1"/>
  <c r="I45" i="1" s="1"/>
  <c r="J56" i="1" s="1"/>
  <c r="I42" i="1"/>
  <c r="J53" i="1" s="1"/>
</calcChain>
</file>

<file path=xl/comments1.xml><?xml version="1.0" encoding="utf-8"?>
<comments xmlns="http://schemas.openxmlformats.org/spreadsheetml/2006/main">
  <authors>
    <author>ACC-PC01</author>
  </authors>
  <commentList>
    <comment ref="F49" authorId="0" shapeId="0">
      <text>
        <r>
          <rPr>
            <b/>
            <sz val="9"/>
            <color indexed="81"/>
            <rFont val="Tahoma"/>
            <family val="2"/>
          </rPr>
          <t>-1.9M usd out off depriciation</t>
        </r>
      </text>
    </comment>
    <comment ref="F60" authorId="0" shapeId="0">
      <text>
        <r>
          <rPr>
            <b/>
            <sz val="9"/>
            <color indexed="81"/>
            <rFont val="Tahoma"/>
            <family val="2"/>
          </rPr>
          <t>-1.9M usd out off depriciation</t>
        </r>
      </text>
    </comment>
  </commentList>
</comments>
</file>

<file path=xl/comments2.xml><?xml version="1.0" encoding="utf-8"?>
<comments xmlns="http://schemas.openxmlformats.org/spreadsheetml/2006/main">
  <authors>
    <author>ACC-PC01</author>
  </authors>
  <commentList>
    <comment ref="B3" authorId="0" shapeId="0">
      <text>
        <r>
          <rPr>
            <b/>
            <sz val="9"/>
            <color indexed="81"/>
            <rFont val="Tahoma"/>
            <family val="2"/>
          </rPr>
          <t>ACC-PC01:</t>
        </r>
        <r>
          <rPr>
            <sz val="9"/>
            <color indexed="81"/>
            <rFont val="Tahoma"/>
            <family val="2"/>
          </rPr>
          <t xml:space="preserve">
Bên mình đã trả trước cho nhà CC một nửa, Khi nào giao máy thì ngân hàng giải ngân số tiền còn lại và tính lãi suất vay từ thời điểm nhận nợ</t>
        </r>
      </text>
    </comment>
  </commentList>
</comments>
</file>

<file path=xl/sharedStrings.xml><?xml version="1.0" encoding="utf-8"?>
<sst xmlns="http://schemas.openxmlformats.org/spreadsheetml/2006/main" count="244" uniqueCount="132">
  <si>
    <t>Loan contract period</t>
  </si>
  <si>
    <t>TOTAL LIMIT</t>
  </si>
  <si>
    <t>Credit type</t>
  </si>
  <si>
    <t>Collateral</t>
  </si>
  <si>
    <t>Re-valuation Sacom</t>
  </si>
  <si>
    <t>Rate of Mortgage</t>
  </si>
  <si>
    <t>Short term</t>
  </si>
  <si>
    <t>Machines, equipments</t>
  </si>
  <si>
    <t>Building</t>
  </si>
  <si>
    <t>Land use right</t>
  </si>
  <si>
    <t>Account receivable</t>
  </si>
  <si>
    <t>0-50-60%</t>
  </si>
  <si>
    <t>Conditions</t>
  </si>
  <si>
    <t>10/09/2020-10/09/2021</t>
  </si>
  <si>
    <t>VNĐ</t>
  </si>
  <si>
    <t>VND</t>
  </si>
  <si>
    <t>Amount Mortgage
VNĐ</t>
  </si>
  <si>
    <t>Amount Mortgage
USD</t>
  </si>
  <si>
    <r>
      <t>Besides: They require OWNER’S EQUITY  in Statement of Financial Position always keep at least</t>
    </r>
    <r>
      <rPr>
        <b/>
        <i/>
        <sz val="10"/>
        <color theme="1"/>
        <rFont val="Arial"/>
        <family val="2"/>
      </rPr>
      <t xml:space="preserve"> 371,661,482,282 vnd (16M usd)</t>
    </r>
  </si>
  <si>
    <t>USD</t>
  </si>
  <si>
    <t>220000000000 (9,565,217$)</t>
  </si>
  <si>
    <t>19/03/2021-19/03/2025</t>
  </si>
  <si>
    <t>Time Loan</t>
  </si>
  <si>
    <t>4Y</t>
  </si>
  <si>
    <t>Interrest</t>
  </si>
  <si>
    <t>Litmit Long Loan</t>
  </si>
  <si>
    <t>Machine  Collateral</t>
  </si>
  <si>
    <t>Hệ thống máy tiện Model  LYNX 2100B xuất xứ Hàn Quốc</t>
  </si>
  <si>
    <t>Máy phun cát (Shot blasting Hanger Machine GHR 1012V-2BD Xuất xứ Việt Nam</t>
  </si>
  <si>
    <t>Original value</t>
  </si>
  <si>
    <t>Vnd</t>
  </si>
  <si>
    <t>Usd</t>
  </si>
  <si>
    <t>Interrest/year</t>
  </si>
  <si>
    <t xml:space="preserve">Origin value </t>
  </si>
  <si>
    <t>Paid Amount Monthly (VND)</t>
  </si>
  <si>
    <t>Paid monthly</t>
  </si>
  <si>
    <t>TS thế chấp</t>
  </si>
  <si>
    <t>1- Số tiền vay hiện tại:</t>
  </si>
  <si>
    <t>Nội dung</t>
  </si>
  <si>
    <t>Jan</t>
  </si>
  <si>
    <t>Feb</t>
  </si>
  <si>
    <t>Mar</t>
  </si>
  <si>
    <t>Apr</t>
  </si>
  <si>
    <t>May</t>
  </si>
  <si>
    <t>Jun</t>
  </si>
  <si>
    <t>1/ Khoản khách hàng chuyển về tài khoản Sacombank</t>
  </si>
  <si>
    <t>A</t>
  </si>
  <si>
    <t>2/ Khoản tiền thu được trong 3 tháng liền kề</t>
  </si>
  <si>
    <t>B</t>
  </si>
  <si>
    <t>3/ Số tiền bình quân 3 tháng liền kề cam kết : 2,173,913$</t>
  </si>
  <si>
    <t>C=B/3thang</t>
  </si>
  <si>
    <t>4/ Số tiền sẽ giảm bằng số cam kết trừ số đạt được</t>
  </si>
  <si>
    <t>D=2,173,913$- ( C)</t>
  </si>
  <si>
    <t>4- Sau này nếu không đạt thì cứ giảm hạn mức theo như cách tính bình quân phía trên.Vì vậy cần cải thiện dòng tiền về để đảm bảo ít nhất 2,1M usd</t>
  </si>
  <si>
    <t>2,3- Như theo thỏa thuận ban đầu thì dòng tiền về tại sacombank bình quân 3 tháng liên tiếp phải đạt, tuy nhiên cho đến hết tháng 6 tiền khách hàng chuyển về tại sacombank chỉ đạt như sau</t>
  </si>
  <si>
    <t>5- CN sacombank đưa chúng ta ký 1 biên bản về việc chúng ta đã làm việc với họ và trao đổi về vấn đề này, và chúng ta chấp thuận việc họ sẽ giảm hạn mức tương ứng với dòng tiền chuyển về chênh lệch so với cảm kết</t>
  </si>
  <si>
    <t>10/09/2021-10/09/2022</t>
  </si>
  <si>
    <t>Loan Limit 2020</t>
  </si>
  <si>
    <t>Loan Limit 2021</t>
  </si>
  <si>
    <r>
      <t>Everage of AR is received at Sacombank account with</t>
    </r>
    <r>
      <rPr>
        <b/>
        <sz val="11"/>
        <color theme="1"/>
        <rFont val="Calibri"/>
        <family val="2"/>
        <scheme val="minor"/>
      </rPr>
      <t xml:space="preserve"> 2,173,913 usd (50B vnd) </t>
    </r>
    <r>
      <rPr>
        <sz val="11"/>
        <color theme="1"/>
        <rFont val="Calibri"/>
        <family val="2"/>
        <scheme val="minor"/>
      </rPr>
      <t>(Bank will revaluation  monthly but not reduction  of the Limit during the validity of the contract)</t>
    </r>
  </si>
  <si>
    <t>New investment of machines</t>
  </si>
  <si>
    <t xml:space="preserve">L/C </t>
  </si>
  <si>
    <t>Limit of Long term</t>
  </si>
  <si>
    <t>Limit of short term</t>
  </si>
  <si>
    <r>
      <t>Everage of AR is received with</t>
    </r>
    <r>
      <rPr>
        <b/>
        <sz val="11"/>
        <color theme="1"/>
        <rFont val="Calibri"/>
        <family val="2"/>
        <scheme val="minor"/>
      </rPr>
      <t xml:space="preserve"> 2,173,913 usd (50B vnd) </t>
    </r>
    <r>
      <rPr>
        <sz val="11"/>
        <color theme="1"/>
        <rFont val="Calibri"/>
        <family val="2"/>
        <scheme val="minor"/>
      </rPr>
      <t>(Bank will revaluation 3 months one time)</t>
    </r>
  </si>
  <si>
    <r>
      <t>Everage of AR is received at Sacombank account with</t>
    </r>
    <r>
      <rPr>
        <b/>
        <sz val="11"/>
        <color theme="1"/>
        <rFont val="Calibri"/>
        <family val="2"/>
        <scheme val="minor"/>
      </rPr>
      <t xml:space="preserve"> 2,608,695 usd (60B vnd) </t>
    </r>
    <r>
      <rPr>
        <sz val="11"/>
        <color theme="1"/>
        <rFont val="Calibri"/>
        <family val="2"/>
        <scheme val="minor"/>
      </rPr>
      <t>(Bank will revaluation  monthly but not reduction  of the Limit during the validity of the contract)</t>
    </r>
  </si>
  <si>
    <t>11/08/2022-11/08/2023</t>
  </si>
  <si>
    <t>Increase/ Decrease</t>
  </si>
  <si>
    <t>Amount Mortgage
USD
2021</t>
  </si>
  <si>
    <t>Amount Mortgage
USD
2022</t>
  </si>
  <si>
    <t>Total -Limit of short term</t>
  </si>
  <si>
    <t>Total-Limit of Long term</t>
  </si>
  <si>
    <t xml:space="preserve">Total-Limit of L/C </t>
  </si>
  <si>
    <t>SUB TOTAL</t>
  </si>
  <si>
    <t>01/07/2023-01/07/2024</t>
  </si>
  <si>
    <t>Loan contract period
2022</t>
  </si>
  <si>
    <t>Loan contract period
2023</t>
  </si>
  <si>
    <t>11/08/2023-11/08/2024</t>
  </si>
  <si>
    <t>50-60%</t>
  </si>
  <si>
    <r>
      <t>Everage of AR is received at Sacombank account with</t>
    </r>
    <r>
      <rPr>
        <b/>
        <sz val="11"/>
        <color theme="1"/>
        <rFont val="Calibri"/>
        <family val="2"/>
        <scheme val="minor"/>
      </rPr>
      <t xml:space="preserve"> 2,553,191 usd (60B vnd) </t>
    </r>
    <r>
      <rPr>
        <sz val="11"/>
        <color theme="1"/>
        <rFont val="Calibri"/>
        <family val="2"/>
        <scheme val="minor"/>
      </rPr>
      <t>(Bank will revaluation  monthly but not reduction  of the Limit during the validity of the contract)</t>
    </r>
  </si>
  <si>
    <t>Keep the same 2022</t>
  </si>
  <si>
    <t xml:space="preserve">                    Limit of Long term</t>
  </si>
  <si>
    <t>Note</t>
  </si>
  <si>
    <t>Inceasing compare with 2022</t>
  </si>
  <si>
    <r>
      <t>Everage of AR is received at Sacombank account with</t>
    </r>
    <r>
      <rPr>
        <b/>
        <sz val="11"/>
        <color theme="1"/>
        <rFont val="Calibri"/>
        <family val="2"/>
        <scheme val="minor"/>
      </rPr>
      <t xml:space="preserve"> 2,978,723usd (70B vnd) </t>
    </r>
    <r>
      <rPr>
        <sz val="11"/>
        <color theme="1"/>
        <rFont val="Calibri"/>
        <family val="2"/>
        <scheme val="minor"/>
      </rPr>
      <t>(Bank will revaluation  monthly but not reduction  of the Limit during the validity of the contract)</t>
    </r>
  </si>
  <si>
    <t>Loan contract period
2025</t>
  </si>
  <si>
    <t>Re-valuation Sacom
(Amount Mortgage)</t>
  </si>
  <si>
    <t>Credit limit used
VNĐ</t>
  </si>
  <si>
    <t>Credit limit used
USD
exr: 25.500 vnd/usd</t>
  </si>
  <si>
    <t>Increase from last year: 705k usd</t>
  </si>
  <si>
    <r>
      <t xml:space="preserve">In 2.3M value off machine included by
-1.9M - They are out of depreciation
-408k - They are still have depreciation
</t>
    </r>
    <r>
      <rPr>
        <sz val="11"/>
        <color rgb="FFFF0000"/>
        <rFont val="Calibri"/>
        <family val="2"/>
        <scheme val="minor"/>
      </rPr>
      <t>Decrease from last year:431k usd</t>
    </r>
  </si>
  <si>
    <t>Comparing witn last year</t>
  </si>
  <si>
    <t>Keep the same last year</t>
  </si>
  <si>
    <t>Increase from last year: 1.1M Usd</t>
  </si>
  <si>
    <t>Decreasing Last year: 947k usd</t>
  </si>
  <si>
    <t>more Conditions in Contract 2025</t>
  </si>
  <si>
    <t>15-Apr.2025
to 14-Apr.2026</t>
  </si>
  <si>
    <r>
      <t>Everage of AR is received at Sacombank account with</t>
    </r>
    <r>
      <rPr>
        <b/>
        <sz val="11"/>
        <color theme="1"/>
        <rFont val="Calibri"/>
        <family val="2"/>
        <scheme val="minor"/>
      </rPr>
      <t xml:space="preserve"> 2,745, 098usd (70B vnd) </t>
    </r>
    <r>
      <rPr>
        <sz val="11"/>
        <color theme="1"/>
        <rFont val="Calibri"/>
        <family val="2"/>
        <scheme val="minor"/>
      </rPr>
      <t>(Bank will revaluation  monthly but not reduction  of the Limit during the validity of the contract)</t>
    </r>
  </si>
  <si>
    <r>
      <rPr>
        <b/>
        <sz val="11"/>
        <color rgb="FFFF0000"/>
        <rFont val="Calibri"/>
        <family val="2"/>
        <scheme val="minor"/>
      </rPr>
      <t>To guarantee this item, add some items on the financial statement as of December 31, 2024.</t>
    </r>
    <r>
      <rPr>
        <sz val="11"/>
        <color theme="1"/>
        <rFont val="Calibri"/>
        <family val="2"/>
        <scheme val="minor"/>
      </rPr>
      <t xml:space="preserve">
</t>
    </r>
    <r>
      <rPr>
        <b/>
        <sz val="11"/>
        <color theme="1"/>
        <rFont val="Calibri"/>
        <family val="2"/>
        <scheme val="minor"/>
      </rPr>
      <t>1-Cash- 22,813,358 vnd = 894k usd
2-Current account receivable (AR and other receivable):315,387,828,805 vnd = 12,368k usd</t>
    </r>
    <r>
      <rPr>
        <sz val="11"/>
        <color theme="1"/>
        <rFont val="Calibri"/>
        <family val="2"/>
        <scheme val="minor"/>
      </rPr>
      <t xml:space="preserve">
 </t>
    </r>
    <r>
      <rPr>
        <i/>
        <sz val="11"/>
        <color theme="1"/>
        <rFont val="Calibri"/>
        <family val="2"/>
        <scheme val="minor"/>
      </rPr>
      <t>In which</t>
    </r>
    <r>
      <rPr>
        <sz val="11"/>
        <color theme="1"/>
        <rFont val="Calibri"/>
        <family val="2"/>
        <scheme val="minor"/>
      </rPr>
      <t xml:space="preserve">: 1- AR
                       2-Advance to supplier ( buy machines )
                       3- Other receivable: as ( VAT of Bluewind, Import tax pending from 2014-2015 can't    refund ....)
</t>
    </r>
    <r>
      <rPr>
        <b/>
        <sz val="11"/>
        <color theme="1"/>
        <rFont val="Calibri"/>
        <family val="2"/>
        <scheme val="minor"/>
      </rPr>
      <t>3-Inventory: 180,797,337,799 = 7,097k usd</t>
    </r>
    <r>
      <rPr>
        <sz val="11"/>
        <color theme="1"/>
        <rFont val="Calibri"/>
        <family val="2"/>
        <scheme val="minor"/>
      </rPr>
      <t xml:space="preserve">
</t>
    </r>
    <r>
      <rPr>
        <b/>
        <sz val="11"/>
        <color theme="1"/>
        <rFont val="Calibri"/>
        <family val="2"/>
        <scheme val="minor"/>
      </rPr>
      <t>4-other current assets:26,605,299,850 =1,043k usd</t>
    </r>
    <r>
      <rPr>
        <sz val="11"/>
        <color theme="1"/>
        <rFont val="Calibri"/>
        <family val="2"/>
        <scheme val="minor"/>
      </rPr>
      <t xml:space="preserve">
</t>
    </r>
    <r>
      <rPr>
        <i/>
        <sz val="11"/>
        <color theme="1"/>
        <rFont val="Calibri"/>
        <family val="2"/>
        <scheme val="minor"/>
      </rPr>
      <t xml:space="preserve"> In which</t>
    </r>
    <r>
      <rPr>
        <sz val="11"/>
        <color theme="1"/>
        <rFont val="Calibri"/>
        <family val="2"/>
        <scheme val="minor"/>
      </rPr>
      <t>:  1- Short term prepaid expense: ( Some  expense pay already but need to allowcate monthly such as Tuison fee , service fee, insurance , house rental, machine rental....)
                         2- Deductable VAT ( waiting refund)</t>
    </r>
  </si>
  <si>
    <t>Loan contract period
2026</t>
  </si>
  <si>
    <t>more Conditions in Contract 2026</t>
  </si>
  <si>
    <t>Decreasing 115k</t>
  </si>
  <si>
    <t>Increasing 115k</t>
  </si>
  <si>
    <t>AR is essentially considered an unsecured loan. This year, Sacombank (HQ) has tightened its regulations, so the requirements have decreased 692k$ and replaced by increasing machines. 
Because our balance sheet situation remains, and has even increased by $500k compared to last year.</t>
  </si>
  <si>
    <t>Increase from last year:307k usd</t>
  </si>
  <si>
    <t>Increase from last year: 769k usd</t>
  </si>
  <si>
    <t>28-Apr.2026
to 27-Apr.2027</t>
  </si>
  <si>
    <t>No</t>
  </si>
  <si>
    <t>Khoản mục</t>
  </si>
  <si>
    <t>Dec.2025</t>
  </si>
  <si>
    <t>Dec.2024</t>
  </si>
  <si>
    <t>Ghi chú</t>
  </si>
  <si>
    <t>I</t>
  </si>
  <si>
    <t>Tăng lên 95ti , chuyển sang thuê tài chính 26 tỉ và thanh lý máy móc cũ 12 tỉ</t>
  </si>
  <si>
    <t>Đầu tư phần mềm thiết kế cho bộ phận R&amp;D</t>
  </si>
  <si>
    <t>Khoản thuế không nhập khẩu từ lâu không được hoàn chiếm 13ti , nay chuyển xuống để phân bổ chi phí dần .
Và một số khoản sửa sữa và nâng cấp khác. 
Về cơ bản không ảnh hưởng đến thâm hụt từ nguồn vốn</t>
  </si>
  <si>
    <t>II</t>
  </si>
  <si>
    <t>III</t>
  </si>
  <si>
    <t>Variable</t>
  </si>
  <si>
    <t>Based on several indicators in the financial statements.</t>
  </si>
  <si>
    <t>Overdraft limit</t>
  </si>
  <si>
    <t>Increase in 2026, This is more fund. We can use in urgent case with high interest. Time of using is even some days, and we pay interest on the used days</t>
  </si>
  <si>
    <r>
      <t xml:space="preserve">In 3.3M value off machine included by
-1.1M - They are out of depreciation
-2.1M - They are still have depreciation
</t>
    </r>
    <r>
      <rPr>
        <sz val="11"/>
        <color rgb="FFFF0000"/>
        <rFont val="Calibri"/>
        <family val="2"/>
        <scheme val="minor"/>
      </rPr>
      <t>Increase from last year:884k usd</t>
    </r>
  </si>
  <si>
    <t>2026 FS</t>
  </si>
  <si>
    <r>
      <rPr>
        <b/>
        <sz val="11"/>
        <color rgb="FFFF0000"/>
        <rFont val="Calibri"/>
        <family val="2"/>
        <scheme val="minor"/>
      </rPr>
      <t>To guarantee this item, add some items on the financial statement as of December 31, 2025.</t>
    </r>
    <r>
      <rPr>
        <sz val="11"/>
        <color theme="1"/>
        <rFont val="Calibri"/>
        <family val="2"/>
        <scheme val="minor"/>
      </rPr>
      <t xml:space="preserve">
</t>
    </r>
    <r>
      <rPr>
        <b/>
        <sz val="11"/>
        <color theme="1"/>
        <rFont val="Calibri"/>
        <family val="2"/>
        <scheme val="minor"/>
      </rPr>
      <t>1-Cash- 69,343,140,137 vnd = 2,6M usd
2-Current account receivable (AR and other receivable):292,550,760,237 vnd = 11M usd</t>
    </r>
    <r>
      <rPr>
        <sz val="11"/>
        <color theme="1"/>
        <rFont val="Calibri"/>
        <family val="2"/>
        <scheme val="minor"/>
      </rPr>
      <t xml:space="preserve">
 </t>
    </r>
    <r>
      <rPr>
        <i/>
        <sz val="11"/>
        <color theme="1"/>
        <rFont val="Calibri"/>
        <family val="2"/>
        <scheme val="minor"/>
      </rPr>
      <t>In which</t>
    </r>
    <r>
      <rPr>
        <sz val="11"/>
        <color theme="1"/>
        <rFont val="Calibri"/>
        <family val="2"/>
        <scheme val="minor"/>
      </rPr>
      <t xml:space="preserve">: 1- AR
                       2-Advance to supplier ( buy machines )
</t>
    </r>
    <r>
      <rPr>
        <b/>
        <sz val="11"/>
        <color theme="1"/>
        <rFont val="Calibri"/>
        <family val="2"/>
        <scheme val="minor"/>
      </rPr>
      <t>3-Inventory: 89,520,389,005= 3M usd</t>
    </r>
    <r>
      <rPr>
        <sz val="11"/>
        <color theme="1"/>
        <rFont val="Calibri"/>
        <family val="2"/>
        <scheme val="minor"/>
      </rPr>
      <t xml:space="preserve">
</t>
    </r>
    <r>
      <rPr>
        <b/>
        <sz val="11"/>
        <color theme="1"/>
        <rFont val="Calibri"/>
        <family val="2"/>
        <scheme val="minor"/>
      </rPr>
      <t>4-other current assets:20,529,283,907 =789k usd</t>
    </r>
    <r>
      <rPr>
        <sz val="11"/>
        <color theme="1"/>
        <rFont val="Calibri"/>
        <family val="2"/>
        <scheme val="minor"/>
      </rPr>
      <t xml:space="preserve">
</t>
    </r>
    <r>
      <rPr>
        <i/>
        <sz val="11"/>
        <color theme="1"/>
        <rFont val="Calibri"/>
        <family val="2"/>
        <scheme val="minor"/>
      </rPr>
      <t xml:space="preserve"> In which</t>
    </r>
    <r>
      <rPr>
        <sz val="11"/>
        <color theme="1"/>
        <rFont val="Calibri"/>
        <family val="2"/>
        <scheme val="minor"/>
      </rPr>
      <t>:  1- Short term prepaid expense: ( Some  expense pay already but need to allowcate monthly such as Tuison fee , service fee, insurance , house rental, machine rental....)
                         2- Deductable VAT ( waiting refund)</t>
    </r>
  </si>
  <si>
    <t>B NON - CURRENT ASSETS</t>
  </si>
  <si>
    <t>Long term assets(260) +(216)</t>
  </si>
  <si>
    <t>Tangible fix assets (277)</t>
  </si>
  <si>
    <t>Fix assets (221)+(224)</t>
  </si>
  <si>
    <t>Non-current liability (330)</t>
  </si>
  <si>
    <t>Owner's equity (410)</t>
  </si>
  <si>
    <t>Financial imbalance ( I)-(II)-(III)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</si>
</sst>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4" formatCode="_(&quot;$&quot;* #,##0.00_);_(&quot;$&quot;* \(#,##0.00\);_(&quot;$&quot;* &quot;-&quot;??_);_(@_)"/>
    <numFmt numFmtId="43" formatCode="_(* #,##0.00_);_(* \(#,##0.00\);_(* &quot;-&quot;??_);_(@_)"/>
    <numFmt numFmtId="164" formatCode="_(* #,##0_);_(* \(#,##0\);_(* &quot;-&quot;??_);_(@_)"/>
    <numFmt numFmtId="165" formatCode="_(&quot;$&quot;* #,##0_);_(&quot;$&quot;* \(#,##0\);_(&quot;$&quot;* &quot;-&quot;??_);_(@_)"/>
  </numFmts>
  <fonts count="32">
    <font>
      <sz val="11"/>
      <color theme="1"/>
      <name val="Calibri"/>
      <family val="2"/>
      <scheme val="minor"/>
    </font>
    <font>
      <sz val="11"/>
      <color theme="1"/>
      <name val="Calibri"/>
      <family val="2"/>
      <scheme val="minor"/>
    </font>
    <font>
      <b/>
      <sz val="11"/>
      <color theme="1"/>
      <name val="Calibri"/>
      <family val="2"/>
      <scheme val="minor"/>
    </font>
    <font>
      <b/>
      <sz val="11"/>
      <color rgb="FF0000FF"/>
      <name val="Calibri"/>
      <family val="2"/>
      <scheme val="minor"/>
    </font>
    <font>
      <b/>
      <sz val="10"/>
      <color rgb="FF000000"/>
      <name val="Times New Roman"/>
      <family val="1"/>
    </font>
    <font>
      <b/>
      <sz val="11"/>
      <color rgb="FFFF0000"/>
      <name val="Calibri"/>
      <family val="2"/>
      <scheme val="minor"/>
    </font>
    <font>
      <sz val="10"/>
      <color rgb="FF000000"/>
      <name val="Times New Roman"/>
      <family val="1"/>
    </font>
    <font>
      <b/>
      <i/>
      <sz val="10"/>
      <color theme="1"/>
      <name val="Arial"/>
      <family val="2"/>
    </font>
    <font>
      <sz val="11"/>
      <color rgb="FFFF0000"/>
      <name val="Calibri"/>
      <family val="2"/>
      <scheme val="minor"/>
    </font>
    <font>
      <sz val="12"/>
      <name val=".VnTime"/>
      <family val="2"/>
    </font>
    <font>
      <sz val="10"/>
      <color theme="1"/>
      <name val="Times New Roman"/>
      <family val="1"/>
    </font>
    <font>
      <sz val="11"/>
      <name val="Calibri"/>
      <family val="2"/>
      <scheme val="minor"/>
    </font>
    <font>
      <sz val="10"/>
      <name val="Times New Roman"/>
      <family val="1"/>
    </font>
    <font>
      <b/>
      <sz val="10"/>
      <color rgb="FFFF0000"/>
      <name val="Times New Roman"/>
      <family val="1"/>
    </font>
    <font>
      <sz val="9"/>
      <color indexed="81"/>
      <name val="Tahoma"/>
      <family val="2"/>
    </font>
    <font>
      <b/>
      <sz val="9"/>
      <color indexed="81"/>
      <name val="Tahoma"/>
      <family val="2"/>
    </font>
    <font>
      <sz val="12"/>
      <color rgb="FFFF0000"/>
      <name val="宋体"/>
      <charset val="134"/>
    </font>
    <font>
      <sz val="12"/>
      <color rgb="FF084794"/>
      <name val="宋体"/>
      <charset val="134"/>
    </font>
    <font>
      <b/>
      <u val="singleAccounting"/>
      <sz val="11"/>
      <color rgb="FFFF0000"/>
      <name val="Calibri"/>
      <family val="2"/>
      <scheme val="minor"/>
    </font>
    <font>
      <i/>
      <sz val="11"/>
      <color theme="1"/>
      <name val="Calibri"/>
      <family val="2"/>
      <scheme val="minor"/>
    </font>
    <font>
      <b/>
      <u/>
      <sz val="11"/>
      <color theme="1"/>
      <name val="Calibri"/>
      <family val="2"/>
      <scheme val="minor"/>
    </font>
    <font>
      <sz val="11"/>
      <color rgb="FF0000FF"/>
      <name val="Calibri"/>
      <family val="2"/>
      <scheme val="minor"/>
    </font>
    <font>
      <b/>
      <sz val="11"/>
      <color rgb="FF000000"/>
      <name val="Times New Roman"/>
      <family val="1"/>
    </font>
    <font>
      <b/>
      <sz val="11"/>
      <color rgb="FF0000FF"/>
      <name val="Times New Roman"/>
      <family val="1"/>
    </font>
    <font>
      <sz val="11"/>
      <color rgb="FF000000"/>
      <name val="Times New Roman"/>
      <family val="1"/>
    </font>
    <font>
      <sz val="18"/>
      <color theme="1"/>
      <name val="Calibri"/>
      <family val="2"/>
      <scheme val="minor"/>
    </font>
    <font>
      <sz val="10"/>
      <name val="Arial"/>
      <family val="2"/>
    </font>
    <font>
      <i/>
      <sz val="9"/>
      <name val="Arial"/>
      <family val="2"/>
    </font>
    <font>
      <b/>
      <i/>
      <sz val="9"/>
      <name val="Arial"/>
      <family val="2"/>
    </font>
    <font>
      <sz val="9"/>
      <name val="Arial"/>
      <family val="2"/>
    </font>
    <font>
      <i/>
      <sz val="9"/>
      <color rgb="FFFF0000"/>
      <name val="Arial"/>
      <family val="2"/>
    </font>
    <font>
      <u/>
      <sz val="11"/>
      <color theme="1"/>
      <name val="Calibri"/>
      <family val="2"/>
      <scheme val="minor"/>
    </font>
  </fonts>
  <fills count="14">
    <fill>
      <patternFill patternType="none"/>
    </fill>
    <fill>
      <patternFill patternType="gray125"/>
    </fill>
    <fill>
      <patternFill patternType="solid">
        <fgColor theme="5" tint="0.39997558519241921"/>
        <bgColor indexed="64"/>
      </patternFill>
    </fill>
    <fill>
      <patternFill patternType="solid">
        <fgColor rgb="FF8DB4E2"/>
        <bgColor indexed="64"/>
      </patternFill>
    </fill>
    <fill>
      <patternFill patternType="solid">
        <fgColor theme="3" tint="0.59999389629810485"/>
        <bgColor indexed="64"/>
      </patternFill>
    </fill>
    <fill>
      <patternFill patternType="solid">
        <fgColor rgb="FFFFFFFF"/>
        <bgColor indexed="64"/>
      </patternFill>
    </fill>
    <fill>
      <patternFill patternType="solid">
        <fgColor theme="0"/>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2" tint="-0.499984740745262"/>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theme="6"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style="hair">
        <color auto="1"/>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bottom style="thin">
        <color auto="1"/>
      </bottom>
      <diagonal/>
    </border>
    <border>
      <left/>
      <right/>
      <top style="thin">
        <color auto="1"/>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s>
  <cellStyleXfs count="7">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9" fillId="0" borderId="0"/>
    <xf numFmtId="0" fontId="26" fillId="0" borderId="0"/>
    <xf numFmtId="43" fontId="1" fillId="0" borderId="0" applyFont="0" applyFill="0" applyBorder="0" applyAlignment="0" applyProtection="0"/>
  </cellStyleXfs>
  <cellXfs count="246">
    <xf numFmtId="0" fontId="0" fillId="0" borderId="0" xfId="0"/>
    <xf numFmtId="0" fontId="3" fillId="0" borderId="0" xfId="0" applyFont="1"/>
    <xf numFmtId="0" fontId="6" fillId="5" borderId="1" xfId="0" applyFont="1" applyFill="1" applyBorder="1" applyAlignment="1">
      <alignment vertical="center" wrapText="1"/>
    </xf>
    <xf numFmtId="3" fontId="0" fillId="0" borderId="1" xfId="0" applyNumberFormat="1" applyBorder="1"/>
    <xf numFmtId="9" fontId="0" fillId="2" borderId="1" xfId="1" applyNumberFormat="1" applyFont="1" applyFill="1" applyBorder="1"/>
    <xf numFmtId="164" fontId="0" fillId="2" borderId="1" xfId="1" applyNumberFormat="1" applyFont="1" applyFill="1" applyBorder="1"/>
    <xf numFmtId="0" fontId="6" fillId="5" borderId="1" xfId="0" applyFont="1" applyFill="1" applyBorder="1" applyAlignment="1">
      <alignment vertical="center"/>
    </xf>
    <xf numFmtId="0" fontId="2" fillId="0" borderId="1" xfId="0" applyFont="1" applyBorder="1"/>
    <xf numFmtId="0" fontId="0" fillId="0" borderId="1" xfId="0" applyBorder="1"/>
    <xf numFmtId="164" fontId="2" fillId="0" borderId="1" xfId="1" applyNumberFormat="1" applyFont="1" applyBorder="1"/>
    <xf numFmtId="0" fontId="2" fillId="2" borderId="1" xfId="0" applyFont="1" applyFill="1" applyBorder="1"/>
    <xf numFmtId="164" fontId="2" fillId="2" borderId="1" xfId="1" applyNumberFormat="1" applyFont="1" applyFill="1" applyBorder="1"/>
    <xf numFmtId="164" fontId="0" fillId="0" borderId="1" xfId="1" applyNumberFormat="1" applyFont="1" applyBorder="1"/>
    <xf numFmtId="0" fontId="0" fillId="0" borderId="1" xfId="0" applyBorder="1" applyAlignment="1">
      <alignment wrapText="1"/>
    </xf>
    <xf numFmtId="0" fontId="2" fillId="6" borderId="0" xfId="0" applyFont="1" applyFill="1"/>
    <xf numFmtId="9" fontId="0" fillId="2" borderId="1" xfId="1" applyNumberFormat="1" applyFont="1" applyFill="1" applyBorder="1" applyAlignment="1">
      <alignment horizontal="right"/>
    </xf>
    <xf numFmtId="0" fontId="0" fillId="6" borderId="0" xfId="0" applyFill="1"/>
    <xf numFmtId="0" fontId="0" fillId="0" borderId="1" xfId="0" applyBorder="1" applyAlignment="1">
      <alignment vertical="center" wrapText="1"/>
    </xf>
    <xf numFmtId="164" fontId="0" fillId="0" borderId="0" xfId="1" applyNumberFormat="1" applyFont="1"/>
    <xf numFmtId="165" fontId="8" fillId="2" borderId="1" xfId="2" applyNumberFormat="1" applyFont="1" applyFill="1" applyBorder="1"/>
    <xf numFmtId="165" fontId="5" fillId="2" borderId="1" xfId="2" applyNumberFormat="1" applyFont="1" applyFill="1" applyBorder="1"/>
    <xf numFmtId="0" fontId="0" fillId="0" borderId="3" xfId="0" applyBorder="1" applyAlignment="1">
      <alignment vertical="center"/>
    </xf>
    <xf numFmtId="0" fontId="4" fillId="5" borderId="1" xfId="0" applyFont="1" applyFill="1" applyBorder="1" applyAlignment="1">
      <alignment vertical="center"/>
    </xf>
    <xf numFmtId="0" fontId="10" fillId="6" borderId="1" xfId="4" applyFont="1" applyFill="1" applyBorder="1" applyAlignment="1">
      <alignment vertical="top" wrapText="1"/>
    </xf>
    <xf numFmtId="164" fontId="0" fillId="0" borderId="0" xfId="0" applyNumberFormat="1"/>
    <xf numFmtId="0" fontId="4" fillId="5" borderId="5" xfId="0" applyFont="1" applyFill="1" applyBorder="1" applyAlignment="1">
      <alignment vertical="center"/>
    </xf>
    <xf numFmtId="0" fontId="0" fillId="0" borderId="3" xfId="0" applyBorder="1"/>
    <xf numFmtId="164" fontId="0" fillId="0" borderId="3" xfId="0" applyNumberFormat="1" applyBorder="1"/>
    <xf numFmtId="9" fontId="6" fillId="5" borderId="5" xfId="0" applyNumberFormat="1" applyFont="1" applyFill="1" applyBorder="1" applyAlignment="1">
      <alignment horizontal="center" vertical="center" wrapText="1"/>
    </xf>
    <xf numFmtId="164" fontId="6" fillId="5" borderId="5" xfId="1" applyNumberFormat="1" applyFont="1" applyFill="1" applyBorder="1" applyAlignment="1">
      <alignment horizontal="center" vertical="center" wrapText="1"/>
    </xf>
    <xf numFmtId="9" fontId="6" fillId="5" borderId="1" xfId="0" applyNumberFormat="1" applyFont="1" applyFill="1" applyBorder="1" applyAlignment="1">
      <alignment horizontal="center" vertical="center" wrapText="1"/>
    </xf>
    <xf numFmtId="164" fontId="6" fillId="5" borderId="1" xfId="1" applyNumberFormat="1" applyFont="1" applyFill="1" applyBorder="1" applyAlignment="1">
      <alignment horizontal="center" vertical="center" wrapText="1"/>
    </xf>
    <xf numFmtId="0" fontId="10" fillId="6" borderId="3" xfId="4" applyFont="1" applyFill="1" applyBorder="1" applyAlignment="1">
      <alignment vertical="top" wrapText="1"/>
    </xf>
    <xf numFmtId="165" fontId="5" fillId="0" borderId="1" xfId="2" applyNumberFormat="1" applyFont="1" applyBorder="1" applyAlignment="1">
      <alignment vertical="center" wrapText="1"/>
    </xf>
    <xf numFmtId="165" fontId="5" fillId="0" borderId="3" xfId="2" applyNumberFormat="1" applyFont="1" applyBorder="1" applyAlignment="1">
      <alignment vertical="center" wrapText="1"/>
    </xf>
    <xf numFmtId="164" fontId="11" fillId="0" borderId="3" xfId="0" applyNumberFormat="1" applyFont="1" applyBorder="1"/>
    <xf numFmtId="3" fontId="11" fillId="0" borderId="1" xfId="0" applyNumberFormat="1" applyFont="1" applyBorder="1" applyAlignment="1">
      <alignment vertical="center" wrapText="1"/>
    </xf>
    <xf numFmtId="3" fontId="11" fillId="0" borderId="3" xfId="0" applyNumberFormat="1" applyFont="1" applyBorder="1" applyAlignment="1">
      <alignment vertical="center" wrapText="1"/>
    </xf>
    <xf numFmtId="0" fontId="0" fillId="7" borderId="1" xfId="0" applyFill="1" applyBorder="1" applyAlignment="1">
      <alignment wrapText="1"/>
    </xf>
    <xf numFmtId="0" fontId="4" fillId="7" borderId="7" xfId="0" applyFont="1" applyFill="1" applyBorder="1" applyAlignment="1">
      <alignment horizontal="center" vertical="center"/>
    </xf>
    <xf numFmtId="0" fontId="4" fillId="7" borderId="3" xfId="0" applyFont="1" applyFill="1" applyBorder="1" applyAlignment="1">
      <alignment horizontal="center" vertical="center"/>
    </xf>
    <xf numFmtId="0" fontId="4" fillId="7" borderId="3" xfId="0" applyFont="1" applyFill="1" applyBorder="1" applyAlignment="1">
      <alignment vertical="center"/>
    </xf>
    <xf numFmtId="9" fontId="10" fillId="6" borderId="1" xfId="3" applyFont="1" applyFill="1" applyBorder="1" applyAlignment="1">
      <alignment horizontal="center" vertical="center" wrapText="1"/>
    </xf>
    <xf numFmtId="9" fontId="10" fillId="6" borderId="3" xfId="3" applyFont="1" applyFill="1" applyBorder="1" applyAlignment="1">
      <alignment horizontal="center" vertical="center" wrapText="1"/>
    </xf>
    <xf numFmtId="164" fontId="12" fillId="6" borderId="1" xfId="1" applyNumberFormat="1" applyFont="1" applyFill="1" applyBorder="1" applyAlignment="1">
      <alignment vertical="center" wrapText="1"/>
    </xf>
    <xf numFmtId="164" fontId="12" fillId="6" borderId="3" xfId="1" applyNumberFormat="1" applyFont="1" applyFill="1" applyBorder="1" applyAlignment="1">
      <alignment vertical="center" wrapText="1"/>
    </xf>
    <xf numFmtId="164" fontId="11" fillId="0" borderId="3" xfId="0" applyNumberFormat="1" applyFont="1" applyBorder="1" applyAlignment="1">
      <alignment vertical="center"/>
    </xf>
    <xf numFmtId="165" fontId="13" fillId="6" borderId="1" xfId="2" applyNumberFormat="1" applyFont="1" applyFill="1" applyBorder="1" applyAlignment="1">
      <alignment vertical="center" wrapText="1"/>
    </xf>
    <xf numFmtId="165" fontId="13" fillId="6" borderId="3" xfId="2" applyNumberFormat="1" applyFont="1" applyFill="1" applyBorder="1" applyAlignment="1">
      <alignment vertical="center" wrapText="1"/>
    </xf>
    <xf numFmtId="0" fontId="0" fillId="0" borderId="1" xfId="0" quotePrefix="1" applyBorder="1"/>
    <xf numFmtId="165" fontId="0" fillId="0" borderId="1" xfId="2" applyNumberFormat="1" applyFont="1" applyBorder="1" applyAlignment="1"/>
    <xf numFmtId="165" fontId="16" fillId="0" borderId="1" xfId="2" applyNumberFormat="1" applyFont="1" applyBorder="1" applyAlignment="1"/>
    <xf numFmtId="165" fontId="0" fillId="0" borderId="1" xfId="2" applyNumberFormat="1" applyFont="1" applyBorder="1"/>
    <xf numFmtId="165" fontId="17" fillId="0" borderId="1" xfId="2" applyNumberFormat="1" applyFont="1" applyBorder="1"/>
    <xf numFmtId="165" fontId="18" fillId="0" borderId="0" xfId="2" applyNumberFormat="1" applyFont="1"/>
    <xf numFmtId="0" fontId="0" fillId="0" borderId="0" xfId="0" applyAlignment="1">
      <alignment wrapText="1"/>
    </xf>
    <xf numFmtId="0" fontId="19" fillId="0" borderId="0" xfId="0" applyFont="1"/>
    <xf numFmtId="0" fontId="19" fillId="0" borderId="0" xfId="0" applyFont="1" applyAlignment="1">
      <alignment wrapText="1"/>
    </xf>
    <xf numFmtId="0" fontId="20" fillId="6" borderId="0" xfId="0" applyFont="1" applyFill="1"/>
    <xf numFmtId="3" fontId="5" fillId="0" borderId="4" xfId="0" applyNumberFormat="1" applyFont="1" applyBorder="1" applyAlignment="1">
      <alignment vertical="center" wrapText="1"/>
    </xf>
    <xf numFmtId="9" fontId="2" fillId="8" borderId="1" xfId="1" applyNumberFormat="1" applyFont="1" applyFill="1" applyBorder="1"/>
    <xf numFmtId="164" fontId="2" fillId="8" borderId="1" xfId="1" applyNumberFormat="1" applyFont="1" applyFill="1" applyBorder="1"/>
    <xf numFmtId="165" fontId="5" fillId="8" borderId="1" xfId="2" applyNumberFormat="1" applyFont="1" applyFill="1" applyBorder="1"/>
    <xf numFmtId="0" fontId="0" fillId="8" borderId="1" xfId="0" applyFill="1" applyBorder="1" applyAlignment="1">
      <alignment wrapText="1"/>
    </xf>
    <xf numFmtId="0" fontId="2" fillId="9" borderId="1" xfId="0" applyFont="1" applyFill="1" applyBorder="1"/>
    <xf numFmtId="164" fontId="2" fillId="9" borderId="1" xfId="1" applyNumberFormat="1" applyFont="1" applyFill="1" applyBorder="1"/>
    <xf numFmtId="165" fontId="5" fillId="9" borderId="1" xfId="2" applyNumberFormat="1" applyFont="1" applyFill="1" applyBorder="1"/>
    <xf numFmtId="0" fontId="0" fillId="9" borderId="1" xfId="0" applyFill="1" applyBorder="1" applyAlignment="1">
      <alignment vertical="center" wrapText="1"/>
    </xf>
    <xf numFmtId="3" fontId="4" fillId="8" borderId="1" xfId="0" applyNumberFormat="1" applyFont="1" applyFill="1" applyBorder="1" applyAlignment="1">
      <alignment vertical="center"/>
    </xf>
    <xf numFmtId="43" fontId="0" fillId="0" borderId="0" xfId="1" applyFont="1"/>
    <xf numFmtId="9" fontId="0" fillId="6" borderId="1" xfId="1" applyNumberFormat="1" applyFont="1" applyFill="1" applyBorder="1" applyAlignment="1">
      <alignment horizontal="right"/>
    </xf>
    <xf numFmtId="164" fontId="0" fillId="6" borderId="1" xfId="1" applyNumberFormat="1" applyFont="1" applyFill="1" applyBorder="1"/>
    <xf numFmtId="165" fontId="8" fillId="6" borderId="1" xfId="2" applyNumberFormat="1" applyFont="1" applyFill="1" applyBorder="1"/>
    <xf numFmtId="9" fontId="0" fillId="6" borderId="1" xfId="1" applyNumberFormat="1" applyFont="1" applyFill="1" applyBorder="1"/>
    <xf numFmtId="164" fontId="6" fillId="5" borderId="1" xfId="1" applyNumberFormat="1" applyFont="1" applyFill="1" applyBorder="1" applyAlignment="1">
      <alignment vertical="center" wrapText="1"/>
    </xf>
    <xf numFmtId="164" fontId="6" fillId="5" borderId="1" xfId="1" applyNumberFormat="1" applyFont="1" applyFill="1" applyBorder="1" applyAlignment="1">
      <alignment vertical="center"/>
    </xf>
    <xf numFmtId="165" fontId="21" fillId="6" borderId="1" xfId="2" applyNumberFormat="1" applyFont="1" applyFill="1" applyBorder="1"/>
    <xf numFmtId="164" fontId="4" fillId="7" borderId="7" xfId="0" applyNumberFormat="1" applyFont="1" applyFill="1" applyBorder="1" applyAlignment="1">
      <alignment vertical="center"/>
    </xf>
    <xf numFmtId="164" fontId="4" fillId="7" borderId="1" xfId="0" applyNumberFormat="1" applyFont="1" applyFill="1" applyBorder="1" applyAlignment="1">
      <alignment vertical="center"/>
    </xf>
    <xf numFmtId="165" fontId="3" fillId="7" borderId="1" xfId="2" applyNumberFormat="1" applyFont="1" applyFill="1" applyBorder="1"/>
    <xf numFmtId="9" fontId="2" fillId="7" borderId="1" xfId="1" applyNumberFormat="1" applyFont="1" applyFill="1" applyBorder="1"/>
    <xf numFmtId="164" fontId="2" fillId="7" borderId="1" xfId="1" applyNumberFormat="1" applyFont="1" applyFill="1" applyBorder="1"/>
    <xf numFmtId="0" fontId="4" fillId="7" borderId="8" xfId="0" applyFont="1" applyFill="1" applyBorder="1" applyAlignment="1">
      <alignment vertical="center"/>
    </xf>
    <xf numFmtId="0" fontId="2" fillId="7" borderId="11" xfId="0" applyFont="1" applyFill="1" applyBorder="1" applyAlignment="1"/>
    <xf numFmtId="164" fontId="3" fillId="7" borderId="7" xfId="0" applyNumberFormat="1" applyFont="1" applyFill="1" applyBorder="1" applyAlignment="1"/>
    <xf numFmtId="0" fontId="2" fillId="7" borderId="1" xfId="0" applyFont="1" applyFill="1" applyBorder="1"/>
    <xf numFmtId="0" fontId="8" fillId="0" borderId="0" xfId="0" applyFont="1"/>
    <xf numFmtId="0" fontId="13" fillId="7" borderId="2" xfId="0" applyFont="1" applyFill="1" applyBorder="1" applyAlignment="1">
      <alignment horizontal="center" vertical="center" wrapText="1"/>
    </xf>
    <xf numFmtId="0" fontId="13" fillId="7" borderId="3" xfId="0" applyFont="1" applyFill="1" applyBorder="1" applyAlignment="1">
      <alignment horizontal="center" vertical="center"/>
    </xf>
    <xf numFmtId="165" fontId="5" fillId="7" borderId="1" xfId="2" applyNumberFormat="1" applyFont="1" applyFill="1" applyBorder="1"/>
    <xf numFmtId="0" fontId="2" fillId="7" borderId="1" xfId="0" applyFont="1" applyFill="1" applyBorder="1" applyAlignment="1"/>
    <xf numFmtId="165" fontId="5" fillId="10" borderId="1" xfId="2" applyNumberFormat="1" applyFont="1" applyFill="1" applyBorder="1"/>
    <xf numFmtId="0" fontId="8" fillId="6" borderId="0" xfId="0" applyFont="1" applyFill="1"/>
    <xf numFmtId="3" fontId="0" fillId="6" borderId="0" xfId="0" applyNumberFormat="1" applyFill="1"/>
    <xf numFmtId="43" fontId="0" fillId="0" borderId="1" xfId="1" applyFont="1" applyBorder="1"/>
    <xf numFmtId="9" fontId="0" fillId="0" borderId="1" xfId="3" applyFont="1" applyBorder="1"/>
    <xf numFmtId="165" fontId="2" fillId="9" borderId="1" xfId="2" applyNumberFormat="1" applyFont="1" applyFill="1" applyBorder="1"/>
    <xf numFmtId="0" fontId="0" fillId="9" borderId="1" xfId="0" applyFont="1" applyFill="1" applyBorder="1" applyAlignment="1">
      <alignment vertical="center" wrapText="1"/>
    </xf>
    <xf numFmtId="3" fontId="5" fillId="11" borderId="1" xfId="0" applyNumberFormat="1" applyFont="1" applyFill="1" applyBorder="1" applyAlignment="1">
      <alignment horizontal="center" vertical="center" wrapText="1"/>
    </xf>
    <xf numFmtId="3" fontId="5" fillId="6" borderId="3" xfId="0" applyNumberFormat="1"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7" borderId="2" xfId="0" applyFont="1" applyFill="1" applyBorder="1" applyAlignment="1">
      <alignment horizontal="center" vertical="center" wrapText="1"/>
    </xf>
    <xf numFmtId="0" fontId="4" fillId="7" borderId="3" xfId="0" applyFont="1" applyFill="1" applyBorder="1" applyAlignment="1">
      <alignment horizontal="center" vertical="center"/>
    </xf>
    <xf numFmtId="164" fontId="0" fillId="0" borderId="1" xfId="1" applyNumberFormat="1" applyFont="1" applyBorder="1" applyAlignment="1">
      <alignment wrapText="1"/>
    </xf>
    <xf numFmtId="9" fontId="0" fillId="6" borderId="1" xfId="1" applyNumberFormat="1" applyFont="1" applyFill="1" applyBorder="1" applyAlignment="1">
      <alignment horizontal="right" vertical="center"/>
    </xf>
    <xf numFmtId="164" fontId="0" fillId="6" borderId="1" xfId="1" applyNumberFormat="1" applyFont="1" applyFill="1" applyBorder="1" applyAlignment="1">
      <alignment vertical="center"/>
    </xf>
    <xf numFmtId="165" fontId="8" fillId="6" borderId="1" xfId="2" applyNumberFormat="1" applyFont="1" applyFill="1" applyBorder="1" applyAlignment="1">
      <alignment vertical="center"/>
    </xf>
    <xf numFmtId="164" fontId="2" fillId="9" borderId="1" xfId="1" applyNumberFormat="1" applyFont="1" applyFill="1" applyBorder="1" applyAlignment="1">
      <alignment horizontal="center" vertical="center"/>
    </xf>
    <xf numFmtId="165" fontId="2" fillId="9" borderId="1" xfId="2" applyNumberFormat="1" applyFont="1" applyFill="1" applyBorder="1" applyAlignment="1">
      <alignment horizontal="center" vertical="center"/>
    </xf>
    <xf numFmtId="0" fontId="24" fillId="5" borderId="1" xfId="0" applyFont="1" applyFill="1" applyBorder="1" applyAlignment="1">
      <alignment vertical="center" wrapText="1"/>
    </xf>
    <xf numFmtId="3" fontId="0" fillId="0" borderId="1" xfId="0" applyNumberFormat="1" applyFont="1" applyBorder="1" applyAlignment="1">
      <alignment vertical="center"/>
    </xf>
    <xf numFmtId="3" fontId="0" fillId="0" borderId="1" xfId="0" applyNumberFormat="1" applyFont="1" applyBorder="1"/>
    <xf numFmtId="0" fontId="0" fillId="0" borderId="1" xfId="0" applyFont="1" applyBorder="1"/>
    <xf numFmtId="0" fontId="24" fillId="5" borderId="1" xfId="0" applyFont="1" applyFill="1" applyBorder="1" applyAlignment="1">
      <alignment vertical="center"/>
    </xf>
    <xf numFmtId="3" fontId="22" fillId="8" borderId="1" xfId="0" applyNumberFormat="1" applyFont="1" applyFill="1" applyBorder="1" applyAlignment="1">
      <alignment vertical="center"/>
    </xf>
    <xf numFmtId="0" fontId="0" fillId="8" borderId="1" xfId="0" applyFont="1" applyFill="1" applyBorder="1" applyAlignment="1">
      <alignment wrapText="1"/>
    </xf>
    <xf numFmtId="0" fontId="0" fillId="0" borderId="1" xfId="0" applyFont="1" applyBorder="1" applyAlignment="1">
      <alignment vertical="center" wrapText="1"/>
    </xf>
    <xf numFmtId="0" fontId="23" fillId="12" borderId="2" xfId="0" applyFont="1" applyFill="1" applyBorder="1" applyAlignment="1">
      <alignment horizontal="center" vertical="center" wrapText="1"/>
    </xf>
    <xf numFmtId="0" fontId="23" fillId="12" borderId="3" xfId="0" applyFont="1" applyFill="1" applyBorder="1" applyAlignment="1">
      <alignment horizontal="center" vertical="center"/>
    </xf>
    <xf numFmtId="165" fontId="3" fillId="12" borderId="1" xfId="2" applyNumberFormat="1" applyFont="1" applyFill="1" applyBorder="1" applyAlignment="1">
      <alignment vertical="center"/>
    </xf>
    <xf numFmtId="165" fontId="2" fillId="12" borderId="1" xfId="2" applyNumberFormat="1" applyFont="1" applyFill="1" applyBorder="1" applyAlignment="1">
      <alignment horizontal="center" vertical="center"/>
    </xf>
    <xf numFmtId="0" fontId="25" fillId="7" borderId="2" xfId="0" applyFont="1" applyFill="1" applyBorder="1" applyAlignment="1">
      <alignment horizontal="center" vertical="center"/>
    </xf>
    <xf numFmtId="0" fontId="25" fillId="7" borderId="3" xfId="0" applyFont="1" applyFill="1" applyBorder="1" applyAlignment="1">
      <alignment horizontal="center" vertical="center"/>
    </xf>
    <xf numFmtId="0" fontId="0" fillId="0" borderId="2" xfId="0" applyFont="1" applyBorder="1" applyAlignment="1">
      <alignment horizontal="left" vertical="center" wrapText="1"/>
    </xf>
    <xf numFmtId="0" fontId="0" fillId="0" borderId="4" xfId="0" applyFont="1" applyBorder="1" applyAlignment="1">
      <alignment horizontal="left" vertical="center" wrapText="1"/>
    </xf>
    <xf numFmtId="0" fontId="0" fillId="0" borderId="3" xfId="0" applyFont="1" applyBorder="1" applyAlignment="1">
      <alignment horizontal="left" vertical="center" wrapText="1"/>
    </xf>
    <xf numFmtId="0" fontId="0" fillId="7" borderId="2" xfId="0" applyFont="1" applyFill="1" applyBorder="1" applyAlignment="1">
      <alignment horizontal="center" wrapText="1"/>
    </xf>
    <xf numFmtId="0" fontId="0" fillId="7" borderId="3" xfId="0" applyFont="1" applyFill="1" applyBorder="1" applyAlignment="1">
      <alignment horizontal="center" wrapText="1"/>
    </xf>
    <xf numFmtId="0" fontId="22" fillId="7" borderId="2" xfId="0" applyFont="1" applyFill="1" applyBorder="1" applyAlignment="1">
      <alignment horizontal="center" vertical="center" wrapText="1"/>
    </xf>
    <xf numFmtId="0" fontId="22" fillId="7" borderId="3" xfId="0" applyFont="1" applyFill="1" applyBorder="1" applyAlignment="1">
      <alignment horizontal="center" vertical="center"/>
    </xf>
    <xf numFmtId="0" fontId="0" fillId="7" borderId="2" xfId="0" applyFont="1" applyFill="1" applyBorder="1" applyAlignment="1">
      <alignment horizontal="center" vertical="center"/>
    </xf>
    <xf numFmtId="0" fontId="0" fillId="7" borderId="3" xfId="0" applyFont="1" applyFill="1" applyBorder="1" applyAlignment="1">
      <alignment horizontal="center" vertical="center"/>
    </xf>
    <xf numFmtId="14" fontId="0" fillId="0" borderId="2" xfId="0" applyNumberFormat="1" applyFont="1" applyBorder="1" applyAlignment="1">
      <alignment horizontal="center" vertical="center" wrapText="1"/>
    </xf>
    <xf numFmtId="0" fontId="0" fillId="0" borderId="4" xfId="0" applyFont="1" applyBorder="1" applyAlignment="1">
      <alignment horizontal="center" vertical="center"/>
    </xf>
    <xf numFmtId="0" fontId="0" fillId="0" borderId="3" xfId="0" applyFont="1" applyBorder="1" applyAlignment="1">
      <alignment horizontal="center" vertical="center"/>
    </xf>
    <xf numFmtId="3" fontId="5" fillId="0" borderId="2" xfId="0" applyNumberFormat="1" applyFont="1" applyBorder="1" applyAlignment="1">
      <alignment horizontal="center" vertical="center" wrapText="1"/>
    </xf>
    <xf numFmtId="3" fontId="5" fillId="0" borderId="4" xfId="0" applyNumberFormat="1" applyFont="1" applyBorder="1" applyAlignment="1">
      <alignment horizontal="center" vertical="center" wrapText="1"/>
    </xf>
    <xf numFmtId="3" fontId="5" fillId="0" borderId="3" xfId="0" applyNumberFormat="1" applyFont="1" applyBorder="1" applyAlignment="1">
      <alignment horizontal="center" vertical="center" wrapText="1"/>
    </xf>
    <xf numFmtId="0" fontId="22" fillId="5" borderId="2" xfId="0" applyFont="1" applyFill="1" applyBorder="1" applyAlignment="1">
      <alignment horizontal="center" vertical="center"/>
    </xf>
    <xf numFmtId="0" fontId="22" fillId="5" borderId="4" xfId="0" applyFont="1" applyFill="1" applyBorder="1" applyAlignment="1">
      <alignment horizontal="center" vertical="center"/>
    </xf>
    <xf numFmtId="0" fontId="22" fillId="5" borderId="3" xfId="0" applyFont="1" applyFill="1" applyBorder="1" applyAlignment="1">
      <alignment horizontal="center" vertical="center"/>
    </xf>
    <xf numFmtId="0" fontId="22" fillId="8" borderId="7" xfId="0" applyFont="1" applyFill="1" applyBorder="1" applyAlignment="1">
      <alignment horizontal="center" vertical="center"/>
    </xf>
    <xf numFmtId="0" fontId="22" fillId="8" borderId="8" xfId="0" applyFont="1" applyFill="1" applyBorder="1" applyAlignment="1">
      <alignment horizontal="center" vertical="center"/>
    </xf>
    <xf numFmtId="0" fontId="22" fillId="8" borderId="7" xfId="0" applyFont="1" applyFill="1" applyBorder="1" applyAlignment="1">
      <alignment horizontal="left" vertical="center"/>
    </xf>
    <xf numFmtId="0" fontId="22" fillId="8" borderId="10" xfId="0" applyFont="1" applyFill="1" applyBorder="1" applyAlignment="1">
      <alignment horizontal="left" vertical="center"/>
    </xf>
    <xf numFmtId="0" fontId="22" fillId="8" borderId="8" xfId="0" applyFont="1" applyFill="1" applyBorder="1" applyAlignment="1">
      <alignment horizontal="left" vertical="center"/>
    </xf>
    <xf numFmtId="0" fontId="22" fillId="8" borderId="10" xfId="0" applyFont="1" applyFill="1" applyBorder="1" applyAlignment="1">
      <alignment horizontal="center" vertical="center"/>
    </xf>
    <xf numFmtId="0" fontId="2" fillId="9" borderId="9" xfId="0" applyFont="1" applyFill="1" applyBorder="1" applyAlignment="1">
      <alignment horizontal="center"/>
    </xf>
    <xf numFmtId="0" fontId="2" fillId="9" borderId="11" xfId="0" applyFont="1" applyFill="1" applyBorder="1" applyAlignment="1">
      <alignment horizontal="center"/>
    </xf>
    <xf numFmtId="0" fontId="2" fillId="9" borderId="12" xfId="0" applyFont="1" applyFill="1" applyBorder="1" applyAlignment="1">
      <alignment horizontal="center"/>
    </xf>
    <xf numFmtId="0" fontId="22" fillId="11" borderId="1" xfId="0" applyFont="1" applyFill="1" applyBorder="1" applyAlignment="1">
      <alignment horizontal="center" vertical="center" wrapText="1"/>
    </xf>
    <xf numFmtId="0" fontId="22" fillId="11" borderId="1" xfId="0" applyFont="1" applyFill="1" applyBorder="1" applyAlignment="1">
      <alignment horizontal="center" vertical="center"/>
    </xf>
    <xf numFmtId="0" fontId="22" fillId="7" borderId="2" xfId="0" applyFont="1" applyFill="1" applyBorder="1" applyAlignment="1">
      <alignment horizontal="center" vertical="center"/>
    </xf>
    <xf numFmtId="0" fontId="22" fillId="7" borderId="1" xfId="0" applyFont="1"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14" fontId="0" fillId="0" borderId="2" xfId="0" applyNumberFormat="1" applyBorder="1" applyAlignment="1">
      <alignment horizontal="center" vertical="center"/>
    </xf>
    <xf numFmtId="0" fontId="0" fillId="0" borderId="4" xfId="0" applyBorder="1" applyAlignment="1">
      <alignment horizontal="center" vertical="center"/>
    </xf>
    <xf numFmtId="0" fontId="4" fillId="5" borderId="2"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3" xfId="0" applyFont="1" applyFill="1" applyBorder="1" applyAlignment="1">
      <alignment horizontal="center" vertical="center"/>
    </xf>
    <xf numFmtId="0" fontId="0" fillId="2" borderId="2" xfId="0" applyFill="1" applyBorder="1" applyAlignment="1">
      <alignment horizontal="center" wrapText="1"/>
    </xf>
    <xf numFmtId="0" fontId="0" fillId="2" borderId="3" xfId="0" applyFill="1" applyBorder="1" applyAlignment="1">
      <alignment horizont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xf>
    <xf numFmtId="0" fontId="4" fillId="8" borderId="7" xfId="0" applyFont="1" applyFill="1" applyBorder="1" applyAlignment="1">
      <alignment horizontal="center" vertical="center"/>
    </xf>
    <xf numFmtId="0" fontId="4" fillId="8" borderId="10" xfId="0" applyFont="1" applyFill="1" applyBorder="1" applyAlignment="1">
      <alignment horizontal="center" vertical="center"/>
    </xf>
    <xf numFmtId="0" fontId="4" fillId="8" borderId="8" xfId="0" applyFont="1" applyFill="1" applyBorder="1" applyAlignment="1">
      <alignment horizontal="center" vertical="center"/>
    </xf>
    <xf numFmtId="0" fontId="0" fillId="7" borderId="2" xfId="0" applyFill="1" applyBorder="1" applyAlignment="1">
      <alignment horizontal="center" wrapText="1"/>
    </xf>
    <xf numFmtId="0" fontId="0" fillId="7" borderId="3" xfId="0" applyFill="1" applyBorder="1" applyAlignment="1">
      <alignment horizontal="center" wrapText="1"/>
    </xf>
    <xf numFmtId="0" fontId="4" fillId="7" borderId="2" xfId="0" applyFont="1" applyFill="1" applyBorder="1" applyAlignment="1">
      <alignment horizontal="center" vertical="center" wrapText="1"/>
    </xf>
    <xf numFmtId="0" fontId="4" fillId="7" borderId="3" xfId="0" applyFont="1" applyFill="1" applyBorder="1" applyAlignment="1">
      <alignment horizontal="center" vertical="center"/>
    </xf>
    <xf numFmtId="0" fontId="0" fillId="7" borderId="2" xfId="0" applyFill="1" applyBorder="1" applyAlignment="1">
      <alignment horizontal="center" vertical="center"/>
    </xf>
    <xf numFmtId="0" fontId="0" fillId="7" borderId="3" xfId="0" applyFill="1" applyBorder="1" applyAlignment="1">
      <alignment horizontal="center" vertical="center"/>
    </xf>
    <xf numFmtId="0" fontId="4" fillId="11" borderId="1" xfId="0" applyFont="1" applyFill="1" applyBorder="1" applyAlignment="1">
      <alignment horizontal="center" vertical="center" wrapText="1"/>
    </xf>
    <xf numFmtId="0" fontId="4" fillId="11" borderId="1" xfId="0" applyFont="1" applyFill="1" applyBorder="1" applyAlignment="1">
      <alignment horizontal="center" vertical="center"/>
    </xf>
    <xf numFmtId="0" fontId="4" fillId="7" borderId="2" xfId="0" applyFont="1" applyFill="1" applyBorder="1" applyAlignment="1">
      <alignment horizontal="center" vertical="center"/>
    </xf>
    <xf numFmtId="0" fontId="4" fillId="7" borderId="1" xfId="0" applyFont="1" applyFill="1" applyBorder="1" applyAlignment="1">
      <alignment horizontal="center" vertical="center"/>
    </xf>
    <xf numFmtId="0" fontId="4" fillId="8" borderId="7" xfId="0" applyFont="1" applyFill="1" applyBorder="1" applyAlignment="1">
      <alignment horizontal="left" vertical="center"/>
    </xf>
    <xf numFmtId="0" fontId="4" fillId="8" borderId="10" xfId="0" applyFont="1" applyFill="1" applyBorder="1" applyAlignment="1">
      <alignment horizontal="left" vertical="center"/>
    </xf>
    <xf numFmtId="0" fontId="4" fillId="8" borderId="8" xfId="0" applyFont="1" applyFill="1" applyBorder="1" applyAlignment="1">
      <alignment horizontal="left" vertical="center"/>
    </xf>
    <xf numFmtId="0" fontId="0" fillId="7" borderId="7" xfId="0" applyFill="1" applyBorder="1" applyAlignment="1">
      <alignment horizontal="center"/>
    </xf>
    <xf numFmtId="0" fontId="0" fillId="7" borderId="10" xfId="0" applyFill="1" applyBorder="1" applyAlignment="1">
      <alignment horizontal="center"/>
    </xf>
    <xf numFmtId="0" fontId="0" fillId="7" borderId="8" xfId="0" applyFill="1" applyBorder="1" applyAlignment="1">
      <alignment horizontal="center"/>
    </xf>
    <xf numFmtId="0" fontId="4" fillId="7" borderId="7" xfId="0" applyFont="1" applyFill="1" applyBorder="1" applyAlignment="1">
      <alignment horizontal="center" vertical="center"/>
    </xf>
    <xf numFmtId="0" fontId="4" fillId="7" borderId="10" xfId="0" applyFont="1" applyFill="1" applyBorder="1" applyAlignment="1">
      <alignment horizontal="center" vertical="center"/>
    </xf>
    <xf numFmtId="14" fontId="0" fillId="7" borderId="2" xfId="0" applyNumberFormat="1" applyFill="1" applyBorder="1" applyAlignment="1">
      <alignment horizontal="center" vertical="center"/>
    </xf>
    <xf numFmtId="0" fontId="0" fillId="7" borderId="4" xfId="0" applyFill="1" applyBorder="1" applyAlignment="1">
      <alignment horizontal="center" vertical="center"/>
    </xf>
    <xf numFmtId="0" fontId="4" fillId="7" borderId="8" xfId="0" applyFont="1" applyFill="1" applyBorder="1" applyAlignment="1">
      <alignment horizontal="center" vertical="center"/>
    </xf>
    <xf numFmtId="0" fontId="2" fillId="7" borderId="7" xfId="0" applyFont="1" applyFill="1" applyBorder="1" applyAlignment="1">
      <alignment horizontal="center"/>
    </xf>
    <xf numFmtId="0" fontId="2" fillId="7" borderId="10" xfId="0" applyFont="1" applyFill="1" applyBorder="1" applyAlignment="1">
      <alignment horizontal="center"/>
    </xf>
    <xf numFmtId="0" fontId="0" fillId="7" borderId="4" xfId="0" applyFill="1" applyBorder="1" applyAlignment="1">
      <alignment horizontal="center" wrapText="1"/>
    </xf>
    <xf numFmtId="0" fontId="0" fillId="0" borderId="2" xfId="0" applyBorder="1" applyAlignment="1">
      <alignment horizontal="center"/>
    </xf>
    <xf numFmtId="0" fontId="0" fillId="0" borderId="4" xfId="0" applyBorder="1" applyAlignment="1">
      <alignment horizontal="center"/>
    </xf>
    <xf numFmtId="0" fontId="0" fillId="0" borderId="3" xfId="0" applyBorder="1" applyAlignment="1">
      <alignment horizontal="center"/>
    </xf>
    <xf numFmtId="14" fontId="0" fillId="0" borderId="6" xfId="0" applyNumberFormat="1" applyBorder="1" applyAlignment="1">
      <alignment horizontal="center" vertical="center"/>
    </xf>
    <xf numFmtId="14" fontId="0" fillId="0" borderId="9" xfId="0" applyNumberFormat="1" applyBorder="1" applyAlignment="1">
      <alignment horizontal="center" vertical="center"/>
    </xf>
    <xf numFmtId="0" fontId="4" fillId="7" borderId="1" xfId="0" applyFont="1" applyFill="1" applyBorder="1" applyAlignment="1">
      <alignment horizontal="center" vertical="center" wrapText="1"/>
    </xf>
    <xf numFmtId="0" fontId="0" fillId="8" borderId="1" xfId="0" applyFill="1" applyBorder="1"/>
    <xf numFmtId="0" fontId="0" fillId="8" borderId="1" xfId="0" applyFill="1" applyBorder="1" applyAlignment="1">
      <alignment horizontal="center"/>
    </xf>
    <xf numFmtId="0" fontId="0" fillId="8" borderId="4" xfId="0" applyFill="1" applyBorder="1" applyAlignment="1">
      <alignment horizontal="center"/>
    </xf>
    <xf numFmtId="0" fontId="0" fillId="7" borderId="4" xfId="0" applyFill="1" applyBorder="1"/>
    <xf numFmtId="0" fontId="27" fillId="7" borderId="4" xfId="5" applyFont="1" applyFill="1" applyBorder="1" applyAlignment="1"/>
    <xf numFmtId="38" fontId="27" fillId="7" borderId="4" xfId="6" applyNumberFormat="1" applyFont="1" applyFill="1" applyBorder="1"/>
    <xf numFmtId="0" fontId="0" fillId="0" borderId="2" xfId="0" applyBorder="1"/>
    <xf numFmtId="0" fontId="0" fillId="0" borderId="5" xfId="0" applyBorder="1" applyAlignment="1">
      <alignment horizontal="center"/>
    </xf>
    <xf numFmtId="0" fontId="27" fillId="13" borderId="5" xfId="5" applyFont="1" applyFill="1" applyBorder="1" applyAlignment="1"/>
    <xf numFmtId="38" fontId="28" fillId="13" borderId="5" xfId="6" applyNumberFormat="1" applyFont="1" applyFill="1" applyBorder="1"/>
    <xf numFmtId="164" fontId="0" fillId="13" borderId="5" xfId="1" applyNumberFormat="1" applyFont="1" applyFill="1" applyBorder="1" applyAlignment="1"/>
    <xf numFmtId="0" fontId="0" fillId="0" borderId="4" xfId="0" applyBorder="1"/>
    <xf numFmtId="0" fontId="0" fillId="0" borderId="13" xfId="0" applyBorder="1" applyAlignment="1">
      <alignment horizontal="center"/>
    </xf>
    <xf numFmtId="0" fontId="27" fillId="13" borderId="13" xfId="5" applyFont="1" applyFill="1" applyBorder="1" applyAlignment="1"/>
    <xf numFmtId="38" fontId="27" fillId="13" borderId="13" xfId="6" applyNumberFormat="1" applyFont="1" applyFill="1" applyBorder="1"/>
    <xf numFmtId="164" fontId="1" fillId="13" borderId="13" xfId="1" applyNumberFormat="1" applyFill="1" applyBorder="1"/>
    <xf numFmtId="0" fontId="0" fillId="0" borderId="14" xfId="0" applyBorder="1" applyAlignment="1">
      <alignment horizontal="center" vertical="center"/>
    </xf>
    <xf numFmtId="0" fontId="27" fillId="13" borderId="14" xfId="5" applyFont="1" applyFill="1" applyBorder="1" applyAlignment="1">
      <alignment vertical="center"/>
    </xf>
    <xf numFmtId="38" fontId="27" fillId="13" borderId="14" xfId="6" applyNumberFormat="1" applyFont="1" applyFill="1" applyBorder="1" applyAlignment="1">
      <alignment vertical="center"/>
    </xf>
    <xf numFmtId="164" fontId="1" fillId="13" borderId="14" xfId="1" applyNumberFormat="1" applyFill="1" applyBorder="1" applyAlignment="1">
      <alignment vertical="center"/>
    </xf>
    <xf numFmtId="0" fontId="0" fillId="0" borderId="3" xfId="0" applyBorder="1" applyAlignment="1">
      <alignment wrapText="1"/>
    </xf>
    <xf numFmtId="0" fontId="0" fillId="7" borderId="1" xfId="0" applyFill="1" applyBorder="1"/>
    <xf numFmtId="0" fontId="27" fillId="7" borderId="1" xfId="5" applyFont="1" applyFill="1" applyBorder="1" applyAlignment="1"/>
    <xf numFmtId="38" fontId="27" fillId="7" borderId="1" xfId="6" applyNumberFormat="1" applyFont="1" applyFill="1" applyBorder="1"/>
    <xf numFmtId="164" fontId="1" fillId="7" borderId="1" xfId="1" applyNumberFormat="1" applyFill="1" applyBorder="1"/>
    <xf numFmtId="0" fontId="0" fillId="7" borderId="3" xfId="0" applyFill="1" applyBorder="1"/>
    <xf numFmtId="0" fontId="29" fillId="7" borderId="3" xfId="5" applyFont="1" applyFill="1" applyBorder="1" applyAlignment="1"/>
    <xf numFmtId="38" fontId="29" fillId="7" borderId="3" xfId="6" applyNumberFormat="1" applyFont="1" applyFill="1" applyBorder="1"/>
    <xf numFmtId="164" fontId="0" fillId="7" borderId="3" xfId="1" applyNumberFormat="1" applyFont="1" applyFill="1" applyBorder="1" applyAlignment="1"/>
    <xf numFmtId="0" fontId="0" fillId="8" borderId="7" xfId="0" applyFill="1" applyBorder="1" applyAlignment="1">
      <alignment horizontal="center"/>
    </xf>
    <xf numFmtId="0" fontId="0" fillId="8" borderId="8" xfId="0" applyFill="1" applyBorder="1" applyAlignment="1">
      <alignment horizontal="center"/>
    </xf>
    <xf numFmtId="38" fontId="0" fillId="8" borderId="3" xfId="0" applyNumberFormat="1" applyFill="1" applyBorder="1"/>
    <xf numFmtId="0" fontId="8" fillId="8" borderId="1" xfId="0" applyFont="1" applyFill="1" applyBorder="1" applyAlignment="1">
      <alignment horizontal="center"/>
    </xf>
    <xf numFmtId="38" fontId="30" fillId="7" borderId="4" xfId="6" applyNumberFormat="1" applyFont="1" applyFill="1" applyBorder="1"/>
    <xf numFmtId="164" fontId="8" fillId="13" borderId="5" xfId="1" applyNumberFormat="1" applyFont="1" applyFill="1" applyBorder="1" applyAlignment="1"/>
    <xf numFmtId="164" fontId="8" fillId="13" borderId="13" xfId="1" applyNumberFormat="1" applyFont="1" applyFill="1" applyBorder="1" applyAlignment="1"/>
    <xf numFmtId="164" fontId="8" fillId="13" borderId="14" xfId="1" applyNumberFormat="1" applyFont="1" applyFill="1" applyBorder="1" applyAlignment="1">
      <alignment vertical="center"/>
    </xf>
    <xf numFmtId="164" fontId="8" fillId="7" borderId="1" xfId="1" applyNumberFormat="1" applyFont="1" applyFill="1" applyBorder="1" applyAlignment="1"/>
    <xf numFmtId="43" fontId="8" fillId="7" borderId="3" xfId="1" applyNumberFormat="1" applyFont="1" applyFill="1" applyBorder="1" applyAlignment="1"/>
    <xf numFmtId="38" fontId="8" fillId="8" borderId="3" xfId="0" applyNumberFormat="1" applyFont="1" applyFill="1" applyBorder="1"/>
    <xf numFmtId="0" fontId="31" fillId="0" borderId="0" xfId="0" applyFont="1"/>
    <xf numFmtId="44" fontId="8" fillId="0" borderId="0" xfId="2" applyFont="1"/>
  </cellXfs>
  <cellStyles count="7">
    <cellStyle name="Comma" xfId="1" builtinId="3"/>
    <cellStyle name="Comma 2" xfId="6"/>
    <cellStyle name="Currency" xfId="2" builtinId="4"/>
    <cellStyle name="Normal" xfId="0" builtinId="0"/>
    <cellStyle name="Normal 3 2" xfId="5"/>
    <cellStyle name="Normal_HTS - HOANG MINH chuan" xfId="4"/>
    <cellStyle name="Percent" xfId="3" builtin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12</xdr:col>
      <xdr:colOff>68036</xdr:colOff>
      <xdr:row>57</xdr:row>
      <xdr:rowOff>13605</xdr:rowOff>
    </xdr:from>
    <xdr:to>
      <xdr:col>18</xdr:col>
      <xdr:colOff>589595</xdr:colOff>
      <xdr:row>67</xdr:row>
      <xdr:rowOff>198033</xdr:rowOff>
    </xdr:to>
    <xdr:pic>
      <xdr:nvPicPr>
        <xdr:cNvPr id="6" name="Picture 5"/>
        <xdr:cNvPicPr>
          <a:picLocks noChangeAspect="1"/>
        </xdr:cNvPicPr>
      </xdr:nvPicPr>
      <xdr:blipFill>
        <a:blip xmlns:r="http://schemas.openxmlformats.org/officeDocument/2006/relationships" r:embed="rId1"/>
        <a:stretch>
          <a:fillRect/>
        </a:stretch>
      </xdr:blipFill>
      <xdr:spPr>
        <a:xfrm>
          <a:off x="28942393" y="5225141"/>
          <a:ext cx="7638095" cy="502857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1628775</xdr:colOff>
      <xdr:row>0</xdr:row>
      <xdr:rowOff>0</xdr:rowOff>
    </xdr:from>
    <xdr:to>
      <xdr:col>5</xdr:col>
      <xdr:colOff>5190474</xdr:colOff>
      <xdr:row>35</xdr:row>
      <xdr:rowOff>27680</xdr:rowOff>
    </xdr:to>
    <xdr:pic>
      <xdr:nvPicPr>
        <xdr:cNvPr id="2" name="Picture 1"/>
        <xdr:cNvPicPr>
          <a:picLocks noChangeAspect="1"/>
        </xdr:cNvPicPr>
      </xdr:nvPicPr>
      <xdr:blipFill>
        <a:blip xmlns:r="http://schemas.openxmlformats.org/officeDocument/2006/relationships" r:embed="rId1"/>
        <a:stretch>
          <a:fillRect/>
        </a:stretch>
      </xdr:blipFill>
      <xdr:spPr>
        <a:xfrm>
          <a:off x="7019925" y="0"/>
          <a:ext cx="5209524" cy="7161905"/>
        </a:xfrm>
        <a:prstGeom prst="rect">
          <a:avLst/>
        </a:prstGeom>
      </xdr:spPr>
    </xdr:pic>
    <xdr:clientData/>
  </xdr:twoCellAnchor>
  <xdr:twoCellAnchor editAs="oneCell">
    <xdr:from>
      <xdr:col>5</xdr:col>
      <xdr:colOff>4800600</xdr:colOff>
      <xdr:row>0</xdr:row>
      <xdr:rowOff>9525</xdr:rowOff>
    </xdr:from>
    <xdr:to>
      <xdr:col>10</xdr:col>
      <xdr:colOff>561348</xdr:colOff>
      <xdr:row>20</xdr:row>
      <xdr:rowOff>104229</xdr:rowOff>
    </xdr:to>
    <xdr:pic>
      <xdr:nvPicPr>
        <xdr:cNvPr id="4" name="Picture 3"/>
        <xdr:cNvPicPr>
          <a:picLocks noChangeAspect="1"/>
        </xdr:cNvPicPr>
      </xdr:nvPicPr>
      <xdr:blipFill>
        <a:blip xmlns:r="http://schemas.openxmlformats.org/officeDocument/2006/relationships" r:embed="rId2"/>
        <a:stretch>
          <a:fillRect/>
        </a:stretch>
      </xdr:blipFill>
      <xdr:spPr>
        <a:xfrm>
          <a:off x="11839575" y="9525"/>
          <a:ext cx="5019048" cy="43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169069</xdr:colOff>
      <xdr:row>38</xdr:row>
      <xdr:rowOff>180048</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5655469" cy="741904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J13"/>
  <sheetViews>
    <sheetView workbookViewId="0">
      <selection activeCell="C15" sqref="C15"/>
    </sheetView>
  </sheetViews>
  <sheetFormatPr defaultRowHeight="15"/>
  <cols>
    <col min="3" max="3" width="95.28515625" bestFit="1" customWidth="1"/>
    <col min="4" max="4" width="16" customWidth="1"/>
    <col min="5" max="5" width="14.28515625" bestFit="1" customWidth="1"/>
    <col min="6" max="6" width="11.5703125" bestFit="1" customWidth="1"/>
    <col min="7" max="10" width="14.85546875" bestFit="1" customWidth="1"/>
  </cols>
  <sheetData>
    <row r="2" spans="3:10">
      <c r="D2" s="18"/>
      <c r="E2" s="18"/>
    </row>
    <row r="3" spans="3:10" ht="17.25">
      <c r="C3" s="56" t="s">
        <v>37</v>
      </c>
      <c r="D3" s="18">
        <v>220000000000</v>
      </c>
      <c r="E3" s="54">
        <f>+D3/23000</f>
        <v>9565217.3913043477</v>
      </c>
    </row>
    <row r="4" spans="3:10" ht="17.25">
      <c r="C4" s="56" t="s">
        <v>54</v>
      </c>
      <c r="D4" s="18">
        <v>50000000000</v>
      </c>
      <c r="E4" s="54">
        <f>+D4/23000</f>
        <v>2173913.0434782607</v>
      </c>
    </row>
    <row r="5" spans="3:10">
      <c r="D5" s="18"/>
      <c r="E5" s="18"/>
    </row>
    <row r="6" spans="3:10">
      <c r="C6" s="8" t="s">
        <v>38</v>
      </c>
      <c r="D6" s="8"/>
      <c r="E6" s="8" t="s">
        <v>39</v>
      </c>
      <c r="F6" s="8" t="s">
        <v>40</v>
      </c>
      <c r="G6" s="8" t="s">
        <v>41</v>
      </c>
      <c r="H6" s="8" t="s">
        <v>42</v>
      </c>
      <c r="I6" s="8" t="s">
        <v>43</v>
      </c>
      <c r="J6" s="8" t="s">
        <v>44</v>
      </c>
    </row>
    <row r="7" spans="3:10">
      <c r="C7" s="8" t="s">
        <v>45</v>
      </c>
      <c r="D7" s="49" t="s">
        <v>46</v>
      </c>
      <c r="E7" s="50">
        <v>1627826.0869565217</v>
      </c>
      <c r="F7" s="50">
        <v>2256086.9565217393</v>
      </c>
      <c r="G7" s="50">
        <v>2457391.3043478262</v>
      </c>
      <c r="H7" s="50">
        <v>1825217.3913043479</v>
      </c>
      <c r="I7" s="50">
        <v>1899565.2173913044</v>
      </c>
      <c r="J7" s="50">
        <v>2337826.086956522</v>
      </c>
    </row>
    <row r="8" spans="3:10">
      <c r="C8" s="8" t="s">
        <v>47</v>
      </c>
      <c r="D8" s="8" t="s">
        <v>48</v>
      </c>
      <c r="E8" s="50"/>
      <c r="F8" s="50"/>
      <c r="G8" s="50">
        <v>6341304.3478260869</v>
      </c>
      <c r="H8" s="50">
        <v>6538695.6521739131</v>
      </c>
      <c r="I8" s="50">
        <v>6182173.9130434785</v>
      </c>
      <c r="J8" s="50">
        <v>6062608.6956521738</v>
      </c>
    </row>
    <row r="9" spans="3:10" ht="15.75">
      <c r="C9" s="8" t="s">
        <v>49</v>
      </c>
      <c r="D9" s="8" t="s">
        <v>50</v>
      </c>
      <c r="E9" s="50"/>
      <c r="F9" s="50"/>
      <c r="G9" s="51">
        <v>2113768.1159420288</v>
      </c>
      <c r="H9" s="51">
        <v>2179565.2173913042</v>
      </c>
      <c r="I9" s="51">
        <v>2060724.6376811594</v>
      </c>
      <c r="J9" s="51">
        <v>2020869.5652173914</v>
      </c>
    </row>
    <row r="10" spans="3:10" ht="15.75">
      <c r="C10" s="8" t="s">
        <v>51</v>
      </c>
      <c r="D10" s="8" t="s">
        <v>52</v>
      </c>
      <c r="E10" s="52"/>
      <c r="F10" s="52"/>
      <c r="G10" s="53">
        <f>+$E$4-G9</f>
        <v>60144.927536231931</v>
      </c>
      <c r="H10" s="53">
        <f t="shared" ref="H10:J10" si="0">+$E$4-H9</f>
        <v>-5652.173913043458</v>
      </c>
      <c r="I10" s="53">
        <f t="shared" si="0"/>
        <v>113188.40579710132</v>
      </c>
      <c r="J10" s="53">
        <f t="shared" si="0"/>
        <v>153043.47826086939</v>
      </c>
    </row>
    <row r="12" spans="3:10" ht="30">
      <c r="C12" s="57" t="s">
        <v>53</v>
      </c>
    </row>
    <row r="13" spans="3:10" ht="34.5" customHeight="1">
      <c r="C13" s="55" t="s">
        <v>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68"/>
  <sheetViews>
    <sheetView tabSelected="1" topLeftCell="A49" zoomScale="70" zoomScaleNormal="70" workbookViewId="0">
      <selection activeCell="L60" sqref="L60:L63"/>
    </sheetView>
  </sheetViews>
  <sheetFormatPr defaultRowHeight="15" outlineLevelRow="1"/>
  <cols>
    <col min="1" max="1" width="7.140625" customWidth="1"/>
    <col min="2" max="2" width="24" customWidth="1"/>
    <col min="3" max="3" width="16.28515625" customWidth="1"/>
    <col min="4" max="4" width="11.85546875" bestFit="1" customWidth="1"/>
    <col min="5" max="5" width="27.42578125" customWidth="1"/>
    <col min="6" max="6" width="21.140625" customWidth="1"/>
    <col min="7" max="7" width="11" customWidth="1"/>
    <col min="8" max="8" width="24.28515625" customWidth="1"/>
    <col min="9" max="10" width="18.5703125" customWidth="1"/>
    <col min="11" max="11" width="76.28515625" customWidth="1"/>
    <col min="12" max="12" width="176.28515625" customWidth="1"/>
    <col min="13" max="13" width="40.85546875" customWidth="1"/>
    <col min="14" max="14" width="20.140625" bestFit="1" customWidth="1"/>
    <col min="15" max="15" width="18.140625" bestFit="1" customWidth="1"/>
  </cols>
  <sheetData>
    <row r="1" spans="1:13" hidden="1" outlineLevel="1">
      <c r="A1" s="16"/>
      <c r="B1" s="1"/>
      <c r="C1" s="16"/>
      <c r="D1" s="16"/>
      <c r="E1" s="16"/>
      <c r="F1" s="16"/>
      <c r="G1" s="16"/>
      <c r="H1" s="16"/>
      <c r="I1" s="16"/>
      <c r="J1" s="16"/>
      <c r="K1" s="16"/>
      <c r="L1" s="16"/>
    </row>
    <row r="2" spans="1:13" ht="13.5" hidden="1" customHeight="1" outlineLevel="1">
      <c r="A2" s="16"/>
      <c r="B2" s="58" t="s">
        <v>57</v>
      </c>
      <c r="C2" s="16"/>
      <c r="D2" s="16"/>
      <c r="E2" s="16"/>
      <c r="F2" s="16"/>
      <c r="G2" s="16"/>
      <c r="H2" t="s">
        <v>15</v>
      </c>
      <c r="L2" s="16"/>
    </row>
    <row r="3" spans="1:13" ht="4.5" hidden="1" customHeight="1" outlineLevel="1">
      <c r="A3" s="16"/>
      <c r="B3" s="14"/>
      <c r="C3" s="16"/>
      <c r="D3" s="16"/>
      <c r="E3" s="16"/>
      <c r="F3" s="16"/>
      <c r="G3" s="16"/>
      <c r="H3" s="16" t="s">
        <v>14</v>
      </c>
      <c r="I3" s="16"/>
      <c r="J3" s="16"/>
      <c r="K3" s="16"/>
      <c r="L3" s="16"/>
    </row>
    <row r="4" spans="1:13" ht="30" hidden="1" customHeight="1" outlineLevel="1">
      <c r="A4" s="16"/>
      <c r="B4" s="166" t="s">
        <v>0</v>
      </c>
      <c r="C4" s="167" t="s">
        <v>1</v>
      </c>
      <c r="D4" s="166" t="s">
        <v>2</v>
      </c>
      <c r="E4" s="167" t="s">
        <v>3</v>
      </c>
      <c r="F4" s="169" t="s">
        <v>4</v>
      </c>
      <c r="G4" s="162" t="s">
        <v>5</v>
      </c>
      <c r="H4" s="164" t="s">
        <v>16</v>
      </c>
      <c r="I4" s="164" t="s">
        <v>17</v>
      </c>
      <c r="J4" s="100"/>
      <c r="K4" s="155" t="s">
        <v>12</v>
      </c>
      <c r="L4" s="16"/>
    </row>
    <row r="5" spans="1:13" hidden="1" outlineLevel="1">
      <c r="A5" s="16"/>
      <c r="B5" s="166"/>
      <c r="C5" s="168"/>
      <c r="D5" s="166"/>
      <c r="E5" s="168"/>
      <c r="F5" s="170"/>
      <c r="G5" s="163"/>
      <c r="H5" s="165"/>
      <c r="I5" s="165"/>
      <c r="J5" s="101"/>
      <c r="K5" s="156"/>
      <c r="L5" s="16"/>
    </row>
    <row r="6" spans="1:13" ht="19.5" hidden="1" customHeight="1" outlineLevel="1">
      <c r="A6" s="16"/>
      <c r="B6" s="157" t="s">
        <v>13</v>
      </c>
      <c r="C6" s="136" t="s">
        <v>20</v>
      </c>
      <c r="D6" s="159" t="s">
        <v>6</v>
      </c>
      <c r="E6" s="2" t="s">
        <v>7</v>
      </c>
      <c r="F6" s="3">
        <v>155496789553.56552</v>
      </c>
      <c r="G6" s="15" t="s">
        <v>11</v>
      </c>
      <c r="H6" s="5">
        <v>48900000000.258865</v>
      </c>
      <c r="I6" s="19">
        <f>+H6/23000</f>
        <v>2126086.9565329943</v>
      </c>
      <c r="J6" s="19"/>
      <c r="K6" s="8"/>
      <c r="L6" s="16"/>
    </row>
    <row r="7" spans="1:13" ht="19.5" hidden="1" customHeight="1" outlineLevel="1">
      <c r="A7" s="16"/>
      <c r="B7" s="158"/>
      <c r="C7" s="137"/>
      <c r="D7" s="160"/>
      <c r="E7" s="2" t="s">
        <v>8</v>
      </c>
      <c r="F7" s="3">
        <f>131813000000-F8</f>
        <v>55975160000</v>
      </c>
      <c r="G7" s="4">
        <f>+H7/F7</f>
        <v>0.89344988026831906</v>
      </c>
      <c r="H7" s="5">
        <v>50011000000</v>
      </c>
      <c r="I7" s="19">
        <f t="shared" ref="I7:I10" si="0">+H7/23000</f>
        <v>2174391.3043478262</v>
      </c>
      <c r="J7" s="19"/>
      <c r="K7" s="8"/>
      <c r="L7" s="16"/>
    </row>
    <row r="8" spans="1:13" ht="19.5" hidden="1" customHeight="1" outlineLevel="1">
      <c r="A8" s="16"/>
      <c r="B8" s="158"/>
      <c r="C8" s="137"/>
      <c r="D8" s="160"/>
      <c r="E8" s="6" t="s">
        <v>9</v>
      </c>
      <c r="F8" s="3">
        <f>31599.1*2400000</f>
        <v>75837840000</v>
      </c>
      <c r="G8" s="4">
        <f>+H8/F8</f>
        <v>0.93738165538469975</v>
      </c>
      <c r="H8" s="5">
        <v>71089000000</v>
      </c>
      <c r="I8" s="19">
        <f t="shared" si="0"/>
        <v>3090826.086956522</v>
      </c>
      <c r="J8" s="19"/>
      <c r="K8" s="8"/>
      <c r="L8" s="16"/>
    </row>
    <row r="9" spans="1:13" ht="30" hidden="1" customHeight="1" outlineLevel="1">
      <c r="A9" s="16"/>
      <c r="B9" s="158"/>
      <c r="C9" s="137"/>
      <c r="D9" s="161"/>
      <c r="E9" s="6" t="s">
        <v>10</v>
      </c>
      <c r="F9" s="12">
        <v>72000000000</v>
      </c>
      <c r="G9" s="4">
        <f>+H9/F9</f>
        <v>0.6944444444408493</v>
      </c>
      <c r="H9" s="5">
        <f>220000000000-SUM(H6:H8)</f>
        <v>49999999999.74115</v>
      </c>
      <c r="I9" s="19">
        <f t="shared" si="0"/>
        <v>2173913.0434670066</v>
      </c>
      <c r="J9" s="19"/>
      <c r="K9" s="13" t="s">
        <v>64</v>
      </c>
      <c r="L9" s="16"/>
    </row>
    <row r="10" spans="1:13" ht="28.5" hidden="1" customHeight="1" outlineLevel="1">
      <c r="A10" s="16"/>
      <c r="B10" s="156"/>
      <c r="C10" s="138"/>
      <c r="D10" s="7" t="s">
        <v>1</v>
      </c>
      <c r="E10" s="8"/>
      <c r="F10" s="9">
        <f>SUM(F6:F9)</f>
        <v>359309789553.56555</v>
      </c>
      <c r="G10" s="10"/>
      <c r="H10" s="11">
        <f>SUM(H6:H9)</f>
        <v>220000000000</v>
      </c>
      <c r="I10" s="20">
        <f t="shared" si="0"/>
        <v>9565217.3913043477</v>
      </c>
      <c r="J10" s="20"/>
      <c r="K10" s="17" t="s">
        <v>18</v>
      </c>
      <c r="L10" s="16"/>
    </row>
    <row r="11" spans="1:13" hidden="1" outlineLevel="1">
      <c r="A11" s="16"/>
      <c r="B11" s="16"/>
      <c r="C11" s="16"/>
      <c r="D11" s="16"/>
      <c r="E11" s="16"/>
      <c r="F11" s="16"/>
      <c r="G11" s="16"/>
      <c r="H11" s="16"/>
      <c r="I11" s="16"/>
      <c r="J11" s="16"/>
      <c r="K11" s="16"/>
      <c r="L11" s="16"/>
      <c r="M11" s="16"/>
    </row>
    <row r="12" spans="1:13" hidden="1" outlineLevel="1">
      <c r="B12" s="58" t="s">
        <v>58</v>
      </c>
    </row>
    <row r="13" spans="1:13" ht="30" hidden="1" customHeight="1" outlineLevel="1">
      <c r="A13" s="16"/>
      <c r="B13" s="166" t="s">
        <v>0</v>
      </c>
      <c r="C13" s="167" t="s">
        <v>1</v>
      </c>
      <c r="D13" s="166" t="s">
        <v>2</v>
      </c>
      <c r="E13" s="167" t="s">
        <v>3</v>
      </c>
      <c r="F13" s="169" t="s">
        <v>4</v>
      </c>
      <c r="G13" s="162" t="s">
        <v>5</v>
      </c>
      <c r="H13" s="164" t="s">
        <v>16</v>
      </c>
      <c r="I13" s="164" t="s">
        <v>17</v>
      </c>
      <c r="J13" s="100"/>
      <c r="K13" s="155" t="s">
        <v>12</v>
      </c>
      <c r="L13" s="16"/>
    </row>
    <row r="14" spans="1:13" hidden="1" outlineLevel="1">
      <c r="A14" s="16"/>
      <c r="B14" s="166"/>
      <c r="C14" s="168"/>
      <c r="D14" s="166"/>
      <c r="E14" s="168"/>
      <c r="F14" s="170"/>
      <c r="G14" s="163"/>
      <c r="H14" s="165"/>
      <c r="I14" s="165"/>
      <c r="J14" s="101"/>
      <c r="K14" s="156"/>
      <c r="L14" s="16"/>
    </row>
    <row r="15" spans="1:13" ht="19.5" hidden="1" customHeight="1" outlineLevel="1">
      <c r="A15" s="16"/>
      <c r="B15" s="157" t="s">
        <v>56</v>
      </c>
      <c r="C15" s="136" t="s">
        <v>20</v>
      </c>
      <c r="D15" s="159" t="s">
        <v>6</v>
      </c>
      <c r="E15" s="2" t="s">
        <v>7</v>
      </c>
      <c r="F15" s="3">
        <v>127650625351</v>
      </c>
      <c r="G15" s="15" t="s">
        <v>11</v>
      </c>
      <c r="H15" s="5">
        <v>39000000000</v>
      </c>
      <c r="I15" s="19">
        <f>+H15/23000</f>
        <v>1695652.1739130435</v>
      </c>
      <c r="J15" s="19"/>
      <c r="K15" s="8"/>
      <c r="L15" s="16"/>
    </row>
    <row r="16" spans="1:13" ht="19.5" hidden="1" customHeight="1" outlineLevel="1">
      <c r="A16" s="16"/>
      <c r="B16" s="158"/>
      <c r="C16" s="137"/>
      <c r="D16" s="160"/>
      <c r="E16" s="2" t="s">
        <v>8</v>
      </c>
      <c r="F16" s="3">
        <v>53351000000</v>
      </c>
      <c r="G16" s="4">
        <v>0.9</v>
      </c>
      <c r="H16" s="5">
        <v>48000000000</v>
      </c>
      <c r="I16" s="19">
        <f t="shared" ref="I16:I22" si="1">+H16/23000</f>
        <v>2086956.5217391304</v>
      </c>
      <c r="J16" s="19"/>
      <c r="K16" s="8"/>
      <c r="L16" s="16"/>
    </row>
    <row r="17" spans="1:12" ht="19.5" hidden="1" customHeight="1" outlineLevel="1">
      <c r="A17" s="16"/>
      <c r="B17" s="158"/>
      <c r="C17" s="137"/>
      <c r="D17" s="160"/>
      <c r="E17" s="6" t="s">
        <v>9</v>
      </c>
      <c r="F17" s="3">
        <v>75837000000</v>
      </c>
      <c r="G17" s="4">
        <f>+H17/F17</f>
        <v>0.89665994171710384</v>
      </c>
      <c r="H17" s="5">
        <v>68000000000</v>
      </c>
      <c r="I17" s="19">
        <f t="shared" si="1"/>
        <v>2956521.7391304346</v>
      </c>
      <c r="J17" s="19"/>
      <c r="K17" s="8"/>
      <c r="L17" s="16"/>
    </row>
    <row r="18" spans="1:12" ht="45" hidden="1" outlineLevel="1">
      <c r="A18" s="16"/>
      <c r="B18" s="158"/>
      <c r="C18" s="137"/>
      <c r="D18" s="161"/>
      <c r="E18" s="6" t="s">
        <v>10</v>
      </c>
      <c r="F18" s="12">
        <v>72000000000</v>
      </c>
      <c r="G18" s="4">
        <v>0.7</v>
      </c>
      <c r="H18" s="5">
        <v>65000000000</v>
      </c>
      <c r="I18" s="19">
        <f t="shared" si="1"/>
        <v>2826086.9565217393</v>
      </c>
      <c r="J18" s="19"/>
      <c r="K18" s="13" t="s">
        <v>59</v>
      </c>
      <c r="L18" s="16"/>
    </row>
    <row r="19" spans="1:12" ht="30" hidden="1" customHeight="1" outlineLevel="1">
      <c r="A19" s="16"/>
      <c r="B19" s="158"/>
      <c r="C19" s="138"/>
      <c r="D19" s="171" t="s">
        <v>63</v>
      </c>
      <c r="E19" s="173"/>
      <c r="F19" s="68">
        <f>SUM(F15:F18)</f>
        <v>328838625351</v>
      </c>
      <c r="G19" s="60"/>
      <c r="H19" s="61">
        <f>SUM(H15:H18)</f>
        <v>220000000000</v>
      </c>
      <c r="I19" s="62">
        <f>SUM(I15:I18)</f>
        <v>9565217.3913043477</v>
      </c>
      <c r="J19" s="62"/>
      <c r="K19" s="63"/>
      <c r="L19" s="16"/>
    </row>
    <row r="20" spans="1:12" ht="30" hidden="1" customHeight="1" outlineLevel="1">
      <c r="A20" s="16"/>
      <c r="B20" s="158"/>
      <c r="C20" s="59"/>
      <c r="D20" s="171" t="s">
        <v>62</v>
      </c>
      <c r="E20" s="172" t="s">
        <v>60</v>
      </c>
      <c r="F20" s="173"/>
      <c r="G20" s="60"/>
      <c r="H20" s="61">
        <v>10000000000</v>
      </c>
      <c r="I20" s="62">
        <f t="shared" ref="I20" si="2">SUM(I16:I19)</f>
        <v>17434782.608695652</v>
      </c>
      <c r="J20" s="62"/>
      <c r="K20" s="63"/>
      <c r="L20" s="16"/>
    </row>
    <row r="21" spans="1:12" ht="30" hidden="1" customHeight="1" outlineLevel="1">
      <c r="A21" s="16"/>
      <c r="B21" s="158"/>
      <c r="C21" s="59"/>
      <c r="D21" s="171" t="s">
        <v>61</v>
      </c>
      <c r="E21" s="172"/>
      <c r="F21" s="173"/>
      <c r="G21" s="60"/>
      <c r="H21" s="61">
        <v>20000000000</v>
      </c>
      <c r="I21" s="62">
        <f>H21/23000</f>
        <v>869565.21739130432</v>
      </c>
      <c r="J21" s="62"/>
      <c r="K21" s="63"/>
      <c r="L21" s="16"/>
    </row>
    <row r="22" spans="1:12" ht="28.5" hidden="1" customHeight="1" outlineLevel="1">
      <c r="A22" s="16"/>
      <c r="B22" s="156"/>
      <c r="C22" s="148" t="s">
        <v>1</v>
      </c>
      <c r="D22" s="149"/>
      <c r="E22" s="149"/>
      <c r="F22" s="150"/>
      <c r="G22" s="64"/>
      <c r="H22" s="65">
        <f>SUM(H19:H21)</f>
        <v>250000000000</v>
      </c>
      <c r="I22" s="66">
        <f t="shared" si="1"/>
        <v>10869565.217391305</v>
      </c>
      <c r="J22" s="66"/>
      <c r="K22" s="67"/>
      <c r="L22" s="16"/>
    </row>
    <row r="23" spans="1:12" ht="6.75" hidden="1" customHeight="1" outlineLevel="1">
      <c r="K23" s="69">
        <f>I21/1000000</f>
        <v>0.86956521739130432</v>
      </c>
    </row>
    <row r="24" spans="1:12" ht="46.5" hidden="1" customHeight="1" outlineLevel="1">
      <c r="K24" s="69"/>
    </row>
    <row r="25" spans="1:12" ht="30" hidden="1" customHeight="1">
      <c r="A25" s="16"/>
      <c r="B25" s="180" t="s">
        <v>75</v>
      </c>
      <c r="C25" s="182" t="s">
        <v>1</v>
      </c>
      <c r="D25" s="183" t="s">
        <v>2</v>
      </c>
      <c r="E25" s="182" t="s">
        <v>3</v>
      </c>
      <c r="F25" s="182" t="s">
        <v>4</v>
      </c>
      <c r="G25" s="174" t="s">
        <v>5</v>
      </c>
      <c r="H25" s="176" t="s">
        <v>16</v>
      </c>
      <c r="I25" s="176" t="s">
        <v>17</v>
      </c>
      <c r="J25" s="102"/>
      <c r="K25" s="178" t="s">
        <v>12</v>
      </c>
      <c r="L25" s="16"/>
    </row>
    <row r="26" spans="1:12" hidden="1">
      <c r="A26" s="16"/>
      <c r="B26" s="181"/>
      <c r="C26" s="177"/>
      <c r="D26" s="183"/>
      <c r="E26" s="177"/>
      <c r="F26" s="177"/>
      <c r="G26" s="175"/>
      <c r="H26" s="177"/>
      <c r="I26" s="177"/>
      <c r="J26" s="103"/>
      <c r="K26" s="179"/>
      <c r="L26" s="16"/>
    </row>
    <row r="27" spans="1:12" ht="19.5" hidden="1" customHeight="1">
      <c r="A27" s="16"/>
      <c r="B27" s="157" t="s">
        <v>66</v>
      </c>
      <c r="C27" s="136">
        <f>SUM(I27:I30)</f>
        <v>10196078.431372549</v>
      </c>
      <c r="D27" s="159" t="s">
        <v>6</v>
      </c>
      <c r="E27" s="2" t="s">
        <v>7</v>
      </c>
      <c r="F27" s="3">
        <v>88599000000</v>
      </c>
      <c r="G27" s="70" t="s">
        <v>11</v>
      </c>
      <c r="H27" s="71">
        <v>28000000000</v>
      </c>
      <c r="I27" s="72">
        <f t="shared" ref="I27:I33" si="3">+H27/25500</f>
        <v>1098039.2156862745</v>
      </c>
      <c r="J27" s="72"/>
      <c r="K27" s="95"/>
      <c r="L27" s="16"/>
    </row>
    <row r="28" spans="1:12" ht="19.5" hidden="1" customHeight="1">
      <c r="A28" s="16"/>
      <c r="B28" s="158"/>
      <c r="C28" s="137"/>
      <c r="D28" s="160"/>
      <c r="E28" s="2" t="s">
        <v>8</v>
      </c>
      <c r="F28" s="3">
        <v>51994000000</v>
      </c>
      <c r="G28" s="73">
        <v>0.88</v>
      </c>
      <c r="H28" s="71">
        <v>46000000000</v>
      </c>
      <c r="I28" s="72">
        <f t="shared" si="3"/>
        <v>1803921.5686274511</v>
      </c>
      <c r="J28" s="72"/>
      <c r="K28" s="8"/>
      <c r="L28" s="16"/>
    </row>
    <row r="29" spans="1:12" ht="19.5" hidden="1" customHeight="1">
      <c r="A29" s="16"/>
      <c r="B29" s="158"/>
      <c r="C29" s="137"/>
      <c r="D29" s="160"/>
      <c r="E29" s="6" t="s">
        <v>9</v>
      </c>
      <c r="F29" s="3">
        <v>101117000000</v>
      </c>
      <c r="G29" s="73">
        <f>+H29/F29</f>
        <v>0.89994758547029674</v>
      </c>
      <c r="H29" s="71">
        <v>91000000000</v>
      </c>
      <c r="I29" s="72">
        <f t="shared" si="3"/>
        <v>3568627.4509803923</v>
      </c>
      <c r="J29" s="72"/>
      <c r="K29" s="8"/>
      <c r="L29" s="16"/>
    </row>
    <row r="30" spans="1:12" ht="45" hidden="1">
      <c r="A30" s="16"/>
      <c r="B30" s="158"/>
      <c r="C30" s="137"/>
      <c r="D30" s="161"/>
      <c r="E30" s="6" t="s">
        <v>10</v>
      </c>
      <c r="F30" s="12"/>
      <c r="G30" s="73"/>
      <c r="H30" s="71">
        <v>95000000000</v>
      </c>
      <c r="I30" s="72">
        <f t="shared" si="3"/>
        <v>3725490.1960784313</v>
      </c>
      <c r="J30" s="72"/>
      <c r="K30" s="13" t="s">
        <v>79</v>
      </c>
      <c r="L30" s="16"/>
    </row>
    <row r="31" spans="1:12" ht="30" hidden="1" customHeight="1">
      <c r="A31" s="16"/>
      <c r="B31" s="158"/>
      <c r="C31" s="138"/>
      <c r="D31" s="171" t="s">
        <v>63</v>
      </c>
      <c r="E31" s="173"/>
      <c r="F31" s="68">
        <f>SUM(F27:F30)</f>
        <v>241710000000</v>
      </c>
      <c r="G31" s="60"/>
      <c r="H31" s="61">
        <f>SUM(H27:H30)</f>
        <v>260000000000</v>
      </c>
      <c r="I31" s="62">
        <f t="shared" si="3"/>
        <v>10196078.431372549</v>
      </c>
      <c r="J31" s="62"/>
      <c r="K31" s="63"/>
      <c r="L31" s="16"/>
    </row>
    <row r="32" spans="1:12" ht="30" hidden="1" customHeight="1">
      <c r="A32" s="16"/>
      <c r="B32" s="158"/>
      <c r="C32" s="98">
        <f>I32</f>
        <v>784313.72549019603</v>
      </c>
      <c r="D32" s="171" t="s">
        <v>62</v>
      </c>
      <c r="E32" s="172" t="s">
        <v>60</v>
      </c>
      <c r="F32" s="173"/>
      <c r="G32" s="60"/>
      <c r="H32" s="61">
        <v>20000000000</v>
      </c>
      <c r="I32" s="62">
        <f t="shared" si="3"/>
        <v>784313.72549019603</v>
      </c>
      <c r="J32" s="62"/>
      <c r="K32" s="63"/>
      <c r="L32" s="16"/>
    </row>
    <row r="33" spans="1:14" ht="30" hidden="1" customHeight="1">
      <c r="A33" s="16"/>
      <c r="B33" s="158"/>
      <c r="C33" s="99">
        <f>I33</f>
        <v>784313.72549019603</v>
      </c>
      <c r="D33" s="171" t="s">
        <v>61</v>
      </c>
      <c r="E33" s="172"/>
      <c r="F33" s="173"/>
      <c r="G33" s="60"/>
      <c r="H33" s="61">
        <v>20000000000</v>
      </c>
      <c r="I33" s="62">
        <f t="shared" si="3"/>
        <v>784313.72549019603</v>
      </c>
      <c r="J33" s="62"/>
      <c r="K33" s="63"/>
      <c r="L33" s="16"/>
    </row>
    <row r="34" spans="1:14" ht="28.5" hidden="1" customHeight="1">
      <c r="A34" s="16"/>
      <c r="B34" s="156"/>
      <c r="C34" s="148" t="s">
        <v>1</v>
      </c>
      <c r="D34" s="149"/>
      <c r="E34" s="149"/>
      <c r="F34" s="150"/>
      <c r="G34" s="64"/>
      <c r="H34" s="65">
        <f>SUM(H31:H33)</f>
        <v>300000000000</v>
      </c>
      <c r="I34" s="96">
        <f>SUM(I31:I33)</f>
        <v>11764705.882352941</v>
      </c>
      <c r="J34" s="96"/>
      <c r="K34" s="67"/>
      <c r="L34" s="16"/>
    </row>
    <row r="35" spans="1:14" ht="30" hidden="1" customHeight="1">
      <c r="A35" s="16"/>
      <c r="B35" s="16"/>
      <c r="C35" s="16"/>
      <c r="D35" s="16"/>
      <c r="E35" s="16"/>
      <c r="F35" s="16"/>
      <c r="G35" s="16"/>
      <c r="H35" s="16"/>
      <c r="I35" s="16"/>
      <c r="J35" s="16"/>
      <c r="K35" s="16"/>
      <c r="L35" s="16"/>
      <c r="M35" s="16"/>
      <c r="N35" s="16"/>
    </row>
    <row r="36" spans="1:14" ht="30" hidden="1" customHeight="1" collapsed="1">
      <c r="A36" s="16"/>
      <c r="B36" s="180" t="s">
        <v>76</v>
      </c>
      <c r="C36" s="182" t="s">
        <v>1</v>
      </c>
      <c r="D36" s="183" t="s">
        <v>2</v>
      </c>
      <c r="E36" s="182" t="s">
        <v>3</v>
      </c>
      <c r="F36" s="182" t="s">
        <v>4</v>
      </c>
      <c r="G36" s="174" t="s">
        <v>5</v>
      </c>
      <c r="H36" s="176" t="s">
        <v>16</v>
      </c>
      <c r="I36" s="176" t="s">
        <v>17</v>
      </c>
      <c r="J36" s="102"/>
      <c r="K36" s="178" t="s">
        <v>82</v>
      </c>
      <c r="L36" s="16"/>
    </row>
    <row r="37" spans="1:14" hidden="1">
      <c r="A37" s="16"/>
      <c r="B37" s="181"/>
      <c r="C37" s="177"/>
      <c r="D37" s="183"/>
      <c r="E37" s="177"/>
      <c r="F37" s="177"/>
      <c r="G37" s="175"/>
      <c r="H37" s="177"/>
      <c r="I37" s="177"/>
      <c r="J37" s="103"/>
      <c r="K37" s="179"/>
      <c r="L37" s="16"/>
    </row>
    <row r="38" spans="1:14" ht="19.5" hidden="1" customHeight="1">
      <c r="A38" s="16"/>
      <c r="B38" s="157" t="s">
        <v>77</v>
      </c>
      <c r="C38" s="136">
        <f>SUM(I38:I41)</f>
        <v>10196078.431372549</v>
      </c>
      <c r="D38" s="159" t="s">
        <v>6</v>
      </c>
      <c r="E38" s="2" t="s">
        <v>7</v>
      </c>
      <c r="F38" s="3">
        <v>85110998532.280609</v>
      </c>
      <c r="G38" s="70" t="s">
        <v>78</v>
      </c>
      <c r="H38" s="71">
        <v>16000000000</v>
      </c>
      <c r="I38" s="72">
        <f>+H38/25500</f>
        <v>627450.98039215687</v>
      </c>
      <c r="J38" s="72"/>
      <c r="K38" s="95"/>
      <c r="L38" s="16"/>
    </row>
    <row r="39" spans="1:14" ht="19.5" hidden="1" customHeight="1">
      <c r="A39" s="16"/>
      <c r="B39" s="158"/>
      <c r="C39" s="137"/>
      <c r="D39" s="160"/>
      <c r="E39" s="2" t="s">
        <v>8</v>
      </c>
      <c r="F39" s="3">
        <v>57402000000</v>
      </c>
      <c r="G39" s="73">
        <f>+H39/F39</f>
        <v>0.88847078499007004</v>
      </c>
      <c r="H39" s="71">
        <v>51000000000</v>
      </c>
      <c r="I39" s="72">
        <f t="shared" ref="I39:I44" si="4">+H39/25500</f>
        <v>2000000</v>
      </c>
      <c r="J39" s="72"/>
      <c r="K39" s="8"/>
      <c r="L39" s="16"/>
    </row>
    <row r="40" spans="1:14" ht="19.5" hidden="1" customHeight="1">
      <c r="A40" s="16"/>
      <c r="B40" s="158"/>
      <c r="C40" s="137"/>
      <c r="D40" s="160"/>
      <c r="E40" s="6" t="s">
        <v>9</v>
      </c>
      <c r="F40" s="3">
        <v>104227000000</v>
      </c>
      <c r="G40" s="73">
        <f>+H40/F40</f>
        <v>0.89228318957659725</v>
      </c>
      <c r="H40" s="71">
        <v>93000000000</v>
      </c>
      <c r="I40" s="72">
        <f t="shared" si="4"/>
        <v>3647058.8235294116</v>
      </c>
      <c r="J40" s="72"/>
      <c r="K40" s="94"/>
      <c r="L40" s="16"/>
    </row>
    <row r="41" spans="1:14" ht="45" hidden="1">
      <c r="A41" s="16"/>
      <c r="B41" s="158"/>
      <c r="C41" s="137"/>
      <c r="D41" s="161"/>
      <c r="E41" s="6" t="s">
        <v>10</v>
      </c>
      <c r="F41" s="12"/>
      <c r="G41" s="73"/>
      <c r="H41" s="71">
        <v>100000000000</v>
      </c>
      <c r="I41" s="72">
        <f t="shared" si="4"/>
        <v>3921568.6274509802</v>
      </c>
      <c r="J41" s="72"/>
      <c r="K41" s="13" t="s">
        <v>84</v>
      </c>
      <c r="L41" s="16"/>
    </row>
    <row r="42" spans="1:14" ht="30" hidden="1" customHeight="1">
      <c r="A42" s="16"/>
      <c r="B42" s="158"/>
      <c r="C42" s="138"/>
      <c r="D42" s="171" t="s">
        <v>63</v>
      </c>
      <c r="E42" s="173"/>
      <c r="F42" s="68">
        <f>SUM(F38:F41)</f>
        <v>246739998532.28061</v>
      </c>
      <c r="G42" s="60"/>
      <c r="H42" s="61">
        <f>SUM(H38:H41)</f>
        <v>260000000000</v>
      </c>
      <c r="I42" s="62">
        <f t="shared" si="4"/>
        <v>10196078.431372549</v>
      </c>
      <c r="J42" s="62"/>
      <c r="K42" s="63" t="s">
        <v>80</v>
      </c>
      <c r="L42" s="16"/>
    </row>
    <row r="43" spans="1:14" ht="30" hidden="1" customHeight="1">
      <c r="A43" s="16"/>
      <c r="B43" s="158"/>
      <c r="C43" s="98">
        <f>I43</f>
        <v>1372549.0196078431</v>
      </c>
      <c r="D43" s="184" t="s">
        <v>81</v>
      </c>
      <c r="E43" s="185" t="s">
        <v>60</v>
      </c>
      <c r="F43" s="186"/>
      <c r="G43" s="60"/>
      <c r="H43" s="61">
        <v>35000000000</v>
      </c>
      <c r="I43" s="62">
        <f t="shared" si="4"/>
        <v>1372549.0196078431</v>
      </c>
      <c r="J43" s="62"/>
      <c r="K43" s="63" t="s">
        <v>83</v>
      </c>
      <c r="L43" s="16"/>
    </row>
    <row r="44" spans="1:14" ht="30" hidden="1" customHeight="1">
      <c r="A44" s="16"/>
      <c r="B44" s="158"/>
      <c r="C44" s="99">
        <f>I44</f>
        <v>784313.72549019603</v>
      </c>
      <c r="D44" s="171" t="s">
        <v>61</v>
      </c>
      <c r="E44" s="172"/>
      <c r="F44" s="173"/>
      <c r="G44" s="60"/>
      <c r="H44" s="61">
        <v>20000000000</v>
      </c>
      <c r="I44" s="62">
        <f t="shared" si="4"/>
        <v>784313.72549019603</v>
      </c>
      <c r="J44" s="62"/>
      <c r="K44" s="63" t="s">
        <v>80</v>
      </c>
      <c r="L44" s="16"/>
    </row>
    <row r="45" spans="1:14" ht="28.5" hidden="1" customHeight="1">
      <c r="A45" s="16"/>
      <c r="B45" s="156"/>
      <c r="C45" s="148" t="s">
        <v>1</v>
      </c>
      <c r="D45" s="149"/>
      <c r="E45" s="149"/>
      <c r="F45" s="150"/>
      <c r="G45" s="64"/>
      <c r="H45" s="65">
        <f>SUM(H42:H44)</f>
        <v>315000000000</v>
      </c>
      <c r="I45" s="96">
        <f>+H45/25500</f>
        <v>12352941.176470589</v>
      </c>
      <c r="J45" s="96"/>
      <c r="K45" s="97"/>
      <c r="L45" s="16"/>
    </row>
    <row r="46" spans="1:14">
      <c r="A46" s="16"/>
      <c r="B46" s="16"/>
      <c r="C46" s="16"/>
      <c r="D46" s="16"/>
      <c r="E46" s="16"/>
      <c r="F46" s="16"/>
      <c r="G46" s="16"/>
      <c r="H46" s="16"/>
      <c r="I46" s="16"/>
      <c r="J46" s="16"/>
      <c r="K46" s="16"/>
      <c r="L46" s="16"/>
      <c r="M46" s="16">
        <v>2024</v>
      </c>
      <c r="N46" s="16"/>
    </row>
    <row r="47" spans="1:14" ht="30" customHeight="1" collapsed="1">
      <c r="A47" s="16"/>
      <c r="B47" s="151" t="s">
        <v>85</v>
      </c>
      <c r="C47" s="153" t="s">
        <v>1</v>
      </c>
      <c r="D47" s="154" t="s">
        <v>2</v>
      </c>
      <c r="E47" s="153" t="s">
        <v>3</v>
      </c>
      <c r="F47" s="129" t="s">
        <v>86</v>
      </c>
      <c r="G47" s="127" t="s">
        <v>5</v>
      </c>
      <c r="H47" s="129" t="s">
        <v>87</v>
      </c>
      <c r="I47" s="129" t="s">
        <v>88</v>
      </c>
      <c r="J47" s="118" t="s">
        <v>91</v>
      </c>
      <c r="K47" s="131" t="s">
        <v>82</v>
      </c>
      <c r="L47" s="122" t="s">
        <v>95</v>
      </c>
    </row>
    <row r="48" spans="1:14" ht="25.5" customHeight="1">
      <c r="A48" s="16"/>
      <c r="B48" s="152"/>
      <c r="C48" s="130"/>
      <c r="D48" s="154"/>
      <c r="E48" s="130"/>
      <c r="F48" s="130"/>
      <c r="G48" s="128"/>
      <c r="H48" s="130"/>
      <c r="I48" s="130"/>
      <c r="J48" s="119"/>
      <c r="K48" s="132"/>
      <c r="L48" s="123"/>
    </row>
    <row r="49" spans="1:15" ht="69" customHeight="1">
      <c r="A49" s="16"/>
      <c r="B49" s="133" t="s">
        <v>96</v>
      </c>
      <c r="C49" s="136">
        <f>SUM(I49:I52)</f>
        <v>10692307.692307692</v>
      </c>
      <c r="D49" s="139" t="s">
        <v>6</v>
      </c>
      <c r="E49" s="110" t="s">
        <v>7</v>
      </c>
      <c r="F49" s="111">
        <f>10416000000+50783000000</f>
        <v>61199000000</v>
      </c>
      <c r="G49" s="105" t="s">
        <v>78</v>
      </c>
      <c r="H49" s="106">
        <v>5000000000</v>
      </c>
      <c r="I49" s="107">
        <f>+H49/26000</f>
        <v>192307.69230769231</v>
      </c>
      <c r="J49" s="120">
        <f>+I49-I38</f>
        <v>-435143.28808446456</v>
      </c>
      <c r="K49" s="104" t="s">
        <v>90</v>
      </c>
      <c r="L49" s="124" t="s">
        <v>98</v>
      </c>
    </row>
    <row r="50" spans="1:15" ht="19.5" customHeight="1">
      <c r="A50" s="16"/>
      <c r="B50" s="134"/>
      <c r="C50" s="137"/>
      <c r="D50" s="140"/>
      <c r="E50" s="110" t="s">
        <v>8</v>
      </c>
      <c r="F50" s="112">
        <v>57090000000</v>
      </c>
      <c r="G50" s="73">
        <f>+H50/F50</f>
        <v>0.89332632685233837</v>
      </c>
      <c r="H50" s="71">
        <v>51000000000</v>
      </c>
      <c r="I50" s="72">
        <f>+H50/26000</f>
        <v>1961538.4615384615</v>
      </c>
      <c r="J50" s="120">
        <f t="shared" ref="J50:J56" si="5">+I50-I39</f>
        <v>-38461.538461538497</v>
      </c>
      <c r="K50" s="113" t="s">
        <v>92</v>
      </c>
      <c r="L50" s="125"/>
    </row>
    <row r="51" spans="1:15" ht="19.5" customHeight="1">
      <c r="A51" s="16"/>
      <c r="B51" s="134"/>
      <c r="C51" s="137"/>
      <c r="D51" s="140"/>
      <c r="E51" s="114" t="s">
        <v>9</v>
      </c>
      <c r="F51" s="112">
        <v>135876000000</v>
      </c>
      <c r="G51" s="73">
        <f>+H51/F51</f>
        <v>0.89787747652271188</v>
      </c>
      <c r="H51" s="71">
        <v>122000000000</v>
      </c>
      <c r="I51" s="72">
        <f>+H51/26000</f>
        <v>4692307.692307692</v>
      </c>
      <c r="J51" s="120">
        <f t="shared" si="5"/>
        <v>1045248.8687782804</v>
      </c>
      <c r="K51" s="94" t="s">
        <v>93</v>
      </c>
      <c r="L51" s="125"/>
      <c r="O51" s="18"/>
    </row>
    <row r="52" spans="1:15" ht="98.25" customHeight="1">
      <c r="A52" s="16"/>
      <c r="B52" s="134"/>
      <c r="C52" s="137"/>
      <c r="D52" s="141"/>
      <c r="E52" s="114" t="s">
        <v>10</v>
      </c>
      <c r="F52" s="12"/>
      <c r="G52" s="73"/>
      <c r="H52" s="106">
        <v>100000000000</v>
      </c>
      <c r="I52" s="107">
        <f>+H52/26000</f>
        <v>3846153.846153846</v>
      </c>
      <c r="J52" s="120">
        <f t="shared" si="5"/>
        <v>-75414.781297134236</v>
      </c>
      <c r="K52" s="117" t="s">
        <v>97</v>
      </c>
      <c r="L52" s="126"/>
      <c r="O52" s="18"/>
    </row>
    <row r="53" spans="1:15" ht="30" customHeight="1">
      <c r="A53" s="16"/>
      <c r="B53" s="134"/>
      <c r="C53" s="138"/>
      <c r="D53" s="142" t="s">
        <v>63</v>
      </c>
      <c r="E53" s="143"/>
      <c r="F53" s="115">
        <f>SUM(F49:F52)</f>
        <v>254165000000</v>
      </c>
      <c r="G53" s="60"/>
      <c r="H53" s="61">
        <f>SUM(H49:H52)</f>
        <v>278000000000</v>
      </c>
      <c r="I53" s="62">
        <f>SUM(I49:I52)</f>
        <v>10692307.692307692</v>
      </c>
      <c r="J53" s="120">
        <f t="shared" si="5"/>
        <v>496229.26093514264</v>
      </c>
      <c r="K53" s="116" t="s">
        <v>89</v>
      </c>
      <c r="L53" s="116"/>
      <c r="O53" s="18"/>
    </row>
    <row r="54" spans="1:15" ht="30" customHeight="1">
      <c r="A54" s="16"/>
      <c r="B54" s="134"/>
      <c r="C54" s="98">
        <f>I54</f>
        <v>384615.38461538462</v>
      </c>
      <c r="D54" s="144" t="s">
        <v>81</v>
      </c>
      <c r="E54" s="145" t="s">
        <v>60</v>
      </c>
      <c r="F54" s="146"/>
      <c r="G54" s="60"/>
      <c r="H54" s="61">
        <v>10000000000</v>
      </c>
      <c r="I54" s="62">
        <f>H54/26000</f>
        <v>384615.38461538462</v>
      </c>
      <c r="J54" s="120">
        <f t="shared" si="5"/>
        <v>-987933.63499245851</v>
      </c>
      <c r="K54" s="116" t="s">
        <v>94</v>
      </c>
      <c r="L54" s="116"/>
      <c r="O54" s="18">
        <v>20529283907</v>
      </c>
    </row>
    <row r="55" spans="1:15" ht="30" customHeight="1">
      <c r="A55" s="16"/>
      <c r="B55" s="134"/>
      <c r="C55" s="99">
        <f>I55</f>
        <v>769230.76923076925</v>
      </c>
      <c r="D55" s="142" t="s">
        <v>61</v>
      </c>
      <c r="E55" s="147"/>
      <c r="F55" s="143"/>
      <c r="G55" s="60"/>
      <c r="H55" s="61">
        <v>20000000000</v>
      </c>
      <c r="I55" s="62">
        <f>H55/26000</f>
        <v>769230.76923076925</v>
      </c>
      <c r="J55" s="120">
        <f t="shared" si="5"/>
        <v>-15082.956259426777</v>
      </c>
      <c r="K55" s="116" t="s">
        <v>92</v>
      </c>
      <c r="L55" s="116"/>
      <c r="O55" s="69">
        <f>+O54/26000</f>
        <v>789587.84257692308</v>
      </c>
    </row>
    <row r="56" spans="1:15" ht="28.5" customHeight="1">
      <c r="A56" s="16"/>
      <c r="B56" s="135"/>
      <c r="C56" s="148" t="s">
        <v>1</v>
      </c>
      <c r="D56" s="149"/>
      <c r="E56" s="149"/>
      <c r="F56" s="150"/>
      <c r="G56" s="64"/>
      <c r="H56" s="108">
        <f>SUM(H53:H55)</f>
        <v>308000000000</v>
      </c>
      <c r="I56" s="109">
        <f>+H56/26000</f>
        <v>11846153.846153846</v>
      </c>
      <c r="J56" s="121">
        <f t="shared" si="5"/>
        <v>-506787.33031674288</v>
      </c>
      <c r="K56" s="97"/>
      <c r="L56" s="97"/>
    </row>
    <row r="57" spans="1:15">
      <c r="A57" s="16"/>
      <c r="B57" s="16"/>
      <c r="C57" s="16"/>
      <c r="D57" s="16"/>
      <c r="E57" s="16"/>
      <c r="F57" s="16"/>
      <c r="G57" s="16"/>
      <c r="H57" s="16"/>
      <c r="I57" s="16"/>
      <c r="J57" s="16"/>
      <c r="K57" s="16"/>
      <c r="L57" s="16"/>
      <c r="M57" s="16" t="s">
        <v>123</v>
      </c>
      <c r="N57" s="16"/>
    </row>
    <row r="58" spans="1:15" ht="30" customHeight="1" collapsed="1">
      <c r="A58" s="16"/>
      <c r="B58" s="151" t="s">
        <v>99</v>
      </c>
      <c r="C58" s="153" t="s">
        <v>1</v>
      </c>
      <c r="D58" s="154" t="s">
        <v>2</v>
      </c>
      <c r="E58" s="153" t="s">
        <v>3</v>
      </c>
      <c r="F58" s="129" t="s">
        <v>86</v>
      </c>
      <c r="G58" s="127" t="s">
        <v>5</v>
      </c>
      <c r="H58" s="129" t="s">
        <v>87</v>
      </c>
      <c r="I58" s="129" t="s">
        <v>88</v>
      </c>
      <c r="J58" s="118" t="s">
        <v>91</v>
      </c>
      <c r="K58" s="131" t="s">
        <v>82</v>
      </c>
      <c r="L58" s="122" t="s">
        <v>100</v>
      </c>
    </row>
    <row r="59" spans="1:15" ht="25.5" customHeight="1">
      <c r="A59" s="16"/>
      <c r="B59" s="152"/>
      <c r="C59" s="130"/>
      <c r="D59" s="154"/>
      <c r="E59" s="130"/>
      <c r="F59" s="130"/>
      <c r="G59" s="128"/>
      <c r="H59" s="130"/>
      <c r="I59" s="130"/>
      <c r="J59" s="119"/>
      <c r="K59" s="132"/>
      <c r="L59" s="123"/>
    </row>
    <row r="60" spans="1:15" ht="69" customHeight="1">
      <c r="A60" s="16"/>
      <c r="B60" s="133" t="s">
        <v>106</v>
      </c>
      <c r="C60" s="136">
        <f>SUM(I60:I63)</f>
        <v>10692307.692307692</v>
      </c>
      <c r="D60" s="139" t="s">
        <v>6</v>
      </c>
      <c r="E60" s="110" t="s">
        <v>7</v>
      </c>
      <c r="F60" s="111">
        <f>45994000000+40312000000</f>
        <v>86306000000</v>
      </c>
      <c r="G60" s="105" t="s">
        <v>11</v>
      </c>
      <c r="H60" s="106">
        <v>23000000000</v>
      </c>
      <c r="I60" s="107">
        <f>+H60/26000</f>
        <v>884615.38461538462</v>
      </c>
      <c r="J60" s="120">
        <f>+I60-I49</f>
        <v>692307.69230769225</v>
      </c>
      <c r="K60" s="104" t="s">
        <v>122</v>
      </c>
      <c r="L60" s="124" t="s">
        <v>124</v>
      </c>
    </row>
    <row r="61" spans="1:15" ht="19.5" customHeight="1">
      <c r="A61" s="16"/>
      <c r="B61" s="134"/>
      <c r="C61" s="137"/>
      <c r="D61" s="140"/>
      <c r="E61" s="110" t="s">
        <v>8</v>
      </c>
      <c r="F61" s="112">
        <v>65157000000</v>
      </c>
      <c r="G61" s="73">
        <f>+H61/F61</f>
        <v>0.82876743864818825</v>
      </c>
      <c r="H61" s="71">
        <v>54000000000</v>
      </c>
      <c r="I61" s="72">
        <f>+H61/26000</f>
        <v>2076923.076923077</v>
      </c>
      <c r="J61" s="120">
        <f t="shared" ref="J61:J67" si="6">+I61-I50</f>
        <v>115384.61538461549</v>
      </c>
      <c r="K61" s="113" t="s">
        <v>102</v>
      </c>
      <c r="L61" s="125"/>
    </row>
    <row r="62" spans="1:15" ht="19.5" customHeight="1">
      <c r="A62" s="16"/>
      <c r="B62" s="134"/>
      <c r="C62" s="137"/>
      <c r="D62" s="140"/>
      <c r="E62" s="114" t="s">
        <v>9</v>
      </c>
      <c r="F62" s="112">
        <v>133247000000</v>
      </c>
      <c r="G62" s="73">
        <f>+H62/F62</f>
        <v>0.89307826817864566</v>
      </c>
      <c r="H62" s="71">
        <v>119000000000</v>
      </c>
      <c r="I62" s="72">
        <f>+H62/26000</f>
        <v>4576923.076923077</v>
      </c>
      <c r="J62" s="120">
        <f t="shared" si="6"/>
        <v>-115384.61538461503</v>
      </c>
      <c r="K62" s="94" t="s">
        <v>101</v>
      </c>
      <c r="L62" s="125"/>
      <c r="O62" s="18"/>
    </row>
    <row r="63" spans="1:15" ht="98.25" customHeight="1">
      <c r="A63" s="16"/>
      <c r="B63" s="134"/>
      <c r="C63" s="137"/>
      <c r="D63" s="141"/>
      <c r="E63" s="114" t="s">
        <v>10</v>
      </c>
      <c r="F63" s="12"/>
      <c r="G63" s="73"/>
      <c r="H63" s="106">
        <v>82000000000</v>
      </c>
      <c r="I63" s="107">
        <f>+H63/26000</f>
        <v>3153846.153846154</v>
      </c>
      <c r="J63" s="120">
        <f t="shared" si="6"/>
        <v>-692307.69230769202</v>
      </c>
      <c r="K63" s="117" t="s">
        <v>103</v>
      </c>
      <c r="L63" s="126"/>
      <c r="O63" s="18"/>
    </row>
    <row r="64" spans="1:15" ht="30" customHeight="1">
      <c r="A64" s="16"/>
      <c r="B64" s="134"/>
      <c r="C64" s="138"/>
      <c r="D64" s="142" t="s">
        <v>63</v>
      </c>
      <c r="E64" s="143"/>
      <c r="F64" s="115">
        <f>SUM(F60:F63)</f>
        <v>284710000000</v>
      </c>
      <c r="G64" s="60"/>
      <c r="H64" s="61">
        <f>SUM(H60:H63)</f>
        <v>278000000000</v>
      </c>
      <c r="I64" s="62">
        <f>SUM(I60:I63)</f>
        <v>10692307.692307692</v>
      </c>
      <c r="J64" s="120">
        <f t="shared" si="6"/>
        <v>0</v>
      </c>
      <c r="K64" s="116" t="s">
        <v>92</v>
      </c>
      <c r="L64" s="116"/>
      <c r="O64" s="18"/>
    </row>
    <row r="65" spans="1:15" ht="30" customHeight="1">
      <c r="A65" s="16"/>
      <c r="B65" s="134"/>
      <c r="C65" s="98">
        <f>I65</f>
        <v>692307.69230769225</v>
      </c>
      <c r="D65" s="144" t="s">
        <v>81</v>
      </c>
      <c r="E65" s="145" t="s">
        <v>60</v>
      </c>
      <c r="F65" s="146"/>
      <c r="G65" s="60"/>
      <c r="H65" s="61">
        <v>18000000000</v>
      </c>
      <c r="I65" s="62">
        <f>H65/26000</f>
        <v>692307.69230769225</v>
      </c>
      <c r="J65" s="120">
        <f t="shared" si="6"/>
        <v>307692.30769230763</v>
      </c>
      <c r="K65" s="116" t="s">
        <v>104</v>
      </c>
      <c r="L65" s="116"/>
      <c r="O65" s="18"/>
    </row>
    <row r="66" spans="1:15" ht="30" customHeight="1">
      <c r="A66" s="16"/>
      <c r="B66" s="134"/>
      <c r="C66" s="99">
        <f>I66</f>
        <v>1538461.5384615385</v>
      </c>
      <c r="D66" s="142" t="s">
        <v>61</v>
      </c>
      <c r="E66" s="147"/>
      <c r="F66" s="143"/>
      <c r="G66" s="60"/>
      <c r="H66" s="61">
        <v>40000000000</v>
      </c>
      <c r="I66" s="62">
        <f>H66/26000</f>
        <v>1538461.5384615385</v>
      </c>
      <c r="J66" s="120">
        <f t="shared" si="6"/>
        <v>769230.76923076925</v>
      </c>
      <c r="K66" s="116" t="s">
        <v>105</v>
      </c>
      <c r="L66" s="116"/>
    </row>
    <row r="67" spans="1:15" ht="30" customHeight="1">
      <c r="A67" s="16"/>
      <c r="B67" s="134"/>
      <c r="C67" s="99">
        <f>I67</f>
        <v>384615.38461538462</v>
      </c>
      <c r="D67" s="147" t="s">
        <v>120</v>
      </c>
      <c r="E67" s="147"/>
      <c r="F67" s="143"/>
      <c r="G67" s="60"/>
      <c r="H67" s="61">
        <v>10000000000</v>
      </c>
      <c r="I67" s="62">
        <f>H67/26000</f>
        <v>384615.38461538462</v>
      </c>
      <c r="J67" s="120">
        <f>+I67</f>
        <v>384615.38461538462</v>
      </c>
      <c r="K67" s="116" t="s">
        <v>121</v>
      </c>
      <c r="L67" s="116"/>
    </row>
    <row r="68" spans="1:15" ht="28.5" customHeight="1">
      <c r="A68" s="16"/>
      <c r="B68" s="135"/>
      <c r="C68" s="148" t="s">
        <v>1</v>
      </c>
      <c r="D68" s="149"/>
      <c r="E68" s="149"/>
      <c r="F68" s="150"/>
      <c r="G68" s="64"/>
      <c r="H68" s="108">
        <f>SUM(H64:H67)</f>
        <v>346000000000</v>
      </c>
      <c r="I68" s="109">
        <f>+H68/26000</f>
        <v>13307692.307692308</v>
      </c>
      <c r="J68" s="121">
        <f>+I68-I56</f>
        <v>1461538.461538462</v>
      </c>
      <c r="K68" s="97"/>
      <c r="L68" s="97"/>
    </row>
  </sheetData>
  <mergeCells count="97">
    <mergeCell ref="B60:B68"/>
    <mergeCell ref="C60:C64"/>
    <mergeCell ref="D60:D63"/>
    <mergeCell ref="L60:L63"/>
    <mergeCell ref="D64:E64"/>
    <mergeCell ref="D65:F65"/>
    <mergeCell ref="D66:F66"/>
    <mergeCell ref="C68:F68"/>
    <mergeCell ref="D67:F67"/>
    <mergeCell ref="G58:G59"/>
    <mergeCell ref="H58:H59"/>
    <mergeCell ref="I58:I59"/>
    <mergeCell ref="K58:K59"/>
    <mergeCell ref="L58:L59"/>
    <mergeCell ref="B58:B59"/>
    <mergeCell ref="C58:C59"/>
    <mergeCell ref="D58:D59"/>
    <mergeCell ref="E58:E59"/>
    <mergeCell ref="F58:F59"/>
    <mergeCell ref="G36:G37"/>
    <mergeCell ref="H36:H37"/>
    <mergeCell ref="I36:I37"/>
    <mergeCell ref="K36:K37"/>
    <mergeCell ref="B38:B45"/>
    <mergeCell ref="C38:C42"/>
    <mergeCell ref="D38:D41"/>
    <mergeCell ref="D42:E42"/>
    <mergeCell ref="D43:F43"/>
    <mergeCell ref="D44:F44"/>
    <mergeCell ref="C45:F45"/>
    <mergeCell ref="B36:B37"/>
    <mergeCell ref="C36:C37"/>
    <mergeCell ref="D36:D37"/>
    <mergeCell ref="E36:E37"/>
    <mergeCell ref="F36:F37"/>
    <mergeCell ref="G25:G26"/>
    <mergeCell ref="H25:H26"/>
    <mergeCell ref="I25:I26"/>
    <mergeCell ref="K25:K26"/>
    <mergeCell ref="B27:B34"/>
    <mergeCell ref="C27:C31"/>
    <mergeCell ref="D27:D30"/>
    <mergeCell ref="D31:E31"/>
    <mergeCell ref="D32:F32"/>
    <mergeCell ref="D33:F33"/>
    <mergeCell ref="C34:F34"/>
    <mergeCell ref="B25:B26"/>
    <mergeCell ref="C25:C26"/>
    <mergeCell ref="D25:D26"/>
    <mergeCell ref="E25:E26"/>
    <mergeCell ref="F25:F26"/>
    <mergeCell ref="H13:H14"/>
    <mergeCell ref="I13:I14"/>
    <mergeCell ref="K13:K14"/>
    <mergeCell ref="F13:F14"/>
    <mergeCell ref="G13:G14"/>
    <mergeCell ref="B15:B22"/>
    <mergeCell ref="D15:D18"/>
    <mergeCell ref="C13:C14"/>
    <mergeCell ref="D13:D14"/>
    <mergeCell ref="E13:E14"/>
    <mergeCell ref="B13:B14"/>
    <mergeCell ref="C15:C19"/>
    <mergeCell ref="D20:F20"/>
    <mergeCell ref="D21:F21"/>
    <mergeCell ref="D19:E19"/>
    <mergeCell ref="C22:F22"/>
    <mergeCell ref="K4:K5"/>
    <mergeCell ref="B6:B10"/>
    <mergeCell ref="C6:C10"/>
    <mergeCell ref="D6:D9"/>
    <mergeCell ref="G4:G5"/>
    <mergeCell ref="H4:H5"/>
    <mergeCell ref="B4:B5"/>
    <mergeCell ref="C4:C5"/>
    <mergeCell ref="D4:D5"/>
    <mergeCell ref="E4:E5"/>
    <mergeCell ref="F4:F5"/>
    <mergeCell ref="I4:I5"/>
    <mergeCell ref="B47:B48"/>
    <mergeCell ref="C47:C48"/>
    <mergeCell ref="D47:D48"/>
    <mergeCell ref="E47:E48"/>
    <mergeCell ref="F47:F48"/>
    <mergeCell ref="B49:B56"/>
    <mergeCell ref="C49:C53"/>
    <mergeCell ref="D49:D52"/>
    <mergeCell ref="D53:E53"/>
    <mergeCell ref="D54:F54"/>
    <mergeCell ref="D55:F55"/>
    <mergeCell ref="C56:F56"/>
    <mergeCell ref="L47:L48"/>
    <mergeCell ref="L49:L52"/>
    <mergeCell ref="G47:G48"/>
    <mergeCell ref="H47:H48"/>
    <mergeCell ref="I47:I48"/>
    <mergeCell ref="K47:K48"/>
  </mergeCells>
  <pageMargins left="0.7" right="0.7" top="0.75" bottom="0.75" header="0.3" footer="0.3"/>
  <pageSetup paperSize="9" orientation="landscape"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11"/>
  <sheetViews>
    <sheetView workbookViewId="0">
      <pane xSplit="2" ySplit="3" topLeftCell="C4" activePane="bottomRight" state="frozen"/>
      <selection pane="topRight" activeCell="C1" sqref="C1"/>
      <selection pane="bottomLeft" activeCell="A2" sqref="A2"/>
      <selection pane="bottomRight" activeCell="E19" sqref="E19"/>
    </sheetView>
  </sheetViews>
  <sheetFormatPr defaultRowHeight="15"/>
  <cols>
    <col min="2" max="2" width="22.28515625" customWidth="1"/>
    <col min="3" max="4" width="24.7109375" customWidth="1"/>
    <col min="5" max="5" width="24.7109375" style="86" customWidth="1"/>
    <col min="6" max="6" width="102.28515625" customWidth="1"/>
  </cols>
  <sheetData>
    <row r="2" spans="1:6">
      <c r="A2" s="244" t="s">
        <v>119</v>
      </c>
    </row>
    <row r="3" spans="1:6">
      <c r="A3" s="204" t="s">
        <v>107</v>
      </c>
      <c r="B3" s="204" t="s">
        <v>108</v>
      </c>
      <c r="C3" s="205" t="s">
        <v>109</v>
      </c>
      <c r="D3" s="205" t="s">
        <v>110</v>
      </c>
      <c r="E3" s="236" t="s">
        <v>118</v>
      </c>
      <c r="F3" s="206" t="s">
        <v>111</v>
      </c>
    </row>
    <row r="4" spans="1:6">
      <c r="A4" s="207" t="s">
        <v>112</v>
      </c>
      <c r="B4" s="208" t="s">
        <v>125</v>
      </c>
      <c r="C4" s="209">
        <f>SUM(C5:C7)</f>
        <v>424402776385.12402</v>
      </c>
      <c r="D4" s="209">
        <f>SUM(D5:D7)</f>
        <v>363647346854.79248</v>
      </c>
      <c r="E4" s="237">
        <f>SUM(E5:E7)</f>
        <v>60755429530.331551</v>
      </c>
      <c r="F4" s="210"/>
    </row>
    <row r="5" spans="1:6">
      <c r="A5" s="211">
        <v>1</v>
      </c>
      <c r="B5" s="212" t="s">
        <v>128</v>
      </c>
      <c r="C5" s="213">
        <v>330418307086.05005</v>
      </c>
      <c r="D5" s="214">
        <v>290558598323.91003</v>
      </c>
      <c r="E5" s="238">
        <v>39859708762.140015</v>
      </c>
      <c r="F5" s="215" t="s">
        <v>113</v>
      </c>
    </row>
    <row r="6" spans="1:6" ht="20.25" customHeight="1">
      <c r="A6" s="216">
        <v>2</v>
      </c>
      <c r="B6" s="217" t="s">
        <v>127</v>
      </c>
      <c r="C6" s="218">
        <v>10611432652.799999</v>
      </c>
      <c r="D6" s="219">
        <v>4632228697.1200008</v>
      </c>
      <c r="E6" s="239">
        <v>5979203955.6799984</v>
      </c>
      <c r="F6" s="215" t="s">
        <v>114</v>
      </c>
    </row>
    <row r="7" spans="1:6" ht="46.5" customHeight="1">
      <c r="A7" s="220">
        <v>3</v>
      </c>
      <c r="B7" s="221" t="s">
        <v>126</v>
      </c>
      <c r="C7" s="222">
        <v>83373036646.273987</v>
      </c>
      <c r="D7" s="223">
        <v>68456519833.762451</v>
      </c>
      <c r="E7" s="240">
        <v>14916516812.511536</v>
      </c>
      <c r="F7" s="224" t="s">
        <v>115</v>
      </c>
    </row>
    <row r="8" spans="1:6">
      <c r="A8" s="225" t="s">
        <v>116</v>
      </c>
      <c r="B8" s="226" t="s">
        <v>129</v>
      </c>
      <c r="C8" s="227">
        <v>66772889183</v>
      </c>
      <c r="D8" s="228">
        <v>66762280407</v>
      </c>
      <c r="E8" s="241">
        <v>10608776</v>
      </c>
    </row>
    <row r="9" spans="1:6">
      <c r="A9" s="229" t="s">
        <v>117</v>
      </c>
      <c r="B9" s="230" t="s">
        <v>130</v>
      </c>
      <c r="C9" s="231">
        <v>111696747623.662</v>
      </c>
      <c r="D9" s="232">
        <v>64637249573.515869</v>
      </c>
      <c r="E9" s="242">
        <f>+C9-D9</f>
        <v>47059498050.146133</v>
      </c>
    </row>
    <row r="10" spans="1:6">
      <c r="A10" s="233" t="s">
        <v>131</v>
      </c>
      <c r="B10" s="234"/>
      <c r="C10" s="235">
        <f>+C4-C8-C9</f>
        <v>245933139578.46204</v>
      </c>
      <c r="D10" s="235">
        <f>+D4-D8-D9</f>
        <v>232247816874.27661</v>
      </c>
      <c r="E10" s="243">
        <f>+C10-D10</f>
        <v>13685322704.185425</v>
      </c>
    </row>
    <row r="11" spans="1:6" s="86" customFormat="1">
      <c r="C11" s="245">
        <f>+C10/26000</f>
        <v>9458966.9068639241</v>
      </c>
      <c r="D11" s="245">
        <f t="shared" ref="D11:E11" si="0">+D10/26000</f>
        <v>8932608.3413183317</v>
      </c>
      <c r="E11" s="245">
        <f t="shared" si="0"/>
        <v>526358.56554559327</v>
      </c>
    </row>
  </sheetData>
  <mergeCells count="1">
    <mergeCell ref="A10:B10"/>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0"/>
  <sheetViews>
    <sheetView zoomScale="85" zoomScaleNormal="85" workbookViewId="0">
      <selection activeCell="K17" sqref="K17"/>
    </sheetView>
  </sheetViews>
  <sheetFormatPr defaultRowHeight="15"/>
  <cols>
    <col min="3" max="3" width="20.85546875" customWidth="1"/>
    <col min="4" max="4" width="10.7109375" customWidth="1"/>
    <col min="5" max="5" width="18.5703125" bestFit="1" customWidth="1"/>
    <col min="6" max="6" width="16" hidden="1" customWidth="1"/>
    <col min="7" max="7" width="17.140625" hidden="1" customWidth="1"/>
    <col min="8" max="8" width="15.28515625" hidden="1" customWidth="1"/>
    <col min="9" max="9" width="16.42578125" customWidth="1"/>
    <col min="10" max="10" width="9.42578125" customWidth="1"/>
    <col min="11" max="11" width="16.28515625" customWidth="1"/>
    <col min="12" max="12" width="15.28515625" bestFit="1" customWidth="1"/>
    <col min="13" max="13" width="15.28515625" style="86" hidden="1" customWidth="1"/>
    <col min="14" max="14" width="56.140625" bestFit="1" customWidth="1"/>
  </cols>
  <sheetData>
    <row r="1" spans="1:18">
      <c r="A1" s="16"/>
      <c r="B1" s="16"/>
      <c r="C1" s="16"/>
      <c r="D1" s="16"/>
      <c r="E1" s="16"/>
      <c r="F1" s="16"/>
      <c r="G1" s="16"/>
      <c r="H1" s="16"/>
      <c r="I1" s="16"/>
      <c r="J1" s="16"/>
      <c r="K1" s="16"/>
      <c r="L1" s="16"/>
      <c r="M1" s="92"/>
      <c r="N1" s="16"/>
      <c r="O1" s="16"/>
      <c r="P1" s="16"/>
      <c r="Q1" s="16"/>
      <c r="R1" s="16"/>
    </row>
    <row r="2" spans="1:18" ht="29.25" customHeight="1">
      <c r="A2" s="16"/>
      <c r="B2" s="16"/>
      <c r="C2" s="16"/>
      <c r="D2" s="16"/>
      <c r="E2" s="16"/>
      <c r="F2" s="187">
        <v>2021</v>
      </c>
      <c r="G2" s="188"/>
      <c r="H2" s="189"/>
      <c r="I2" s="187">
        <v>2023</v>
      </c>
      <c r="J2" s="188"/>
      <c r="K2" s="188"/>
      <c r="L2" s="189"/>
      <c r="M2" s="92"/>
      <c r="N2" s="16"/>
      <c r="O2" s="16"/>
      <c r="P2" s="16"/>
      <c r="Q2" s="16"/>
      <c r="R2" s="16"/>
    </row>
    <row r="3" spans="1:18" ht="30" customHeight="1">
      <c r="A3" s="16"/>
      <c r="B3" s="16"/>
      <c r="C3" s="183" t="s">
        <v>0</v>
      </c>
      <c r="D3" s="183" t="s">
        <v>2</v>
      </c>
      <c r="E3" s="182" t="s">
        <v>3</v>
      </c>
      <c r="F3" s="182" t="s">
        <v>4</v>
      </c>
      <c r="G3" s="176" t="s">
        <v>16</v>
      </c>
      <c r="H3" s="176" t="s">
        <v>68</v>
      </c>
      <c r="I3" s="182" t="s">
        <v>4</v>
      </c>
      <c r="J3" s="174" t="s">
        <v>5</v>
      </c>
      <c r="K3" s="176" t="s">
        <v>16</v>
      </c>
      <c r="L3" s="176" t="s">
        <v>69</v>
      </c>
      <c r="M3" s="87" t="s">
        <v>67</v>
      </c>
      <c r="N3" s="178" t="s">
        <v>12</v>
      </c>
      <c r="O3" s="16"/>
    </row>
    <row r="4" spans="1:18">
      <c r="A4" s="16"/>
      <c r="B4" s="16"/>
      <c r="C4" s="183"/>
      <c r="D4" s="183"/>
      <c r="E4" s="177"/>
      <c r="F4" s="177"/>
      <c r="G4" s="177"/>
      <c r="H4" s="177"/>
      <c r="I4" s="177"/>
      <c r="J4" s="175"/>
      <c r="K4" s="177"/>
      <c r="L4" s="177"/>
      <c r="M4" s="88"/>
      <c r="N4" s="179"/>
      <c r="O4" s="16"/>
    </row>
    <row r="5" spans="1:18" ht="19.5" customHeight="1">
      <c r="A5" s="16"/>
      <c r="B5" s="16"/>
      <c r="C5" s="192" t="s">
        <v>74</v>
      </c>
      <c r="D5" s="159" t="s">
        <v>6</v>
      </c>
      <c r="E5" s="2" t="s">
        <v>7</v>
      </c>
      <c r="F5" s="74">
        <v>127650625351</v>
      </c>
      <c r="G5" s="74">
        <v>39000000000</v>
      </c>
      <c r="H5" s="76">
        <f>+G5/23000</f>
        <v>1695652.1739130435</v>
      </c>
      <c r="I5" s="3">
        <v>88599000000</v>
      </c>
      <c r="J5" s="70" t="s">
        <v>11</v>
      </c>
      <c r="K5" s="71">
        <v>28000000000</v>
      </c>
      <c r="L5" s="76">
        <f>+K5/23000</f>
        <v>1217391.3043478262</v>
      </c>
      <c r="M5" s="72">
        <f>+L5-H5</f>
        <v>-478260.86956521729</v>
      </c>
      <c r="N5" s="198"/>
      <c r="O5" s="16"/>
    </row>
    <row r="6" spans="1:18" ht="19.5" customHeight="1">
      <c r="A6" s="16"/>
      <c r="B6" s="16"/>
      <c r="C6" s="193"/>
      <c r="D6" s="160"/>
      <c r="E6" s="2" t="s">
        <v>8</v>
      </c>
      <c r="F6" s="74">
        <v>53351000000</v>
      </c>
      <c r="G6" s="74">
        <v>48000000000</v>
      </c>
      <c r="H6" s="76">
        <f t="shared" ref="H6:H8" si="0">+G6/23000</f>
        <v>2086956.5217391304</v>
      </c>
      <c r="I6" s="3">
        <v>51994000000</v>
      </c>
      <c r="J6" s="73">
        <v>0.88</v>
      </c>
      <c r="K6" s="71">
        <v>46000000000</v>
      </c>
      <c r="L6" s="76">
        <f t="shared" ref="L6:L8" si="1">+K6/23000</f>
        <v>2000000</v>
      </c>
      <c r="M6" s="72">
        <f t="shared" ref="M6:M11" si="2">+L6-H6</f>
        <v>-86956.521739130374</v>
      </c>
      <c r="N6" s="199"/>
      <c r="O6" s="16"/>
    </row>
    <row r="7" spans="1:18" ht="19.5" customHeight="1">
      <c r="A7" s="16"/>
      <c r="B7" s="16"/>
      <c r="C7" s="193"/>
      <c r="D7" s="160"/>
      <c r="E7" s="6" t="s">
        <v>9</v>
      </c>
      <c r="F7" s="75">
        <v>75837000000</v>
      </c>
      <c r="G7" s="75">
        <v>68000000000</v>
      </c>
      <c r="H7" s="76">
        <f t="shared" si="0"/>
        <v>2956521.7391304346</v>
      </c>
      <c r="I7" s="3">
        <v>101117000000</v>
      </c>
      <c r="J7" s="73">
        <f>+K7/I7</f>
        <v>0.89994758547029674</v>
      </c>
      <c r="K7" s="71">
        <v>91000000000</v>
      </c>
      <c r="L7" s="76">
        <f t="shared" si="1"/>
        <v>3956521.7391304346</v>
      </c>
      <c r="M7" s="72">
        <f t="shared" si="2"/>
        <v>1000000</v>
      </c>
      <c r="N7" s="200"/>
      <c r="O7" s="16"/>
    </row>
    <row r="8" spans="1:18" ht="45">
      <c r="A8" s="16"/>
      <c r="B8" s="16"/>
      <c r="C8" s="193"/>
      <c r="D8" s="161"/>
      <c r="E8" s="6" t="s">
        <v>10</v>
      </c>
      <c r="F8" s="75"/>
      <c r="G8" s="75">
        <v>65000000000</v>
      </c>
      <c r="H8" s="76">
        <f t="shared" si="0"/>
        <v>2826086.9565217393</v>
      </c>
      <c r="I8" s="12"/>
      <c r="J8" s="73"/>
      <c r="K8" s="71">
        <v>95000000000</v>
      </c>
      <c r="L8" s="76">
        <f t="shared" si="1"/>
        <v>4130434.7826086958</v>
      </c>
      <c r="M8" s="72">
        <f t="shared" si="2"/>
        <v>1304347.8260869565</v>
      </c>
      <c r="N8" s="13" t="s">
        <v>65</v>
      </c>
      <c r="O8" s="16"/>
    </row>
    <row r="9" spans="1:18" ht="30" customHeight="1">
      <c r="A9" s="16"/>
      <c r="B9" s="16"/>
      <c r="C9" s="193"/>
      <c r="D9" s="190" t="s">
        <v>70</v>
      </c>
      <c r="E9" s="191"/>
      <c r="F9" s="77">
        <f>SUM(F5:F8)</f>
        <v>256838625351</v>
      </c>
      <c r="G9" s="78">
        <f t="shared" ref="G9:H9" si="3">SUM(G5:G8)</f>
        <v>220000000000</v>
      </c>
      <c r="H9" s="79">
        <f t="shared" si="3"/>
        <v>9565217.3913043477</v>
      </c>
      <c r="I9" s="78"/>
      <c r="J9" s="80"/>
      <c r="K9" s="81">
        <f>SUM(K5:K8)</f>
        <v>260000000000</v>
      </c>
      <c r="L9" s="79">
        <f>SUM(L5:L8)</f>
        <v>11304347.826086957</v>
      </c>
      <c r="M9" s="89">
        <f>SUM(M5:M8)</f>
        <v>1739130.4347826089</v>
      </c>
      <c r="N9" s="174"/>
      <c r="O9" s="16"/>
    </row>
    <row r="10" spans="1:18" ht="30" customHeight="1">
      <c r="A10" s="16"/>
      <c r="B10" s="16"/>
      <c r="C10" s="193"/>
      <c r="D10" s="190" t="s">
        <v>71</v>
      </c>
      <c r="E10" s="194"/>
      <c r="F10" s="81"/>
      <c r="G10" s="81">
        <v>20000000000</v>
      </c>
      <c r="H10" s="79">
        <f>G10/23000</f>
        <v>869565.21739130432</v>
      </c>
      <c r="I10" s="82"/>
      <c r="J10" s="80"/>
      <c r="K10" s="81">
        <v>20000000000</v>
      </c>
      <c r="L10" s="79">
        <f>K10/23000</f>
        <v>869565.21739130432</v>
      </c>
      <c r="M10" s="89">
        <f t="shared" si="2"/>
        <v>0</v>
      </c>
      <c r="N10" s="197"/>
      <c r="O10" s="16"/>
    </row>
    <row r="11" spans="1:18" ht="30" customHeight="1">
      <c r="A11" s="16"/>
      <c r="B11" s="16"/>
      <c r="C11" s="193"/>
      <c r="D11" s="190" t="s">
        <v>72</v>
      </c>
      <c r="E11" s="194"/>
      <c r="F11" s="81"/>
      <c r="G11" s="81">
        <v>20000000000</v>
      </c>
      <c r="H11" s="79">
        <f>G11/23000</f>
        <v>869565.21739130432</v>
      </c>
      <c r="I11" s="82"/>
      <c r="J11" s="80"/>
      <c r="K11" s="81">
        <v>20000000000</v>
      </c>
      <c r="L11" s="79">
        <f>K11/23000</f>
        <v>869565.21739130432</v>
      </c>
      <c r="M11" s="89">
        <f t="shared" si="2"/>
        <v>0</v>
      </c>
      <c r="N11" s="197"/>
      <c r="O11" s="16"/>
    </row>
    <row r="12" spans="1:18" ht="28.5" customHeight="1">
      <c r="A12" s="16"/>
      <c r="B12" s="16"/>
      <c r="C12" s="179"/>
      <c r="D12" s="195" t="s">
        <v>73</v>
      </c>
      <c r="E12" s="196"/>
      <c r="F12" s="83"/>
      <c r="G12" s="83"/>
      <c r="H12" s="84">
        <f>SUM(H9:H11)</f>
        <v>11304347.826086957</v>
      </c>
      <c r="I12" s="90"/>
      <c r="J12" s="85"/>
      <c r="K12" s="81">
        <f>SUM(K9:K11)</f>
        <v>300000000000</v>
      </c>
      <c r="L12" s="79">
        <f t="shared" ref="L12" si="4">+K12/23000</f>
        <v>13043478.260869564</v>
      </c>
      <c r="M12" s="91">
        <f>+L12-H12</f>
        <v>1739130.4347826075</v>
      </c>
      <c r="N12" s="175"/>
      <c r="O12" s="16"/>
    </row>
    <row r="13" spans="1:18" s="16" customFormat="1">
      <c r="M13" s="92"/>
    </row>
    <row r="14" spans="1:18" s="16" customFormat="1">
      <c r="M14" s="92"/>
    </row>
    <row r="15" spans="1:18" s="16" customFormat="1">
      <c r="M15" s="92"/>
    </row>
    <row r="16" spans="1:18" s="16" customFormat="1">
      <c r="M16" s="92"/>
    </row>
    <row r="17" spans="9:13" s="16" customFormat="1">
      <c r="M17" s="92"/>
    </row>
    <row r="18" spans="9:13" s="16" customFormat="1">
      <c r="M18" s="92"/>
    </row>
    <row r="19" spans="9:13" s="16" customFormat="1">
      <c r="M19" s="92"/>
    </row>
    <row r="20" spans="9:13" s="16" customFormat="1">
      <c r="I20" s="93"/>
      <c r="M20" s="92"/>
    </row>
    <row r="21" spans="9:13" s="16" customFormat="1">
      <c r="M21" s="92"/>
    </row>
    <row r="22" spans="9:13" s="16" customFormat="1">
      <c r="M22" s="92"/>
    </row>
    <row r="23" spans="9:13" s="16" customFormat="1">
      <c r="M23" s="92"/>
    </row>
    <row r="24" spans="9:13" s="16" customFormat="1">
      <c r="M24" s="92"/>
    </row>
    <row r="25" spans="9:13" s="16" customFormat="1">
      <c r="M25" s="92"/>
    </row>
    <row r="26" spans="9:13" s="16" customFormat="1">
      <c r="M26" s="92"/>
    </row>
    <row r="27" spans="9:13" s="16" customFormat="1">
      <c r="M27" s="92"/>
    </row>
    <row r="28" spans="9:13" s="16" customFormat="1">
      <c r="M28" s="92"/>
    </row>
    <row r="29" spans="9:13" s="16" customFormat="1">
      <c r="M29" s="92"/>
    </row>
    <row r="30" spans="9:13" s="16" customFormat="1">
      <c r="M30" s="92"/>
    </row>
    <row r="31" spans="9:13" s="16" customFormat="1">
      <c r="M31" s="92"/>
    </row>
    <row r="32" spans="9:13" s="16" customFormat="1">
      <c r="M32" s="92"/>
    </row>
    <row r="33" spans="13:13" s="16" customFormat="1">
      <c r="M33" s="92"/>
    </row>
    <row r="34" spans="13:13" s="16" customFormat="1">
      <c r="M34" s="92"/>
    </row>
    <row r="35" spans="13:13" s="16" customFormat="1">
      <c r="M35" s="92"/>
    </row>
    <row r="36" spans="13:13" s="16" customFormat="1">
      <c r="M36" s="92"/>
    </row>
    <row r="37" spans="13:13" s="16" customFormat="1">
      <c r="M37" s="92"/>
    </row>
    <row r="38" spans="13:13" s="16" customFormat="1">
      <c r="M38" s="92"/>
    </row>
    <row r="39" spans="13:13" s="16" customFormat="1">
      <c r="M39" s="92"/>
    </row>
    <row r="40" spans="13:13" s="16" customFormat="1">
      <c r="M40" s="92"/>
    </row>
    <row r="41" spans="13:13" s="16" customFormat="1">
      <c r="M41" s="92"/>
    </row>
    <row r="42" spans="13:13" s="16" customFormat="1">
      <c r="M42" s="92"/>
    </row>
    <row r="43" spans="13:13" s="16" customFormat="1">
      <c r="M43" s="92"/>
    </row>
    <row r="44" spans="13:13" s="16" customFormat="1">
      <c r="M44" s="92"/>
    </row>
    <row r="45" spans="13:13" s="16" customFormat="1">
      <c r="M45" s="92"/>
    </row>
    <row r="46" spans="13:13" s="16" customFormat="1">
      <c r="M46" s="92"/>
    </row>
    <row r="47" spans="13:13" s="16" customFormat="1">
      <c r="M47" s="92"/>
    </row>
    <row r="48" spans="13:13" s="16" customFormat="1">
      <c r="M48" s="92"/>
    </row>
    <row r="49" spans="13:13" s="16" customFormat="1">
      <c r="M49" s="92"/>
    </row>
    <row r="50" spans="13:13" s="16" customFormat="1">
      <c r="M50" s="92"/>
    </row>
    <row r="51" spans="13:13" s="16" customFormat="1">
      <c r="M51" s="92"/>
    </row>
    <row r="52" spans="13:13" s="16" customFormat="1">
      <c r="M52" s="92"/>
    </row>
    <row r="53" spans="13:13" s="16" customFormat="1">
      <c r="M53" s="92"/>
    </row>
    <row r="54" spans="13:13" s="16" customFormat="1">
      <c r="M54" s="92"/>
    </row>
    <row r="55" spans="13:13" s="16" customFormat="1">
      <c r="M55" s="92"/>
    </row>
    <row r="56" spans="13:13" s="16" customFormat="1">
      <c r="M56" s="92"/>
    </row>
    <row r="57" spans="13:13" s="16" customFormat="1">
      <c r="M57" s="92"/>
    </row>
    <row r="58" spans="13:13" s="16" customFormat="1">
      <c r="M58" s="92"/>
    </row>
    <row r="59" spans="13:13" s="16" customFormat="1">
      <c r="M59" s="92"/>
    </row>
    <row r="60" spans="13:13" s="16" customFormat="1">
      <c r="M60" s="92"/>
    </row>
    <row r="61" spans="13:13" s="16" customFormat="1">
      <c r="M61" s="92"/>
    </row>
    <row r="62" spans="13:13" s="16" customFormat="1">
      <c r="M62" s="92"/>
    </row>
    <row r="63" spans="13:13" s="16" customFormat="1">
      <c r="M63" s="92"/>
    </row>
    <row r="64" spans="13:13" s="16" customFormat="1">
      <c r="M64" s="92"/>
    </row>
    <row r="65" spans="13:13" s="16" customFormat="1">
      <c r="M65" s="92"/>
    </row>
    <row r="66" spans="13:13" s="16" customFormat="1">
      <c r="M66" s="92"/>
    </row>
    <row r="67" spans="13:13" s="16" customFormat="1">
      <c r="M67" s="92"/>
    </row>
    <row r="68" spans="13:13" s="16" customFormat="1">
      <c r="M68" s="92"/>
    </row>
    <row r="69" spans="13:13" s="16" customFormat="1">
      <c r="M69" s="92"/>
    </row>
    <row r="70" spans="13:13" s="16" customFormat="1">
      <c r="M70" s="92"/>
    </row>
  </sheetData>
  <mergeCells count="21">
    <mergeCell ref="N3:N4"/>
    <mergeCell ref="C5:C12"/>
    <mergeCell ref="D5:D8"/>
    <mergeCell ref="C3:C4"/>
    <mergeCell ref="D3:D4"/>
    <mergeCell ref="E3:E4"/>
    <mergeCell ref="I3:I4"/>
    <mergeCell ref="J3:J4"/>
    <mergeCell ref="F3:F4"/>
    <mergeCell ref="G3:G4"/>
    <mergeCell ref="H3:H4"/>
    <mergeCell ref="D10:E10"/>
    <mergeCell ref="D11:E11"/>
    <mergeCell ref="D12:E12"/>
    <mergeCell ref="N9:N12"/>
    <mergeCell ref="N5:N7"/>
    <mergeCell ref="F2:H2"/>
    <mergeCell ref="I2:L2"/>
    <mergeCell ref="D9:E9"/>
    <mergeCell ref="K3:K4"/>
    <mergeCell ref="L3:L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L9"/>
  <sheetViews>
    <sheetView workbookViewId="0">
      <selection activeCell="D12" sqref="D12"/>
    </sheetView>
  </sheetViews>
  <sheetFormatPr defaultRowHeight="15"/>
  <cols>
    <col min="1" max="1" width="21.5703125" bestFit="1" customWidth="1"/>
    <col min="2" max="2" width="40" customWidth="1"/>
    <col min="3" max="3" width="13.85546875" customWidth="1"/>
    <col min="4" max="4" width="11.7109375" customWidth="1"/>
    <col min="5" max="5" width="10" customWidth="1"/>
    <col min="6" max="6" width="15.28515625" customWidth="1"/>
    <col min="7" max="7" width="10.42578125" customWidth="1"/>
    <col min="8" max="8" width="5" customWidth="1"/>
    <col min="9" max="9" width="11.140625" customWidth="1"/>
    <col min="10" max="10" width="15.28515625" bestFit="1" customWidth="1"/>
    <col min="11" max="11" width="11.28515625" customWidth="1"/>
    <col min="12" max="12" width="9.7109375" customWidth="1"/>
  </cols>
  <sheetData>
    <row r="2" spans="1:12" ht="30" customHeight="1">
      <c r="A2" s="183" t="s">
        <v>0</v>
      </c>
      <c r="B2" s="39" t="s">
        <v>26</v>
      </c>
      <c r="C2" s="190" t="s">
        <v>29</v>
      </c>
      <c r="D2" s="194"/>
      <c r="E2" s="174" t="s">
        <v>5</v>
      </c>
      <c r="F2" s="190" t="s">
        <v>25</v>
      </c>
      <c r="G2" s="194"/>
      <c r="H2" s="203" t="s">
        <v>22</v>
      </c>
      <c r="I2" s="182" t="s">
        <v>32</v>
      </c>
      <c r="J2" s="190" t="s">
        <v>34</v>
      </c>
      <c r="K2" s="194"/>
      <c r="L2" s="38" t="s">
        <v>35</v>
      </c>
    </row>
    <row r="3" spans="1:12">
      <c r="A3" s="183"/>
      <c r="B3" s="40" t="s">
        <v>36</v>
      </c>
      <c r="C3" s="40" t="s">
        <v>30</v>
      </c>
      <c r="D3" s="40" t="s">
        <v>31</v>
      </c>
      <c r="E3" s="175"/>
      <c r="F3" s="41" t="s">
        <v>15</v>
      </c>
      <c r="G3" s="40" t="s">
        <v>19</v>
      </c>
      <c r="H3" s="203"/>
      <c r="I3" s="177"/>
      <c r="J3" s="41" t="s">
        <v>33</v>
      </c>
      <c r="K3" s="41" t="s">
        <v>24</v>
      </c>
      <c r="L3" s="40" t="s">
        <v>19</v>
      </c>
    </row>
    <row r="4" spans="1:12" ht="30.75" customHeight="1">
      <c r="A4" s="201" t="s">
        <v>21</v>
      </c>
      <c r="B4" s="23" t="s">
        <v>27</v>
      </c>
      <c r="C4" s="44">
        <v>2733352000</v>
      </c>
      <c r="D4" s="47">
        <v>118841.39130434782</v>
      </c>
      <c r="E4" s="42">
        <v>0.6</v>
      </c>
      <c r="F4" s="36">
        <f>+C4*E4+4988800</f>
        <v>1645000000</v>
      </c>
      <c r="G4" s="33">
        <f>+F4/23000</f>
        <v>71521.739130434784</v>
      </c>
      <c r="H4" s="25" t="s">
        <v>23</v>
      </c>
      <c r="I4" s="28">
        <v>0.09</v>
      </c>
      <c r="J4" s="29">
        <f>+F4/4/12</f>
        <v>34270833.333333336</v>
      </c>
      <c r="K4" s="29">
        <f>+F4*I4/365*30</f>
        <v>12168493.15068493</v>
      </c>
      <c r="L4" s="33">
        <f>+(J4+K4)/23000</f>
        <v>2019.101151479055</v>
      </c>
    </row>
    <row r="5" spans="1:12" ht="25.5">
      <c r="A5" s="202"/>
      <c r="B5" s="32" t="s">
        <v>28</v>
      </c>
      <c r="C5" s="45">
        <v>710000000</v>
      </c>
      <c r="D5" s="48">
        <v>30869.565217391304</v>
      </c>
      <c r="E5" s="43">
        <v>0.5</v>
      </c>
      <c r="F5" s="37">
        <f>+C5*E5</f>
        <v>355000000</v>
      </c>
      <c r="G5" s="34">
        <f>+F5/23000</f>
        <v>15434.782608695652</v>
      </c>
      <c r="H5" s="22" t="s">
        <v>23</v>
      </c>
      <c r="I5" s="30">
        <v>0.09</v>
      </c>
      <c r="J5" s="31">
        <f>+F5/4/12</f>
        <v>7395833.333333333</v>
      </c>
      <c r="K5" s="31">
        <f>+F5*I5/365*30</f>
        <v>2626027.3972602738</v>
      </c>
      <c r="L5" s="34">
        <f>+(J5+K5)/23000</f>
        <v>435.73307524320029</v>
      </c>
    </row>
    <row r="6" spans="1:12">
      <c r="B6" s="26"/>
      <c r="C6" s="46">
        <f>SUM(C4:C5)</f>
        <v>3443352000</v>
      </c>
      <c r="D6" s="48">
        <f>SUM(D4:D5)</f>
        <v>149710.95652173914</v>
      </c>
      <c r="E6" s="21"/>
      <c r="F6" s="35">
        <f>SUM(F4:F5)</f>
        <v>2000000000</v>
      </c>
      <c r="G6" s="34">
        <f>SUM(G4:G5)</f>
        <v>86956.521739130432</v>
      </c>
      <c r="H6" s="27">
        <f>SUM(H4:H5)</f>
        <v>0</v>
      </c>
      <c r="I6" s="26"/>
      <c r="J6" s="27">
        <f>SUM(J4:J5)</f>
        <v>41666666.666666672</v>
      </c>
      <c r="K6" s="27">
        <f>SUM(K4:K5)</f>
        <v>14794520.547945205</v>
      </c>
      <c r="L6" s="34">
        <f>SUM(L4:L5)</f>
        <v>2454.8342267222552</v>
      </c>
    </row>
    <row r="9" spans="1:12">
      <c r="F9" s="24"/>
    </row>
  </sheetData>
  <mergeCells count="8">
    <mergeCell ref="J2:K2"/>
    <mergeCell ref="A4:A5"/>
    <mergeCell ref="E2:E3"/>
    <mergeCell ref="C2:D2"/>
    <mergeCell ref="A2:A3"/>
    <mergeCell ref="H2:H3"/>
    <mergeCell ref="I2:I3"/>
    <mergeCell ref="F2:G2"/>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AR condition</vt:lpstr>
      <vt:lpstr>Summary 2026</vt:lpstr>
      <vt:lpstr>Financial Imbalance </vt:lpstr>
      <vt:lpstr>Sheet1</vt:lpstr>
      <vt:lpstr>Sheet2</vt:lpstr>
      <vt:lpstr>Long Loan 2021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ACC-PC01</dc:creator>
  <cp:lastModifiedBy>ACC-PC01</cp:lastModifiedBy>
  <dcterms:created xsi:type="dcterms:W3CDTF">2020-07-17T04:53:26Z</dcterms:created>
  <dcterms:modified xsi:type="dcterms:W3CDTF">2026-04-25T09:09:19Z</dcterms:modified>
</cp:coreProperties>
</file>