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DC7F73CC-CCF6-4E48-AA8E-50B3180814E9}" xr6:coauthVersionLast="47" xr6:coauthVersionMax="47" xr10:uidLastSave="{00000000-0000-0000-0000-000000000000}"/>
  <bookViews>
    <workbookView xWindow="-108" yWindow="-108" windowWidth="23256" windowHeight="12576" tabRatio="747" activeTab="1" xr2:uid="{00000000-000D-0000-FFFF-FFFF00000000}"/>
  </bookViews>
  <sheets>
    <sheet name="요약 (Executive Summary)" sheetId="1" r:id="rId1"/>
    <sheet name="IMEB2" sheetId="2" r:id="rId2"/>
    <sheet name="NX4 HOUSING" sheetId="3" r:id="rId3"/>
    <sheet name="NX4 COVER" sheetId="4" r:id="rId4"/>
    <sheet name="TEYGEN4" sheetId="5" r:id="rId5"/>
    <sheet name="종합차트" sheetId="9" r:id="rId6"/>
  </sheets>
  <externalReferences>
    <externalReference r:id="rId7"/>
  </externalReferences>
  <definedNames>
    <definedName name="_xlnm._FilterDatabase" localSheetId="1" hidden="1">IMEB2!$A$15:$C$15</definedName>
    <definedName name="_xlnm._FilterDatabase" localSheetId="2" hidden="1">'NX4 HOUSING'!$A$15:$D$15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2" l="1"/>
  <c r="A37" i="2"/>
  <c r="A34" i="2"/>
  <c r="A31" i="2"/>
  <c r="A40" i="3"/>
  <c r="A31" i="3"/>
  <c r="A34" i="3"/>
  <c r="A37" i="4"/>
  <c r="A34" i="4"/>
  <c r="A31" i="4"/>
  <c r="A28" i="4"/>
  <c r="A35" i="5"/>
  <c r="A32" i="5"/>
  <c r="A29" i="5"/>
  <c r="M11" i="1"/>
  <c r="M10" i="1"/>
  <c r="M9" i="1"/>
  <c r="M8" i="1"/>
  <c r="K11" i="1"/>
  <c r="K10" i="1"/>
  <c r="K9" i="1"/>
  <c r="K8" i="1"/>
  <c r="B27" i="2"/>
  <c r="B8" i="5"/>
  <c r="B7" i="5"/>
  <c r="B6" i="5"/>
  <c r="B5" i="5"/>
  <c r="C18" i="5" s="1"/>
  <c r="B8" i="4"/>
  <c r="B7" i="4"/>
  <c r="B6" i="4"/>
  <c r="B5" i="4"/>
  <c r="B11" i="3"/>
  <c r="B10" i="3"/>
  <c r="B9" i="3"/>
  <c r="B8" i="3"/>
  <c r="B11" i="2"/>
  <c r="B10" i="2"/>
  <c r="B9" i="2"/>
  <c r="D8" i="2"/>
  <c r="B8" i="2"/>
  <c r="C8" i="2" l="1"/>
  <c r="B9" i="5"/>
  <c r="C16" i="2"/>
  <c r="B12" i="2"/>
  <c r="C17" i="2"/>
  <c r="C18" i="2"/>
  <c r="C20" i="2"/>
  <c r="N8" i="1" s="1"/>
  <c r="C21" i="2"/>
  <c r="D8" i="5"/>
  <c r="D7" i="5"/>
  <c r="D5" i="5"/>
  <c r="C8" i="5"/>
  <c r="C7" i="5"/>
  <c r="C6" i="5"/>
  <c r="C5" i="5"/>
  <c r="D8" i="4"/>
  <c r="D7" i="4"/>
  <c r="D6" i="4"/>
  <c r="D5" i="4"/>
  <c r="E5" i="4" s="1"/>
  <c r="C8" i="4"/>
  <c r="C7" i="4"/>
  <c r="C6" i="4"/>
  <c r="C5" i="4"/>
  <c r="D11" i="3"/>
  <c r="D10" i="3"/>
  <c r="D9" i="3"/>
  <c r="D8" i="3"/>
  <c r="C11" i="3"/>
  <c r="C10" i="3"/>
  <c r="C9" i="3"/>
  <c r="C8" i="3"/>
  <c r="D11" i="2"/>
  <c r="D10" i="2"/>
  <c r="D9" i="2"/>
  <c r="C9" i="2" s="1"/>
  <c r="C12" i="3" l="1"/>
  <c r="D12" i="3"/>
  <c r="F8" i="3" s="1"/>
  <c r="D9" i="1" s="1"/>
  <c r="I11" i="1" l="1"/>
  <c r="G11" i="1"/>
  <c r="C30" i="1" s="1"/>
  <c r="E11" i="1"/>
  <c r="C29" i="1" s="1"/>
  <c r="I10" i="1"/>
  <c r="G10" i="1"/>
  <c r="C28" i="1" s="1"/>
  <c r="E10" i="1"/>
  <c r="C27" i="1" s="1"/>
  <c r="I9" i="1"/>
  <c r="G9" i="1"/>
  <c r="C26" i="1" s="1"/>
  <c r="E9" i="1"/>
  <c r="C25" i="1" s="1"/>
  <c r="I8" i="1"/>
  <c r="G8" i="1"/>
  <c r="C24" i="1" s="1"/>
  <c r="E8" i="1"/>
  <c r="C23" i="1" s="1"/>
  <c r="B23" i="5"/>
  <c r="D9" i="5" s="1"/>
  <c r="E8" i="4"/>
  <c r="E6" i="4"/>
  <c r="B27" i="3"/>
  <c r="D16" i="5" l="1"/>
  <c r="D18" i="5"/>
  <c r="D12" i="2"/>
  <c r="E7" i="4"/>
  <c r="E10" i="3"/>
  <c r="D17" i="5"/>
  <c r="E9" i="2"/>
  <c r="C9" i="4"/>
  <c r="C9" i="5"/>
  <c r="B8" i="1"/>
  <c r="C12" i="1"/>
  <c r="E7" i="5"/>
  <c r="E6" i="5"/>
  <c r="E11" i="3"/>
  <c r="D13" i="5"/>
  <c r="D22" i="5"/>
  <c r="D21" i="5"/>
  <c r="D15" i="5"/>
  <c r="D20" i="5"/>
  <c r="D14" i="5"/>
  <c r="D19" i="5"/>
  <c r="D25" i="3"/>
  <c r="B11" i="1" l="1"/>
  <c r="F5" i="5"/>
  <c r="D11" i="1" s="1"/>
  <c r="E9" i="3"/>
  <c r="B12" i="3"/>
  <c r="F8" i="2"/>
  <c r="D8" i="1" s="1"/>
  <c r="E8" i="2"/>
  <c r="C20" i="4"/>
  <c r="C14" i="4"/>
  <c r="H10" i="1" s="1"/>
  <c r="C23" i="4"/>
  <c r="C13" i="4"/>
  <c r="B10" i="1"/>
  <c r="C22" i="4"/>
  <c r="C21" i="4"/>
  <c r="C19" i="4"/>
  <c r="C18" i="4"/>
  <c r="C17" i="4"/>
  <c r="N10" i="1" s="1"/>
  <c r="C16" i="4"/>
  <c r="L10" i="1" s="1"/>
  <c r="C15" i="4"/>
  <c r="J10" i="1" s="1"/>
  <c r="C18" i="3"/>
  <c r="J9" i="1" s="1"/>
  <c r="C16" i="3"/>
  <c r="C17" i="3"/>
  <c r="H9" i="1" s="1"/>
  <c r="B9" i="1"/>
  <c r="C19" i="3"/>
  <c r="L9" i="1" s="1"/>
  <c r="C21" i="3"/>
  <c r="C20" i="3"/>
  <c r="N9" i="1" s="1"/>
  <c r="C22" i="3"/>
  <c r="C23" i="3"/>
  <c r="C24" i="3"/>
  <c r="C25" i="3"/>
  <c r="C26" i="3"/>
  <c r="C24" i="2"/>
  <c r="H8" i="1"/>
  <c r="C22" i="2"/>
  <c r="C25" i="2"/>
  <c r="C26" i="2"/>
  <c r="J8" i="1"/>
  <c r="F8" i="1"/>
  <c r="C23" i="2"/>
  <c r="C13" i="5"/>
  <c r="C22" i="5"/>
  <c r="C21" i="5"/>
  <c r="C20" i="5"/>
  <c r="C19" i="5"/>
  <c r="C16" i="5"/>
  <c r="L11" i="1" s="1"/>
  <c r="C17" i="5"/>
  <c r="N11" i="1" s="1"/>
  <c r="C15" i="5"/>
  <c r="J11" i="1" s="1"/>
  <c r="C14" i="5"/>
  <c r="H11" i="1" s="1"/>
  <c r="B9" i="4"/>
  <c r="E5" i="5"/>
  <c r="E8" i="5"/>
  <c r="E8" i="3"/>
  <c r="D23" i="5"/>
  <c r="D18" i="3"/>
  <c r="D21" i="3"/>
  <c r="D17" i="3"/>
  <c r="D16" i="3"/>
  <c r="D20" i="3"/>
  <c r="D22" i="3"/>
  <c r="D23" i="3"/>
  <c r="D19" i="3"/>
  <c r="D24" i="3"/>
  <c r="D26" i="3"/>
  <c r="F11" i="1" l="1"/>
  <c r="C23" i="5"/>
  <c r="F10" i="1"/>
  <c r="C24" i="4"/>
  <c r="C27" i="3"/>
  <c r="F9" i="1"/>
  <c r="B12" i="1"/>
  <c r="D27" i="3"/>
  <c r="D13" i="4" l="1"/>
  <c r="D19" i="4"/>
  <c r="D20" i="4"/>
  <c r="D18" i="4"/>
  <c r="D17" i="4"/>
  <c r="D16" i="4"/>
  <c r="D21" i="4"/>
  <c r="D15" i="4"/>
  <c r="D22" i="4"/>
  <c r="D14" i="4"/>
  <c r="B24" i="4"/>
  <c r="D9" i="4" s="1"/>
  <c r="F5" i="4" s="1"/>
  <c r="D23" i="4"/>
  <c r="D10" i="1" l="1"/>
  <c r="D24" i="4"/>
  <c r="C10" i="2" l="1"/>
  <c r="E10" i="2"/>
  <c r="C12" i="2"/>
  <c r="E11" i="2"/>
  <c r="D16" i="2"/>
  <c r="D19" i="2"/>
  <c r="D26" i="2"/>
  <c r="D24" i="2"/>
  <c r="D23" i="2"/>
  <c r="D20" i="2"/>
  <c r="D18" i="2"/>
  <c r="D17" i="2"/>
  <c r="D25" i="2"/>
  <c r="D22" i="2"/>
  <c r="C19" i="2"/>
  <c r="D21" i="2"/>
  <c r="C27" i="2" l="1"/>
  <c r="L8" i="1"/>
  <c r="D27" i="2"/>
</calcChain>
</file>

<file path=xl/sharedStrings.xml><?xml version="1.0" encoding="utf-8"?>
<sst xmlns="http://schemas.openxmlformats.org/spreadsheetml/2006/main" count="330" uniqueCount="130">
  <si>
    <t>만도 제품별 불량 원인 분석 보고서</t>
  </si>
  <si>
    <t>■ 전체 현황 요약</t>
  </si>
  <si>
    <t>제품</t>
  </si>
  <si>
    <t>검사수량</t>
  </si>
  <si>
    <t>OK수량</t>
  </si>
  <si>
    <t>NG수량</t>
  </si>
  <si>
    <t>PPM</t>
  </si>
  <si>
    <t>순위</t>
  </si>
  <si>
    <t>IMEB2</t>
  </si>
  <si>
    <t>2025-10</t>
  </si>
  <si>
    <t>NX4 HOUSING</t>
  </si>
  <si>
    <t>2025-05</t>
  </si>
  <si>
    <t>NX4 COVER</t>
  </si>
  <si>
    <t>TEYGEN4</t>
  </si>
  <si>
    <t>합계</t>
  </si>
  <si>
    <t>핵심불량유형</t>
  </si>
  <si>
    <t>4M1E주요원인</t>
  </si>
  <si>
    <t>개선방향</t>
  </si>
  <si>
    <t>우선등급</t>
  </si>
  <si>
    <t>기대효과</t>
  </si>
  <si>
    <t>1</t>
  </si>
  <si>
    <t>상</t>
  </si>
  <si>
    <t>2</t>
  </si>
  <si>
    <t>3</t>
  </si>
  <si>
    <t>NX4_HOUSING</t>
  </si>
  <si>
    <t>4</t>
  </si>
  <si>
    <t>중</t>
  </si>
  <si>
    <t>5</t>
  </si>
  <si>
    <t>NX4_COVER</t>
  </si>
  <si>
    <t>6</t>
  </si>
  <si>
    <t>7</t>
  </si>
  <si>
    <t>하</t>
  </si>
  <si>
    <t>8</t>
  </si>
  <si>
    <t>IMEB2 불량 분석</t>
  </si>
  <si>
    <t>최다불량</t>
  </si>
  <si>
    <t>▶ 공정별 불량현황</t>
  </si>
  <si>
    <t>공정명</t>
  </si>
  <si>
    <t>Blaster</t>
  </si>
  <si>
    <t>CNC MC</t>
  </si>
  <si>
    <t>Casting</t>
  </si>
  <si>
    <t>OQC</t>
  </si>
  <si>
    <t>불량유형</t>
  </si>
  <si>
    <t>불량수량</t>
  </si>
  <si>
    <t>NX4 HOUSING 불량 분석</t>
  </si>
  <si>
    <t>NX4 COVER 불량 분석</t>
  </si>
  <si>
    <t>TEYGEN4 불량 분석</t>
  </si>
  <si>
    <t>전체 분석 차트 모음</t>
  </si>
  <si>
    <t>▶ 공정별 불량율</t>
  </si>
  <si>
    <t>▶ 상위 5 불량유형 추이</t>
  </si>
  <si>
    <t>박리</t>
  </si>
  <si>
    <t>합계</t>
    <phoneticPr fontId="14" type="noConversion"/>
  </si>
  <si>
    <t>점유율</t>
    <phoneticPr fontId="14" type="noConversion"/>
  </si>
  <si>
    <r>
      <rPr>
        <b/>
        <sz val="12"/>
        <color rgb="FFFFFFFF"/>
        <rFont val="Segoe UI Symbol"/>
        <family val="1"/>
      </rPr>
      <t>▶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불량유형별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파레토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분석</t>
    </r>
    <phoneticPr fontId="14" type="noConversion"/>
  </si>
  <si>
    <t>합계</t>
    <phoneticPr fontId="14" type="noConversion"/>
  </si>
  <si>
    <t>기공</t>
  </si>
  <si>
    <r>
      <t>1. IMEB2</t>
    </r>
    <r>
      <rPr>
        <sz val="10"/>
        <rFont val="맑은 고딕"/>
        <family val="3"/>
        <charset val="129"/>
      </rPr>
      <t>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불량율을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긴급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필요</t>
    </r>
    <phoneticPr fontId="14" type="noConversion"/>
  </si>
  <si>
    <r>
      <rPr>
        <b/>
        <sz val="12"/>
        <color rgb="FFFFFFFF"/>
        <rFont val="Segoe UI Symbol"/>
        <family val="2"/>
      </rPr>
      <t>■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핵심 사항</t>
    </r>
    <phoneticPr fontId="14" type="noConversion"/>
  </si>
  <si>
    <t xml:space="preserve">최다 불량 발생월 </t>
  </si>
  <si>
    <r>
      <rPr>
        <b/>
        <sz val="11"/>
        <color rgb="FFFFFFFF"/>
        <rFont val="Segoe UI Symbol"/>
        <family val="1"/>
      </rPr>
      <t>▶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2"/>
        <charset val="129"/>
      </rPr>
      <t>부품별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월별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2"/>
        <charset val="129"/>
      </rPr>
      <t xml:space="preserve">불량율 </t>
    </r>
    <r>
      <rPr>
        <b/>
        <sz val="11"/>
        <color rgb="FFFFFFFF"/>
        <rFont val="맑은 고딕"/>
        <family val="3"/>
        <charset val="129"/>
      </rPr>
      <t>비교</t>
    </r>
    <phoneticPr fontId="14" type="noConversion"/>
  </si>
  <si>
    <t>총 출하수량</t>
    <phoneticPr fontId="14" type="noConversion"/>
  </si>
  <si>
    <t>총 생산량</t>
    <phoneticPr fontId="14" type="noConversion"/>
  </si>
  <si>
    <t>직통률</t>
    <phoneticPr fontId="14" type="noConversion"/>
  </si>
  <si>
    <t>최다불량유형</t>
    <phoneticPr fontId="14" type="noConversion"/>
  </si>
  <si>
    <t>%</t>
    <phoneticPr fontId="14" type="noConversion"/>
  </si>
  <si>
    <t>1순위</t>
    <phoneticPr fontId="14" type="noConversion"/>
  </si>
  <si>
    <t>2순위</t>
    <phoneticPr fontId="14" type="noConversion"/>
  </si>
  <si>
    <t>3순위</t>
    <phoneticPr fontId="14" type="noConversion"/>
  </si>
  <si>
    <t>주조불량</t>
    <phoneticPr fontId="14" type="noConversion"/>
  </si>
  <si>
    <t>박리 목표 : 5% 이내</t>
    <phoneticPr fontId="14" type="noConversion"/>
  </si>
  <si>
    <t>불량률</t>
    <phoneticPr fontId="14" type="noConversion"/>
  </si>
  <si>
    <t>불량률</t>
    <phoneticPr fontId="14" type="noConversion"/>
  </si>
  <si>
    <t>Gen4의 분석 사례를 들면, 전극 가공부 치수를 60% 줄임. 40%만 전극 가공하면 가공 원가가 절감됨 (금형 가공)</t>
    <phoneticPr fontId="14" type="noConversion"/>
  </si>
  <si>
    <t>불량률(%)</t>
  </si>
  <si>
    <t>직통률(%)</t>
  </si>
  <si>
    <t>전체 직통률(%)</t>
  </si>
  <si>
    <t>Gen4 가공 부하 가장 높은 부위에 대해 가공 삭제 제안 (주조면으로 두자는 내용) - 원가 인하로 인해 생산 지속 검토 가능</t>
    <phoneticPr fontId="14" type="noConversion"/>
  </si>
  <si>
    <t>모든 가공 여유 0.5 -&gt; 0.3 으로 최소화</t>
    <phoneticPr fontId="14" type="noConversion"/>
  </si>
  <si>
    <r>
      <rPr>
        <sz val="11"/>
        <rFont val="맑은 고딕"/>
        <family val="3"/>
        <charset val="129"/>
      </rPr>
      <t>분석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기간</t>
    </r>
    <r>
      <rPr>
        <sz val="11"/>
        <rFont val="Arial"/>
        <family val="2"/>
      </rPr>
      <t>: 2026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~ 2026</t>
    </r>
    <r>
      <rPr>
        <sz val="11"/>
        <rFont val="맑은 고딕"/>
        <family val="3"/>
        <charset val="129"/>
      </rPr>
      <t>년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월</t>
    </r>
    <r>
      <rPr>
        <sz val="11"/>
        <rFont val="Arial"/>
        <family val="2"/>
      </rPr>
      <t xml:space="preserve"> | </t>
    </r>
    <r>
      <rPr>
        <sz val="11"/>
        <rFont val="맑은 고딕"/>
        <family val="3"/>
        <charset val="129"/>
      </rPr>
      <t>작성일</t>
    </r>
    <r>
      <rPr>
        <sz val="11"/>
        <rFont val="Arial"/>
        <family val="2"/>
      </rPr>
      <t>: 2026-04-03</t>
    </r>
    <phoneticPr fontId="14" type="noConversion"/>
  </si>
  <si>
    <t>찍힘</t>
  </si>
  <si>
    <t>뜯김</t>
  </si>
  <si>
    <t>미가공</t>
  </si>
  <si>
    <t>미성형</t>
  </si>
  <si>
    <t>오염(얼룩)</t>
  </si>
  <si>
    <t>스크래치</t>
  </si>
  <si>
    <t>치수불량</t>
  </si>
  <si>
    <t>과사상</t>
  </si>
  <si>
    <t>불순물</t>
  </si>
  <si>
    <t>기타(1%↓)</t>
    <phoneticPr fontId="14" type="noConversion"/>
  </si>
  <si>
    <t>변형/휨</t>
  </si>
  <si>
    <t>수축</t>
  </si>
  <si>
    <t>주조불량</t>
    <phoneticPr fontId="14" type="noConversion"/>
  </si>
  <si>
    <r>
      <t xml:space="preserve">2. </t>
    </r>
    <r>
      <rPr>
        <sz val="10"/>
        <rFont val="맑은 고딕"/>
        <family val="3"/>
        <charset val="129"/>
      </rPr>
      <t>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공통</t>
    </r>
    <r>
      <rPr>
        <sz val="10"/>
        <rFont val="Arial"/>
        <family val="2"/>
      </rPr>
      <t xml:space="preserve">: </t>
    </r>
    <r>
      <rPr>
        <sz val="10"/>
        <rFont val="맑은 고딕"/>
        <family val="3"/>
        <charset val="129"/>
      </rPr>
      <t>기공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박리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주조불량이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핵심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 xml:space="preserve">유형 </t>
    </r>
    <r>
      <rPr>
        <b/>
        <sz val="10"/>
        <rFont val="맑은 고딕"/>
        <family val="3"/>
        <charset val="129"/>
      </rPr>
      <t>(※주조불량 : 예열타, 외관 불량)</t>
    </r>
    <phoneticPr fontId="14" type="noConversion"/>
  </si>
  <si>
    <r>
      <t xml:space="preserve">3. CNC MC </t>
    </r>
    <r>
      <rPr>
        <sz val="10"/>
        <rFont val="맑은 고딕"/>
        <family val="3"/>
        <charset val="129"/>
      </rPr>
      <t>공정이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제품에서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최고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불량률 집중 (기공, 박리 등은 주조 문제)</t>
    </r>
    <phoneticPr fontId="14" type="noConversion"/>
  </si>
  <si>
    <t>4순위</t>
    <phoneticPr fontId="14" type="noConversion"/>
  </si>
  <si>
    <t>5순위</t>
    <phoneticPr fontId="14" type="noConversion"/>
  </si>
  <si>
    <r>
      <rPr>
        <b/>
        <sz val="12"/>
        <color rgb="FFFFFFFF"/>
        <rFont val="Segoe UI Symbol"/>
        <family val="2"/>
      </rPr>
      <t>■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제품별 개선 방안</t>
    </r>
    <phoneticPr fontId="14" type="noConversion"/>
  </si>
  <si>
    <t>개선 방안</t>
    <phoneticPr fontId="14" type="noConversion"/>
  </si>
  <si>
    <t>추정 원인</t>
    <phoneticPr fontId="14" type="noConversion"/>
  </si>
  <si>
    <t>CNC 자동화 → 세척 이동 사이 제품 대기 시간 증가. 얼룩 발생</t>
    <phoneticPr fontId="14" type="noConversion"/>
  </si>
  <si>
    <r>
      <t xml:space="preserve">CNC </t>
    </r>
    <r>
      <rPr>
        <sz val="9"/>
        <rFont val="맑은 고딕"/>
        <family val="2"/>
        <charset val="129"/>
      </rPr>
      <t>자동화 라인에서 자동 세척라인 연결</t>
    </r>
    <phoneticPr fontId="14" type="noConversion"/>
  </si>
  <si>
    <t>비고</t>
    <phoneticPr fontId="14" type="noConversion"/>
  </si>
  <si>
    <t>현재 얼룩 불량은 재작업하여 90%이상 양품화</t>
    <phoneticPr fontId="14" type="noConversion"/>
  </si>
  <si>
    <t>예상 효과</t>
    <phoneticPr fontId="14" type="noConversion"/>
  </si>
  <si>
    <r>
      <rPr>
        <sz val="9"/>
        <rFont val="맑은 고딕"/>
        <family val="3"/>
        <charset val="129"/>
      </rPr>
      <t>불량률</t>
    </r>
    <r>
      <rPr>
        <sz val="9"/>
        <rFont val="Arial"/>
        <family val="2"/>
      </rPr>
      <t xml:space="preserve"> 1%</t>
    </r>
    <r>
      <rPr>
        <sz val="9"/>
        <rFont val="맑은 고딕"/>
        <family val="2"/>
        <charset val="129"/>
      </rPr>
      <t>미만</t>
    </r>
    <phoneticPr fontId="14" type="noConversion"/>
  </si>
  <si>
    <t>제품 가로 방향 게이트 설계 반영 금형 제작 및 검증 완료. 고객사 승인 대기 중</t>
    <phoneticPr fontId="14" type="noConversion"/>
  </si>
  <si>
    <t>주조 불량, 기공, 변형/휨</t>
    <phoneticPr fontId="14" type="noConversion"/>
  </si>
  <si>
    <t>제품 세로 방향 게이트로 인해 충진 속도가 늦어지고 게이트 부가 먼저 식으며 제품의 수축 변형 발생 되며, 제품 말단 부도 기공 다량 발생</t>
    <phoneticPr fontId="14" type="noConversion"/>
  </si>
  <si>
    <r>
      <rPr>
        <b/>
        <sz val="12"/>
        <color rgb="FFFFFFFF"/>
        <rFont val="Segoe UI Symbol"/>
        <family val="1"/>
      </rPr>
      <t>▶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1"/>
        <charset val="129"/>
      </rPr>
      <t>원인 및 개선안</t>
    </r>
    <phoneticPr fontId="14" type="noConversion"/>
  </si>
  <si>
    <t>공정 간소화
(LVDT 검사 및 보정 공정 삭제)
가공치수 안정화</t>
    <phoneticPr fontId="14" type="noConversion"/>
  </si>
  <si>
    <t>관련 불량률 전체 2%미만으로 감소 예상</t>
    <phoneticPr fontId="14" type="noConversion"/>
  </si>
  <si>
    <r>
      <t xml:space="preserve">4. </t>
    </r>
    <r>
      <rPr>
        <sz val="10"/>
        <rFont val="맑은 고딕"/>
        <family val="2"/>
        <charset val="129"/>
      </rPr>
      <t xml:space="preserve">오염, 덧살, 칩 불량 등의 경우 90% 재작업하여 대부분 사용 중. </t>
    </r>
    <r>
      <rPr>
        <b/>
        <sz val="10"/>
        <rFont val="맑은 고딕"/>
        <family val="3"/>
        <charset val="129"/>
      </rPr>
      <t>위 직통률은 재작업 후 OK 수량 미반영</t>
    </r>
    <phoneticPr fontId="14" type="noConversion"/>
  </si>
  <si>
    <t>현재 디게이팅 메뉴얼 작업 시, 제품 면이 일부 과하게 뜯김
해당 면은 가공 면이라 즉시 판단이 어려워 가공 후 NG 판정</t>
    <phoneticPr fontId="14" type="noConversion"/>
  </si>
  <si>
    <t>CNC 작업 혹은 레이저커팅 제작 검토</t>
    <phoneticPr fontId="14" type="noConversion"/>
  </si>
  <si>
    <t>2월 단발성 가공 세팅 불량</t>
    <phoneticPr fontId="14" type="noConversion"/>
  </si>
  <si>
    <t>재세팅, 지그 개선 완료. 현재 1% 미만</t>
    <phoneticPr fontId="14" type="noConversion"/>
  </si>
  <si>
    <t>자동화 로보트 제품 안착,탈착 조건 재검토 
작업자 제품 취급 지속교육(세척공정, 에어 게이지 검사). 궁극적으로 검사 자동화 검토</t>
    <phoneticPr fontId="14" type="noConversion"/>
  </si>
  <si>
    <t>자동화 라인에서 지그에 제품 안착 시, 칩에 의한 찍힘 발생
제품 놓을 때 제위치가 아닐 경우 발생</t>
    <phoneticPr fontId="14" type="noConversion"/>
  </si>
  <si>
    <t>50% 감소 예상</t>
    <phoneticPr fontId="14" type="noConversion"/>
  </si>
  <si>
    <t>100% 감소 예상</t>
    <phoneticPr fontId="14" type="noConversion"/>
  </si>
  <si>
    <t>주조불량, 미성형</t>
    <phoneticPr fontId="14" type="noConversion"/>
  </si>
  <si>
    <t>불량률 절반 감소 목표</t>
    <phoneticPr fontId="14" type="noConversion"/>
  </si>
  <si>
    <t>금형 표면 온도와 용탕 온도 차이가 심할 경우 필링 발생
이즈미 설비 형체력 감소 문제 발생</t>
    <phoneticPr fontId="14" type="noConversion"/>
  </si>
  <si>
    <r>
      <rPr>
        <sz val="9"/>
        <rFont val="맑은 고딕"/>
        <family val="2"/>
        <charset val="129"/>
      </rPr>
      <t>변경 게이트 도요 350</t>
    </r>
    <r>
      <rPr>
        <sz val="9"/>
        <rFont val="Arial"/>
        <family val="2"/>
      </rPr>
      <t xml:space="preserve">t </t>
    </r>
    <r>
      <rPr>
        <sz val="9"/>
        <rFont val="맑은 고딕"/>
        <family val="2"/>
        <charset val="129"/>
      </rPr>
      <t>생산 시 박리 개선 효과 있음
(충진율, 흐름성 개선, 제품 내 온도차 감소)</t>
    </r>
    <phoneticPr fontId="14" type="noConversion"/>
  </si>
  <si>
    <t>금형 표면 온도와 용탕 온도 차이가 심할 경우 필링 발생</t>
    <phoneticPr fontId="14" type="noConversion"/>
  </si>
  <si>
    <t>온조기 신형 교체 (기존 최대 280도 → 신형 320도까지 가능)
이형제 분사 시간 조정
박리 고정 발생 부 코어 내 방전 피막 코팅 적용</t>
    <phoneticPr fontId="14" type="noConversion"/>
  </si>
  <si>
    <t>설비 내 비스켓 두께 설정 → 10~16mm 외 제품은 자동 폐기하는 것으로 세팅 진행</t>
    <phoneticPr fontId="14" type="noConversion"/>
  </si>
  <si>
    <t>30% 감소 목표</t>
    <phoneticPr fontId="14" type="noConversion"/>
  </si>
  <si>
    <t>생산 중 비산 발생이 불규칙적으로 발생하여 그로 인한 기공으로 추정</t>
    <phoneticPr fontId="14" type="noConversion"/>
  </si>
  <si>
    <t>현재 1차 개선 후 기존 14~15% → 9.8% 수준으로 방안 설계 개선했으나 추가 개선안 검토 예정</t>
    <phoneticPr fontId="14" type="noConversion"/>
  </si>
  <si>
    <t>박리 고정 발생 부 코어 내 방전 피막 코팅 적용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</si>
</sst>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38">
    <font>
      <sz val="11"/>
      <color theme="1"/>
      <name val="맑은 고딕"/>
      <family val="2"/>
      <scheme val="minor"/>
    </font>
    <font>
      <b/>
      <sz val="18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9"/>
      <name val="맑은 고딕"/>
      <family val="2"/>
      <charset val="129"/>
    </font>
    <font>
      <b/>
      <sz val="10"/>
      <name val="맑은 고딕"/>
      <family val="2"/>
      <charset val="129"/>
    </font>
    <font>
      <b/>
      <sz val="12"/>
      <color rgb="FFFFFFFF"/>
      <name val="Arial"/>
      <family val="1"/>
    </font>
    <font>
      <b/>
      <sz val="12"/>
      <color rgb="FFFFFFFF"/>
      <name val="맑은 고딕"/>
      <family val="3"/>
      <charset val="129"/>
    </font>
    <font>
      <b/>
      <sz val="12"/>
      <color rgb="FFFFFFFF"/>
      <name val="Segoe UI Symbol"/>
      <family val="1"/>
    </font>
    <font>
      <sz val="10"/>
      <name val="Arial"/>
      <family val="3"/>
      <charset val="129"/>
    </font>
    <font>
      <b/>
      <sz val="12"/>
      <color rgb="FFFFFFFF"/>
      <name val="Segoe UI Symbol"/>
      <family val="2"/>
    </font>
    <font>
      <sz val="9"/>
      <name val="맑은 고딕"/>
      <family val="3"/>
      <charset val="129"/>
    </font>
    <font>
      <b/>
      <sz val="11"/>
      <color rgb="FFFFFFFF"/>
      <name val="Arial"/>
      <family val="1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Segoe UI Symbol"/>
      <family val="1"/>
    </font>
    <font>
      <sz val="11"/>
      <name val="맑은 고딕"/>
      <family val="3"/>
      <charset val="129"/>
    </font>
    <font>
      <sz val="11"/>
      <name val="Arial"/>
      <family val="3"/>
      <charset val="129"/>
    </font>
    <font>
      <b/>
      <sz val="10"/>
      <name val="맑은 고딕"/>
      <family val="3"/>
      <charset val="129"/>
    </font>
    <font>
      <b/>
      <sz val="12"/>
      <color rgb="FFFFFFFF"/>
      <name val="맑은 고딕"/>
      <family val="2"/>
      <charset val="129"/>
    </font>
    <font>
      <sz val="9"/>
      <name val="Arial"/>
      <family val="3"/>
      <charset val="129"/>
    </font>
    <font>
      <b/>
      <sz val="12"/>
      <color rgb="FFFFFFFF"/>
      <name val="맑은 고딕"/>
      <family val="1"/>
      <charset val="129"/>
    </font>
    <font>
      <sz val="9"/>
      <name val="Arial"/>
      <family val="2"/>
      <charset val="129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C000"/>
        <bgColor rgb="FFF2F2F2"/>
      </patternFill>
    </fill>
    <fill>
      <patternFill patternType="solid">
        <fgColor rgb="FF00B0F0"/>
        <bgColor rgb="FFF2F2F2"/>
      </patternFill>
    </fill>
    <fill>
      <patternFill patternType="solid">
        <fgColor rgb="FF00B0F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0" xfId="0" applyFont="1"/>
    <xf numFmtId="3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5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76" fontId="0" fillId="0" borderId="0" xfId="1" applyNumberFormat="1" applyFont="1" applyAlignment="1"/>
    <xf numFmtId="176" fontId="0" fillId="0" borderId="0" xfId="0" applyNumberFormat="1"/>
    <xf numFmtId="9" fontId="5" fillId="0" borderId="1" xfId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9" fontId="5" fillId="8" borderId="1" xfId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76" fontId="5" fillId="0" borderId="1" xfId="1" applyNumberFormat="1" applyFont="1" applyFill="1" applyBorder="1" applyAlignment="1">
      <alignment horizontal="right" vertical="center" wrapText="1"/>
    </xf>
    <xf numFmtId="176" fontId="5" fillId="8" borderId="1" xfId="1" applyNumberFormat="1" applyFont="1" applyFill="1" applyBorder="1" applyAlignment="1">
      <alignment horizontal="righ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9" fontId="6" fillId="0" borderId="1" xfId="1" applyFont="1" applyFill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41" fontId="5" fillId="0" borderId="1" xfId="2" applyFont="1" applyFill="1" applyBorder="1" applyAlignment="1">
      <alignment horizontal="center" vertical="center" wrapText="1"/>
    </xf>
    <xf numFmtId="176" fontId="5" fillId="0" borderId="1" xfId="1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5" fillId="8" borderId="1" xfId="0" applyNumberFormat="1" applyFont="1" applyFill="1" applyBorder="1" applyAlignment="1">
      <alignment horizontal="right" vertical="center" wrapText="1"/>
    </xf>
    <xf numFmtId="176" fontId="5" fillId="0" borderId="1" xfId="1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176" fontId="0" fillId="0" borderId="0" xfId="1" applyNumberFormat="1" applyFont="1" applyFill="1" applyAlignment="1"/>
    <xf numFmtId="0" fontId="5" fillId="0" borderId="0" xfId="0" applyFont="1" applyAlignment="1">
      <alignment horizontal="left" vertical="center" wrapText="1"/>
    </xf>
    <xf numFmtId="3" fontId="5" fillId="13" borderId="1" xfId="0" applyNumberFormat="1" applyFont="1" applyFill="1" applyBorder="1" applyAlignment="1">
      <alignment horizontal="right" vertical="center" wrapText="1"/>
    </xf>
    <xf numFmtId="3" fontId="6" fillId="13" borderId="1" xfId="0" applyNumberFormat="1" applyFont="1" applyFill="1" applyBorder="1" applyAlignment="1">
      <alignment horizontal="right" vertical="center" wrapText="1"/>
    </xf>
    <xf numFmtId="176" fontId="5" fillId="13" borderId="1" xfId="1" applyNumberFormat="1" applyFont="1" applyFill="1" applyBorder="1" applyAlignment="1">
      <alignment horizontal="center" vertical="center" wrapText="1"/>
    </xf>
    <xf numFmtId="41" fontId="0" fillId="0" borderId="0" xfId="0" applyNumberFormat="1"/>
    <xf numFmtId="41" fontId="0" fillId="0" borderId="0" xfId="2" applyFont="1" applyFill="1" applyAlignment="1"/>
    <xf numFmtId="41" fontId="0" fillId="0" borderId="0" xfId="2" applyFont="1" applyAlignment="1"/>
    <xf numFmtId="176" fontId="5" fillId="8" borderId="1" xfId="1" applyNumberFormat="1" applyFont="1" applyFill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176" fontId="24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176" fontId="5" fillId="13" borderId="2" xfId="1" applyNumberFormat="1" applyFont="1" applyFill="1" applyBorder="1" applyAlignment="1">
      <alignment horizontal="center" vertical="center" wrapText="1"/>
    </xf>
    <xf numFmtId="176" fontId="5" fillId="13" borderId="3" xfId="1" applyNumberFormat="1" applyFont="1" applyFill="1" applyBorder="1" applyAlignment="1">
      <alignment horizontal="center" vertical="center" wrapText="1"/>
    </xf>
    <xf numFmtId="176" fontId="5" fillId="13" borderId="4" xfId="1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7" borderId="0" xfId="0" applyFont="1" applyFill="1"/>
    <xf numFmtId="0" fontId="27" fillId="7" borderId="0" xfId="0" applyFont="1" applyFill="1"/>
    <xf numFmtId="0" fontId="6" fillId="14" borderId="1" xfId="0" applyFont="1" applyFill="1" applyBorder="1" applyAlignment="1">
      <alignment horizontal="center" vertical="center" wrapText="1"/>
    </xf>
    <xf numFmtId="41" fontId="5" fillId="15" borderId="1" xfId="2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9" fontId="16" fillId="2" borderId="0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7" fillId="0" borderId="6" xfId="0" applyFont="1" applyBorder="1" applyAlignment="1">
      <alignment horizontal="left" vertical="center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66675</xdr:rowOff>
    </xdr:from>
    <xdr:ext cx="619125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9650"/>
          <a:ext cx="6191250" cy="381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619125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6191250" cy="381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&#52852;&#52852;&#50724;&#53665;%20&#48155;&#51008;%20&#54028;&#51068;\&#54408;&#51656;&#48516;&#49437;&#48372;&#44256;&#49436;_2026Q1%20(1).xlsx" TargetMode="External"/><Relationship Id="rId1" Type="http://schemas.openxmlformats.org/officeDocument/2006/relationships/externalLinkPath" Target="&#54408;&#51656;&#48516;&#49437;&#48372;&#44256;&#49436;_2026Q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(Executive Summary)"/>
      <sheetName val="제품별 불량 현황"/>
      <sheetName val="제품별 공정별 불량현황"/>
      <sheetName val="불량율 매트릭스"/>
      <sheetName val="공정별 불량 현황"/>
      <sheetName val="파레토 분석"/>
      <sheetName val="월별 불량 추이"/>
      <sheetName val="근본원인 분석(5-Why)"/>
      <sheetName val="제품별 파레토"/>
      <sheetName val="개선 우선순위"/>
    </sheetNames>
    <sheetDataSet>
      <sheetData sheetId="0"/>
      <sheetData sheetId="1"/>
      <sheetData sheetId="2">
        <row r="4">
          <cell r="C4">
            <v>162415</v>
          </cell>
        </row>
        <row r="5">
          <cell r="C5">
            <v>158324</v>
          </cell>
        </row>
        <row r="6">
          <cell r="C6">
            <v>164382</v>
          </cell>
          <cell r="D6">
            <v>6552</v>
          </cell>
        </row>
        <row r="7">
          <cell r="C7">
            <v>157276</v>
          </cell>
        </row>
        <row r="21">
          <cell r="C21">
            <v>191407</v>
          </cell>
        </row>
        <row r="22">
          <cell r="C22">
            <v>183047</v>
          </cell>
        </row>
        <row r="23">
          <cell r="C23">
            <v>184556</v>
          </cell>
        </row>
        <row r="24">
          <cell r="C24">
            <v>187090</v>
          </cell>
        </row>
        <row r="26">
          <cell r="C26">
            <v>114896</v>
          </cell>
        </row>
        <row r="27">
          <cell r="C27">
            <v>110849</v>
          </cell>
        </row>
        <row r="28">
          <cell r="C28">
            <v>131533</v>
          </cell>
        </row>
        <row r="29">
          <cell r="C29">
            <v>123318</v>
          </cell>
        </row>
        <row r="31">
          <cell r="C31">
            <v>240922</v>
          </cell>
        </row>
        <row r="32">
          <cell r="C32">
            <v>255770</v>
          </cell>
        </row>
        <row r="33">
          <cell r="C33">
            <v>245812</v>
          </cell>
        </row>
        <row r="34">
          <cell r="C34">
            <v>243388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E95BF-BBD5-4766-B015-D9112187343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1a57939f-048b-45e5-bb83-193ff1ea7c26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showGridLines="0" zoomScaleNormal="100" workbookViewId="0">
      <pane ySplit="5" topLeftCell="A6" activePane="bottomLeft" state="frozen"/>
      <selection pane="bottomLeft" activeCell="D8" sqref="D8"/>
    </sheetView>
  </sheetViews>
  <sheetFormatPr defaultRowHeight="17.399999999999999"/>
  <cols>
    <col min="1" max="1" width="13" bestFit="1" customWidth="1"/>
    <col min="2" max="2" width="17.69921875" customWidth="1"/>
    <col min="3" max="3" width="18" customWidth="1"/>
    <col min="4" max="4" width="14.8984375" customWidth="1"/>
    <col min="5" max="14" width="10.09765625" customWidth="1"/>
    <col min="15" max="16" width="15" customWidth="1"/>
    <col min="17" max="17" width="11.69921875" bestFit="1" customWidth="1"/>
    <col min="18" max="18" width="10.59765625" customWidth="1"/>
  </cols>
  <sheetData>
    <row r="1" spans="1:18" ht="30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8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8">
      <c r="A3" s="83" t="s">
        <v>77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5" spans="1:18" ht="16.5" customHeight="1">
      <c r="A5" s="96" t="s">
        <v>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8" ht="21" customHeight="1">
      <c r="A6" s="79" t="s">
        <v>2</v>
      </c>
      <c r="B6" s="77" t="s">
        <v>60</v>
      </c>
      <c r="C6" s="77" t="s">
        <v>59</v>
      </c>
      <c r="D6" s="77" t="s">
        <v>61</v>
      </c>
      <c r="E6" s="94" t="s">
        <v>62</v>
      </c>
      <c r="F6" s="95"/>
      <c r="G6" s="95"/>
      <c r="H6" s="95"/>
      <c r="I6" s="95"/>
      <c r="J6" s="95"/>
      <c r="K6" s="95"/>
      <c r="L6" s="95"/>
      <c r="M6" s="95"/>
      <c r="N6" s="95"/>
    </row>
    <row r="7" spans="1:18" ht="21" customHeight="1">
      <c r="A7" s="80"/>
      <c r="B7" s="78"/>
      <c r="C7" s="78"/>
      <c r="D7" s="78"/>
      <c r="E7" s="18" t="s">
        <v>64</v>
      </c>
      <c r="F7" s="18" t="s">
        <v>63</v>
      </c>
      <c r="G7" s="18" t="s">
        <v>65</v>
      </c>
      <c r="H7" s="18" t="s">
        <v>63</v>
      </c>
      <c r="I7" s="18" t="s">
        <v>66</v>
      </c>
      <c r="J7" s="18" t="s">
        <v>63</v>
      </c>
      <c r="K7" s="89" t="s">
        <v>93</v>
      </c>
      <c r="L7" s="89" t="s">
        <v>63</v>
      </c>
      <c r="M7" s="89" t="s">
        <v>94</v>
      </c>
      <c r="N7" s="93">
        <v>0.05</v>
      </c>
      <c r="O7" s="54"/>
      <c r="P7" s="55"/>
      <c r="Q7" s="56"/>
      <c r="R7" s="20"/>
    </row>
    <row r="8" spans="1:18" ht="21" customHeight="1">
      <c r="A8" s="2" t="s">
        <v>8</v>
      </c>
      <c r="B8" s="35">
        <f>IMEB2!B8</f>
        <v>164382</v>
      </c>
      <c r="C8" s="35">
        <v>114768</v>
      </c>
      <c r="D8" s="36">
        <f>IMEB2!F8</f>
        <v>0.50415495613874994</v>
      </c>
      <c r="E8" s="53" t="str">
        <f>IMEB2!A16</f>
        <v>기공</v>
      </c>
      <c r="F8" s="53">
        <f>IMEB2!C16</f>
        <v>0.16922169093939726</v>
      </c>
      <c r="G8" s="36" t="str">
        <f>IMEB2!A17</f>
        <v>박리</v>
      </c>
      <c r="H8" s="59">
        <f>IMEB2!C17</f>
        <v>8.5045807935175383E-2</v>
      </c>
      <c r="I8" s="36" t="str">
        <f>IMEB2!A18</f>
        <v>찍힘</v>
      </c>
      <c r="J8" s="60">
        <f>IMEB2!C18</f>
        <v>5.146548892214476E-2</v>
      </c>
      <c r="K8" s="36" t="str">
        <f>IMEB2!A19</f>
        <v>기타(1%↓)</v>
      </c>
      <c r="L8" s="60">
        <f>IMEB2!C19</f>
        <v>3.9110121546154689E-2</v>
      </c>
      <c r="M8" s="36" t="str">
        <f>IMEB2!A20</f>
        <v>주조불량</v>
      </c>
      <c r="N8" s="60">
        <f>IMEB2!C20</f>
        <v>3.3726320400043801E-2</v>
      </c>
      <c r="O8" s="54"/>
      <c r="P8" s="55"/>
      <c r="Q8" s="56"/>
      <c r="R8" s="20"/>
    </row>
    <row r="9" spans="1:18" ht="21" customHeight="1">
      <c r="A9" s="2" t="s">
        <v>10</v>
      </c>
      <c r="B9" s="35">
        <f>'NX4 HOUSING'!B8</f>
        <v>131533</v>
      </c>
      <c r="C9" s="35">
        <v>129490</v>
      </c>
      <c r="D9" s="36">
        <f>'NX4 HOUSING'!F8</f>
        <v>0.70903119369283751</v>
      </c>
      <c r="E9" s="53" t="str">
        <f>'NX4 HOUSING'!A16</f>
        <v>기공</v>
      </c>
      <c r="F9" s="53">
        <f>'NX4 HOUSING'!C16</f>
        <v>9.7983015669071638E-2</v>
      </c>
      <c r="G9" s="2" t="str">
        <f>'NX4 HOUSING'!A17</f>
        <v>박리</v>
      </c>
      <c r="H9" s="60">
        <f>'NX4 HOUSING'!C17</f>
        <v>4.2042681304311463E-2</v>
      </c>
      <c r="I9" s="2" t="str">
        <f>'NX4 HOUSING'!A18</f>
        <v>주조불량</v>
      </c>
      <c r="J9" s="60">
        <f>'NX4 HOUSING'!C18</f>
        <v>3.9556613169318723E-2</v>
      </c>
      <c r="K9" s="2" t="str">
        <f>'NX4 HOUSING'!A19</f>
        <v>찍힘</v>
      </c>
      <c r="L9" s="60">
        <f>'NX4 HOUSING'!C19</f>
        <v>3.8606281313434652E-2</v>
      </c>
      <c r="M9" s="2" t="str">
        <f>'NX4 HOUSING'!A20</f>
        <v>미성형</v>
      </c>
      <c r="N9" s="60">
        <f>'NX4 HOUSING'!C20</f>
        <v>2.1895645959569082E-2</v>
      </c>
      <c r="O9" s="54"/>
      <c r="P9" s="55"/>
      <c r="Q9" s="56"/>
      <c r="R9" s="20"/>
    </row>
    <row r="10" spans="1:18" ht="21" customHeight="1">
      <c r="A10" s="2" t="s">
        <v>12</v>
      </c>
      <c r="B10" s="35">
        <f>'NX4 COVER'!B5</f>
        <v>184556</v>
      </c>
      <c r="C10" s="35">
        <v>176714</v>
      </c>
      <c r="D10" s="36">
        <f>'NX4 COVER'!F5</f>
        <v>0.68578100955807453</v>
      </c>
      <c r="E10" s="53" t="str">
        <f>'NX4 COVER'!A13</f>
        <v>박리</v>
      </c>
      <c r="F10" s="53">
        <f>'NX4 COVER'!C13</f>
        <v>8.267409350007586E-2</v>
      </c>
      <c r="G10" s="2" t="str">
        <f>'NX4 COVER'!A14</f>
        <v>기공</v>
      </c>
      <c r="H10" s="60">
        <f>'NX4 COVER'!C14</f>
        <v>4.9724744792908386E-2</v>
      </c>
      <c r="I10" s="2" t="str">
        <f>'NX4 COVER'!A15</f>
        <v>치수불량</v>
      </c>
      <c r="J10" s="60">
        <f>'NX4 COVER'!C15</f>
        <v>3.4715750232991616E-2</v>
      </c>
      <c r="K10" s="2" t="str">
        <f>'NX4 COVER'!A16</f>
        <v>뜯김</v>
      </c>
      <c r="L10" s="60">
        <f>'NX4 COVER'!C16</f>
        <v>3.4634474089165347E-2</v>
      </c>
      <c r="M10" s="2" t="str">
        <f>'NX4 COVER'!A17</f>
        <v>찍힘</v>
      </c>
      <c r="N10" s="60">
        <f>'NX4 COVER'!C17</f>
        <v>3.4558616354927504E-2</v>
      </c>
      <c r="O10" s="54"/>
      <c r="P10" s="55"/>
      <c r="Q10" s="56"/>
      <c r="R10" s="20"/>
    </row>
    <row r="11" spans="1:18" ht="21" customHeight="1">
      <c r="A11" s="2" t="s">
        <v>13</v>
      </c>
      <c r="B11" s="35">
        <f>TEYGEN4!B5</f>
        <v>245812</v>
      </c>
      <c r="C11" s="35">
        <v>233040</v>
      </c>
      <c r="D11" s="36">
        <f>TEYGEN4!F5</f>
        <v>0.7870120254503441</v>
      </c>
      <c r="E11" s="53" t="str">
        <f>TEYGEN4!A13</f>
        <v>주조불량</v>
      </c>
      <c r="F11" s="53">
        <f>TEYGEN4!C13</f>
        <v>3.6418075602492959E-2</v>
      </c>
      <c r="G11" s="2" t="str">
        <f>TEYGEN4!A14</f>
        <v>박리</v>
      </c>
      <c r="H11" s="60">
        <f>TEYGEN4!C14</f>
        <v>3.3859209477161409E-2</v>
      </c>
      <c r="I11" s="2" t="str">
        <f>TEYGEN4!A15</f>
        <v>오염(얼룩)</v>
      </c>
      <c r="J11" s="60">
        <f>TEYGEN4!C15</f>
        <v>3.1105072168974665E-2</v>
      </c>
      <c r="K11" s="2" t="str">
        <f>TEYGEN4!A16</f>
        <v>찍힘</v>
      </c>
      <c r="L11" s="60">
        <f>TEYGEN4!C16</f>
        <v>2.7659349421509122E-2</v>
      </c>
      <c r="M11" s="2" t="str">
        <f>TEYGEN4!A17</f>
        <v>기공</v>
      </c>
      <c r="N11" s="60">
        <f>TEYGEN4!C17</f>
        <v>2.2081916261207753E-2</v>
      </c>
      <c r="O11" s="54"/>
      <c r="P11" s="55"/>
      <c r="Q11" s="56"/>
      <c r="R11" s="20"/>
    </row>
    <row r="12" spans="1:18" ht="21" customHeight="1">
      <c r="A12" s="87" t="s">
        <v>14</v>
      </c>
      <c r="B12" s="88">
        <f>SUM(B8:B11)</f>
        <v>726283</v>
      </c>
      <c r="C12" s="88">
        <f>SUM(C8:C11)</f>
        <v>654012</v>
      </c>
      <c r="D12" s="62"/>
      <c r="E12" s="62"/>
      <c r="F12" s="62"/>
      <c r="G12" s="5"/>
      <c r="H12" s="5"/>
      <c r="I12" s="5"/>
      <c r="J12" s="5"/>
      <c r="K12" s="5"/>
      <c r="L12" s="5"/>
      <c r="M12" s="5"/>
      <c r="N12" s="5"/>
      <c r="P12" s="49"/>
    </row>
    <row r="13" spans="1:18">
      <c r="Q13" s="54"/>
    </row>
    <row r="14" spans="1:18" ht="16.5" customHeight="1">
      <c r="A14" s="73" t="s">
        <v>56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Q14" s="54"/>
    </row>
    <row r="15" spans="1:18" ht="17.399999999999999" customHeight="1">
      <c r="A15" s="81" t="s">
        <v>55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61"/>
      <c r="P15" s="61"/>
      <c r="Q15" s="54"/>
    </row>
    <row r="16" spans="1:18" ht="17.399999999999999" customHeight="1">
      <c r="A16" s="81" t="s">
        <v>91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54"/>
    </row>
    <row r="17" spans="1:16" ht="17.399999999999999" customHeight="1">
      <c r="A17" s="81" t="s">
        <v>92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 spans="1:16" ht="17.399999999999999" customHeight="1">
      <c r="A18" s="81" t="s">
        <v>110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50"/>
      <c r="P18" s="50"/>
    </row>
    <row r="19" spans="1:16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61"/>
      <c r="P19" s="61"/>
    </row>
    <row r="20" spans="1:16" ht="16.5" customHeight="1">
      <c r="A20" s="72" t="s">
        <v>95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</row>
    <row r="22" spans="1:16">
      <c r="A22" s="1" t="s">
        <v>7</v>
      </c>
      <c r="B22" s="1" t="s">
        <v>2</v>
      </c>
      <c r="C22" s="1" t="s">
        <v>15</v>
      </c>
      <c r="D22" s="1" t="s">
        <v>16</v>
      </c>
      <c r="E22" s="1" t="s">
        <v>17</v>
      </c>
      <c r="F22" s="1"/>
      <c r="G22" s="1" t="s">
        <v>18</v>
      </c>
      <c r="H22" s="1"/>
      <c r="I22" s="1"/>
      <c r="J22" s="1" t="s">
        <v>19</v>
      </c>
      <c r="K22" s="90"/>
      <c r="L22" s="90"/>
      <c r="M22" s="90"/>
      <c r="N22" s="90"/>
    </row>
    <row r="23" spans="1:16">
      <c r="A23" s="4" t="s">
        <v>20</v>
      </c>
      <c r="B23" s="4" t="s">
        <v>8</v>
      </c>
      <c r="C23" s="63" t="str">
        <f>E8</f>
        <v>기공</v>
      </c>
      <c r="D23" s="4"/>
      <c r="E23" s="4"/>
      <c r="F23" s="4"/>
      <c r="G23" s="42" t="s">
        <v>21</v>
      </c>
      <c r="H23" s="42"/>
      <c r="I23" s="42"/>
      <c r="J23" s="4"/>
      <c r="K23" s="91"/>
      <c r="L23" s="91"/>
      <c r="M23" s="91"/>
      <c r="N23" s="91"/>
    </row>
    <row r="24" spans="1:16">
      <c r="A24" s="2" t="s">
        <v>22</v>
      </c>
      <c r="B24" s="2" t="s">
        <v>8</v>
      </c>
      <c r="C24" s="59" t="str">
        <f>G8</f>
        <v>박리</v>
      </c>
      <c r="D24" s="2"/>
      <c r="E24" s="2"/>
      <c r="F24" s="2"/>
      <c r="G24" s="6" t="s">
        <v>21</v>
      </c>
      <c r="H24" s="6"/>
      <c r="I24" s="6"/>
      <c r="J24" s="2"/>
      <c r="K24" s="92"/>
      <c r="L24" s="92"/>
      <c r="M24" s="92"/>
      <c r="N24" s="92"/>
    </row>
    <row r="25" spans="1:16">
      <c r="A25" s="4" t="s">
        <v>23</v>
      </c>
      <c r="B25" s="4" t="s">
        <v>24</v>
      </c>
      <c r="C25" s="64" t="str">
        <f>E9</f>
        <v>기공</v>
      </c>
      <c r="D25" s="4"/>
      <c r="E25" s="4"/>
      <c r="F25" s="4"/>
      <c r="G25" s="42" t="s">
        <v>21</v>
      </c>
      <c r="H25" s="42"/>
      <c r="I25" s="42"/>
      <c r="J25" s="4"/>
      <c r="K25" s="91"/>
      <c r="L25" s="91"/>
      <c r="M25" s="91"/>
      <c r="N25" s="91"/>
    </row>
    <row r="26" spans="1:16">
      <c r="A26" s="2" t="s">
        <v>25</v>
      </c>
      <c r="B26" s="2" t="s">
        <v>24</v>
      </c>
      <c r="C26" s="2" t="str">
        <f>G9</f>
        <v>박리</v>
      </c>
      <c r="D26" s="2"/>
      <c r="E26" s="2"/>
      <c r="F26" s="2"/>
      <c r="G26" s="7" t="s">
        <v>26</v>
      </c>
      <c r="H26" s="7"/>
      <c r="I26" s="7"/>
      <c r="J26" s="2"/>
      <c r="K26" s="92"/>
      <c r="L26" s="92"/>
      <c r="M26" s="92"/>
      <c r="N26" s="92"/>
    </row>
    <row r="27" spans="1:16">
      <c r="A27" s="4" t="s">
        <v>27</v>
      </c>
      <c r="B27" s="4" t="s">
        <v>28</v>
      </c>
      <c r="C27" s="64" t="str">
        <f>E10</f>
        <v>박리</v>
      </c>
      <c r="D27" s="4"/>
      <c r="E27" s="4"/>
      <c r="F27" s="4"/>
      <c r="G27" s="43" t="s">
        <v>26</v>
      </c>
      <c r="H27" s="43"/>
      <c r="I27" s="43"/>
      <c r="J27" s="4"/>
      <c r="K27" s="91"/>
      <c r="L27" s="91"/>
      <c r="M27" s="91"/>
      <c r="N27" s="91"/>
    </row>
    <row r="28" spans="1:16">
      <c r="A28" s="2" t="s">
        <v>29</v>
      </c>
      <c r="B28" s="2" t="s">
        <v>28</v>
      </c>
      <c r="C28" s="2" t="str">
        <f>G10</f>
        <v>기공</v>
      </c>
      <c r="D28" s="2"/>
      <c r="E28" s="2"/>
      <c r="F28" s="2"/>
      <c r="G28" s="7" t="s">
        <v>26</v>
      </c>
      <c r="H28" s="7"/>
      <c r="I28" s="7"/>
      <c r="J28" s="2"/>
      <c r="K28" s="92"/>
      <c r="L28" s="92"/>
      <c r="M28" s="92"/>
      <c r="N28" s="92"/>
    </row>
    <row r="29" spans="1:16">
      <c r="A29" s="4" t="s">
        <v>30</v>
      </c>
      <c r="B29" s="4" t="s">
        <v>13</v>
      </c>
      <c r="C29" s="64" t="str">
        <f>E11</f>
        <v>주조불량</v>
      </c>
      <c r="D29" s="4"/>
      <c r="E29" s="4"/>
      <c r="F29" s="4"/>
      <c r="G29" s="44" t="s">
        <v>31</v>
      </c>
      <c r="H29" s="44"/>
      <c r="I29" s="44"/>
      <c r="J29" s="4"/>
      <c r="K29" s="91"/>
      <c r="L29" s="91"/>
      <c r="M29" s="91"/>
      <c r="N29" s="91"/>
    </row>
    <row r="30" spans="1:16">
      <c r="A30" s="2" t="s">
        <v>32</v>
      </c>
      <c r="B30" s="2" t="s">
        <v>13</v>
      </c>
      <c r="C30" s="2" t="str">
        <f>G11</f>
        <v>박리</v>
      </c>
      <c r="D30" s="2"/>
      <c r="E30" s="2"/>
      <c r="F30" s="2"/>
      <c r="G30" s="45" t="s">
        <v>31</v>
      </c>
      <c r="H30" s="45"/>
      <c r="I30" s="45"/>
      <c r="J30" s="2"/>
      <c r="K30" s="92"/>
      <c r="L30" s="92"/>
      <c r="M30" s="92"/>
      <c r="N30" s="92"/>
    </row>
    <row r="32" spans="1:16">
      <c r="A32" t="s">
        <v>71</v>
      </c>
    </row>
    <row r="33" spans="1:1">
      <c r="A33" t="s">
        <v>75</v>
      </c>
    </row>
    <row r="34" spans="1:1">
      <c r="A34" t="s">
        <v>76</v>
      </c>
    </row>
  </sheetData>
  <mergeCells count="17">
    <mergeCell ref="A19:N19"/>
    <mergeCell ref="O16:P16"/>
    <mergeCell ref="E6:N6"/>
    <mergeCell ref="A1:N2"/>
    <mergeCell ref="A3:N3"/>
    <mergeCell ref="A5:N5"/>
    <mergeCell ref="A14:N14"/>
    <mergeCell ref="A15:N15"/>
    <mergeCell ref="A16:N16"/>
    <mergeCell ref="D6:D7"/>
    <mergeCell ref="C6:C7"/>
    <mergeCell ref="B6:B7"/>
    <mergeCell ref="A6:A7"/>
    <mergeCell ref="O17:P17"/>
    <mergeCell ref="A20:N20"/>
    <mergeCell ref="A18:N18"/>
    <mergeCell ref="A17:N17"/>
  </mergeCells>
  <phoneticPr fontId="14" type="noConversion"/>
  <pageMargins left="0.5" right="0.5" top="0.75" bottom="0.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abSelected="1" zoomScaleNormal="100" workbookViewId="0">
      <pane ySplit="6" topLeftCell="A28" activePane="bottomLeft" state="frozen"/>
      <selection pane="bottomLeft" activeCell="J31" sqref="J31"/>
    </sheetView>
  </sheetViews>
  <sheetFormatPr defaultRowHeight="17.399999999999999"/>
  <cols>
    <col min="1" max="1" width="12" customWidth="1"/>
    <col min="2" max="7" width="15" customWidth="1"/>
    <col min="8" max="8" width="12" customWidth="1"/>
    <col min="9" max="9" width="15.5" customWidth="1"/>
  </cols>
  <sheetData>
    <row r="1" spans="1:9" ht="25.2" customHeight="1">
      <c r="A1" s="67" t="s">
        <v>33</v>
      </c>
      <c r="B1" s="66"/>
      <c r="C1" s="66"/>
      <c r="D1" s="66"/>
      <c r="E1" s="66"/>
      <c r="F1" s="66"/>
      <c r="G1" s="66"/>
      <c r="H1" s="66"/>
      <c r="I1" s="66"/>
    </row>
    <row r="3" spans="1:9">
      <c r="A3" s="8" t="s">
        <v>3</v>
      </c>
      <c r="B3" s="9">
        <v>3890646</v>
      </c>
      <c r="C3" s="8" t="s">
        <v>4</v>
      </c>
      <c r="D3" s="9">
        <v>3631451</v>
      </c>
      <c r="E3" s="8" t="s">
        <v>5</v>
      </c>
      <c r="F3" s="9">
        <v>259195</v>
      </c>
      <c r="G3" s="8" t="s">
        <v>6</v>
      </c>
      <c r="H3" s="9">
        <v>66620</v>
      </c>
    </row>
    <row r="4" spans="1:9">
      <c r="A4" s="8" t="s">
        <v>72</v>
      </c>
      <c r="B4" s="10">
        <v>6.66</v>
      </c>
      <c r="C4" s="8" t="s">
        <v>73</v>
      </c>
      <c r="D4" s="10">
        <v>93.34</v>
      </c>
      <c r="E4" s="8" t="s">
        <v>34</v>
      </c>
      <c r="F4" s="11" t="s">
        <v>54</v>
      </c>
      <c r="G4" s="8" t="s">
        <v>57</v>
      </c>
      <c r="H4" s="11" t="s">
        <v>9</v>
      </c>
    </row>
    <row r="6" spans="1:9">
      <c r="A6" s="65" t="s">
        <v>35</v>
      </c>
      <c r="B6" s="66"/>
      <c r="C6" s="66"/>
      <c r="D6" s="66"/>
      <c r="E6" s="66"/>
      <c r="F6" s="66"/>
      <c r="G6" s="66"/>
      <c r="H6" s="66"/>
      <c r="I6" s="66"/>
    </row>
    <row r="7" spans="1:9">
      <c r="A7" s="1" t="s">
        <v>36</v>
      </c>
      <c r="B7" s="1" t="s">
        <v>3</v>
      </c>
      <c r="C7" s="1" t="s">
        <v>4</v>
      </c>
      <c r="D7" s="1" t="s">
        <v>5</v>
      </c>
      <c r="E7" s="1" t="s">
        <v>72</v>
      </c>
      <c r="F7" s="13" t="s">
        <v>74</v>
      </c>
    </row>
    <row r="8" spans="1:9">
      <c r="A8" s="2" t="s">
        <v>39</v>
      </c>
      <c r="B8" s="51">
        <f>'[1]제품별 공정별 불량현황'!$C$6</f>
        <v>164382</v>
      </c>
      <c r="C8" s="33">
        <f>B8-D8</f>
        <v>157830</v>
      </c>
      <c r="D8" s="33">
        <f>'[1]제품별 공정별 불량현황'!$D$6</f>
        <v>6552</v>
      </c>
      <c r="E8" s="37">
        <f>D8/B8</f>
        <v>3.9858378654597217E-2</v>
      </c>
      <c r="F8" s="69">
        <f>1-D12/B8</f>
        <v>0.50415495613874994</v>
      </c>
    </row>
    <row r="9" spans="1:9">
      <c r="A9" s="2" t="s">
        <v>37</v>
      </c>
      <c r="B9" s="33">
        <f>'[1]제품별 공정별 불량현황'!$C$7</f>
        <v>157276</v>
      </c>
      <c r="C9" s="33">
        <f>B9-D9</f>
        <v>155810</v>
      </c>
      <c r="D9" s="33">
        <f>1466</f>
        <v>1466</v>
      </c>
      <c r="E9" s="37">
        <f>D9/B9</f>
        <v>9.3211933162084485E-3</v>
      </c>
      <c r="F9" s="70"/>
      <c r="G9" s="14"/>
    </row>
    <row r="10" spans="1:9">
      <c r="A10" s="22" t="s">
        <v>38</v>
      </c>
      <c r="B10" s="34">
        <f>'[1]제품별 공정별 불량현황'!$C$4</f>
        <v>162415</v>
      </c>
      <c r="C10" s="33">
        <f t="shared" ref="C10:C11" si="0">B10-D10</f>
        <v>118256</v>
      </c>
      <c r="D10" s="34">
        <f>44159</f>
        <v>44159</v>
      </c>
      <c r="E10" s="38">
        <f>D10/B10</f>
        <v>0.27188991164609178</v>
      </c>
      <c r="F10" s="70"/>
    </row>
    <row r="11" spans="1:9">
      <c r="A11" s="22" t="s">
        <v>40</v>
      </c>
      <c r="B11" s="34">
        <f>'[1]제품별 공정별 불량현황'!$C$5</f>
        <v>158324</v>
      </c>
      <c r="C11" s="33">
        <v>155810</v>
      </c>
      <c r="D11" s="34">
        <f>29331</f>
        <v>29331</v>
      </c>
      <c r="E11" s="38">
        <f>D11/B11</f>
        <v>0.18525934160329452</v>
      </c>
      <c r="F11" s="71"/>
    </row>
    <row r="12" spans="1:9">
      <c r="A12" s="29" t="s">
        <v>53</v>
      </c>
      <c r="B12" s="40">
        <f>SUM(B8:B11)</f>
        <v>642397</v>
      </c>
      <c r="C12" s="40">
        <f>SUM(C8:C11)</f>
        <v>587706</v>
      </c>
      <c r="D12" s="52">
        <f>SUM(D8:D11)</f>
        <v>81508</v>
      </c>
      <c r="E12" s="32"/>
      <c r="F12" s="41"/>
      <c r="G12" s="14"/>
    </row>
    <row r="13" spans="1:9">
      <c r="D13" s="14"/>
      <c r="F13" s="12"/>
    </row>
    <row r="14" spans="1:9">
      <c r="A14" s="68" t="s">
        <v>52</v>
      </c>
      <c r="B14" s="66"/>
      <c r="C14" s="66"/>
      <c r="D14" s="66"/>
      <c r="E14" s="66"/>
      <c r="F14" s="66"/>
      <c r="G14" s="66"/>
      <c r="H14" s="66"/>
      <c r="I14" s="66"/>
    </row>
    <row r="15" spans="1:9">
      <c r="A15" s="1" t="s">
        <v>41</v>
      </c>
      <c r="B15" s="1" t="s">
        <v>42</v>
      </c>
      <c r="C15" s="18" t="s">
        <v>70</v>
      </c>
      <c r="D15" s="18" t="s">
        <v>51</v>
      </c>
    </row>
    <row r="16" spans="1:9">
      <c r="A16" s="22" t="s">
        <v>54</v>
      </c>
      <c r="B16" s="23">
        <v>27817</v>
      </c>
      <c r="C16" s="57">
        <f>B16/$B$8</f>
        <v>0.16922169093939726</v>
      </c>
      <c r="D16" s="24">
        <f>B16/$B$27</f>
        <v>0.3412793836187859</v>
      </c>
      <c r="E16" t="s">
        <v>68</v>
      </c>
    </row>
    <row r="17" spans="1:9">
      <c r="A17" s="22" t="s">
        <v>49</v>
      </c>
      <c r="B17" s="23">
        <v>13980</v>
      </c>
      <c r="C17" s="57">
        <f>B17/$B$8</f>
        <v>8.5045807935175383E-2</v>
      </c>
      <c r="D17" s="24">
        <f>B17/$B$27</f>
        <v>0.17151690631594443</v>
      </c>
    </row>
    <row r="18" spans="1:9">
      <c r="A18" s="25" t="s">
        <v>78</v>
      </c>
      <c r="B18" s="23">
        <v>8460</v>
      </c>
      <c r="C18" s="57">
        <f>B18/$B$8</f>
        <v>5.146548892214476E-2</v>
      </c>
      <c r="D18" s="24">
        <f>B18/$B$27</f>
        <v>0.10379349266329685</v>
      </c>
    </row>
    <row r="19" spans="1:9">
      <c r="A19" s="16" t="s">
        <v>87</v>
      </c>
      <c r="B19" s="3">
        <v>6429</v>
      </c>
      <c r="C19" s="36">
        <f>B19/$B$8</f>
        <v>3.9110121546154689E-2</v>
      </c>
      <c r="D19" s="21">
        <f>B19/$B$27</f>
        <v>7.8875693183491191E-2</v>
      </c>
    </row>
    <row r="20" spans="1:9">
      <c r="A20" s="17" t="s">
        <v>67</v>
      </c>
      <c r="B20" s="3">
        <v>5544</v>
      </c>
      <c r="C20" s="36">
        <f>B20/$B$8</f>
        <v>3.3726320400043801E-2</v>
      </c>
      <c r="D20" s="21">
        <f>B20/$B$27</f>
        <v>6.8017863277224325E-2</v>
      </c>
    </row>
    <row r="21" spans="1:9">
      <c r="A21" s="16" t="s">
        <v>79</v>
      </c>
      <c r="B21" s="3">
        <v>3863</v>
      </c>
      <c r="C21" s="36">
        <f>B21/$B$8</f>
        <v>2.3500139917995887E-2</v>
      </c>
      <c r="D21" s="21">
        <f>B21/$B$27</f>
        <v>4.7394120822495951E-2</v>
      </c>
    </row>
    <row r="22" spans="1:9">
      <c r="A22" s="17" t="s">
        <v>80</v>
      </c>
      <c r="B22" s="3">
        <v>3709</v>
      </c>
      <c r="C22" s="36">
        <f>B22/$B$8</f>
        <v>2.2563297684661338E-2</v>
      </c>
      <c r="D22" s="21">
        <f>B22/$B$27</f>
        <v>4.5504735731461944E-2</v>
      </c>
    </row>
    <row r="23" spans="1:9">
      <c r="A23" s="16" t="s">
        <v>81</v>
      </c>
      <c r="B23" s="3">
        <v>3557</v>
      </c>
      <c r="C23" s="36">
        <f t="shared" ref="C23:C26" si="1">B23/$B$8</f>
        <v>2.1638622233577886E-2</v>
      </c>
      <c r="D23" s="21">
        <f>B23/$B$27</f>
        <v>4.3639888109142662E-2</v>
      </c>
    </row>
    <row r="24" spans="1:9">
      <c r="A24" s="2" t="s">
        <v>82</v>
      </c>
      <c r="B24" s="3">
        <v>2983</v>
      </c>
      <c r="C24" s="36">
        <f t="shared" si="1"/>
        <v>1.8146755727512745E-2</v>
      </c>
      <c r="D24" s="21">
        <f>B24/$B$27</f>
        <v>3.6597634588015904E-2</v>
      </c>
    </row>
    <row r="25" spans="1:9">
      <c r="A25" s="17" t="s">
        <v>83</v>
      </c>
      <c r="B25" s="3">
        <v>2969</v>
      </c>
      <c r="C25" s="36">
        <f t="shared" si="1"/>
        <v>1.8061588251755058E-2</v>
      </c>
      <c r="D25" s="21">
        <f>B25/$B$27</f>
        <v>3.6425872307012809E-2</v>
      </c>
    </row>
    <row r="26" spans="1:9">
      <c r="A26" s="2" t="s">
        <v>84</v>
      </c>
      <c r="B26" s="3">
        <v>2197</v>
      </c>
      <c r="C26" s="36">
        <f t="shared" si="1"/>
        <v>1.336521030283121E-2</v>
      </c>
      <c r="D26" s="21">
        <f>B26/$B$27</f>
        <v>2.6954409383128035E-2</v>
      </c>
    </row>
    <row r="27" spans="1:9">
      <c r="A27" s="29" t="s">
        <v>50</v>
      </c>
      <c r="B27" s="30">
        <f>SUM(B16:B26)</f>
        <v>81508</v>
      </c>
      <c r="C27" s="41">
        <f>SUM(C16:C26)</f>
        <v>0.49584504386125006</v>
      </c>
      <c r="D27" s="31">
        <f>SUM(D16:D26)</f>
        <v>1</v>
      </c>
      <c r="E27" s="15"/>
    </row>
    <row r="29" spans="1:9">
      <c r="A29" s="68" t="s">
        <v>107</v>
      </c>
      <c r="B29" s="66"/>
      <c r="C29" s="66"/>
      <c r="D29" s="66"/>
      <c r="E29" s="66"/>
      <c r="F29" s="66"/>
      <c r="G29" s="66"/>
      <c r="H29" s="66"/>
      <c r="I29" s="66"/>
    </row>
    <row r="30" spans="1:9">
      <c r="A30" s="1" t="s">
        <v>41</v>
      </c>
      <c r="B30" s="74" t="s">
        <v>97</v>
      </c>
      <c r="C30" s="75"/>
      <c r="D30" s="76"/>
      <c r="E30" s="74" t="s">
        <v>96</v>
      </c>
      <c r="F30" s="75"/>
      <c r="G30" s="76"/>
      <c r="H30" s="1" t="s">
        <v>102</v>
      </c>
      <c r="I30" s="1" t="s">
        <v>100</v>
      </c>
    </row>
    <row r="31" spans="1:9" ht="55.2" customHeight="1">
      <c r="A31" s="46" t="str">
        <f>A16</f>
        <v>기공</v>
      </c>
      <c r="B31" s="102"/>
      <c r="C31" s="105"/>
      <c r="D31" s="106"/>
      <c r="E31" s="102"/>
      <c r="F31" s="103"/>
      <c r="G31" s="104"/>
      <c r="H31" s="48"/>
      <c r="I31" s="110"/>
    </row>
    <row r="32" spans="1:9">
      <c r="A32" s="47"/>
    </row>
    <row r="33" spans="1:9">
      <c r="A33" s="1" t="s">
        <v>41</v>
      </c>
      <c r="B33" s="74" t="s">
        <v>97</v>
      </c>
      <c r="C33" s="75"/>
      <c r="D33" s="76"/>
      <c r="E33" s="74" t="s">
        <v>96</v>
      </c>
      <c r="F33" s="75"/>
      <c r="G33" s="76"/>
      <c r="H33" s="1" t="s">
        <v>102</v>
      </c>
      <c r="I33" s="1" t="s">
        <v>100</v>
      </c>
    </row>
    <row r="34" spans="1:9" ht="40.200000000000003" customHeight="1">
      <c r="A34" s="46" t="str">
        <f>A17</f>
        <v>박리</v>
      </c>
      <c r="B34" s="102" t="s">
        <v>123</v>
      </c>
      <c r="C34" s="105"/>
      <c r="D34" s="106"/>
      <c r="E34" s="102" t="s">
        <v>129</v>
      </c>
      <c r="F34" s="103"/>
      <c r="G34" s="104"/>
      <c r="H34" s="109" t="s">
        <v>120</v>
      </c>
      <c r="I34" s="5"/>
    </row>
    <row r="35" spans="1:9">
      <c r="A35" s="47"/>
    </row>
    <row r="36" spans="1:9">
      <c r="A36" s="1" t="s">
        <v>41</v>
      </c>
      <c r="B36" s="74" t="s">
        <v>97</v>
      </c>
      <c r="C36" s="75"/>
      <c r="D36" s="76"/>
      <c r="E36" s="74" t="s">
        <v>96</v>
      </c>
      <c r="F36" s="75"/>
      <c r="G36" s="76"/>
      <c r="H36" s="1" t="s">
        <v>102</v>
      </c>
      <c r="I36" s="1" t="s">
        <v>100</v>
      </c>
    </row>
    <row r="37" spans="1:9" ht="40.200000000000003" customHeight="1">
      <c r="A37" s="46" t="str">
        <f>A18</f>
        <v>찍힘</v>
      </c>
      <c r="B37" s="102" t="s">
        <v>116</v>
      </c>
      <c r="C37" s="105"/>
      <c r="D37" s="106"/>
      <c r="E37" s="102" t="s">
        <v>115</v>
      </c>
      <c r="F37" s="103"/>
      <c r="G37" s="104"/>
      <c r="H37" s="48" t="s">
        <v>117</v>
      </c>
      <c r="I37" s="107"/>
    </row>
    <row r="38" spans="1:9">
      <c r="A38" s="97"/>
      <c r="B38" s="98"/>
      <c r="C38" s="98"/>
      <c r="D38" s="98"/>
      <c r="E38" s="98"/>
      <c r="F38" s="98"/>
      <c r="G38" s="98"/>
    </row>
    <row r="39" spans="1:9">
      <c r="A39" s="1" t="s">
        <v>41</v>
      </c>
      <c r="B39" s="74" t="s">
        <v>97</v>
      </c>
      <c r="C39" s="75"/>
      <c r="D39" s="76"/>
      <c r="E39" s="74" t="s">
        <v>96</v>
      </c>
      <c r="F39" s="75"/>
      <c r="G39" s="76"/>
      <c r="H39" s="1" t="s">
        <v>102</v>
      </c>
      <c r="I39" s="1" t="s">
        <v>100</v>
      </c>
    </row>
    <row r="40" spans="1:9" ht="40.200000000000003" customHeight="1">
      <c r="A40" s="46" t="str">
        <f>A20</f>
        <v>주조불량</v>
      </c>
      <c r="B40" s="102"/>
      <c r="C40" s="105"/>
      <c r="D40" s="106"/>
      <c r="E40" s="102"/>
      <c r="F40" s="103"/>
      <c r="G40" s="104"/>
      <c r="H40" s="48"/>
      <c r="I40" s="5"/>
    </row>
  </sheetData>
  <mergeCells count="21">
    <mergeCell ref="B40:D40"/>
    <mergeCell ref="E40:G40"/>
    <mergeCell ref="B36:D36"/>
    <mergeCell ref="E36:G36"/>
    <mergeCell ref="B37:D37"/>
    <mergeCell ref="E37:G37"/>
    <mergeCell ref="B39:D39"/>
    <mergeCell ref="E39:G39"/>
    <mergeCell ref="A1:I1"/>
    <mergeCell ref="A14:I14"/>
    <mergeCell ref="A6:I6"/>
    <mergeCell ref="F8:F11"/>
    <mergeCell ref="A29:I29"/>
    <mergeCell ref="B30:D30"/>
    <mergeCell ref="E30:G30"/>
    <mergeCell ref="B31:D31"/>
    <mergeCell ref="E31:G31"/>
    <mergeCell ref="B33:D33"/>
    <mergeCell ref="E33:G33"/>
    <mergeCell ref="B34:D34"/>
    <mergeCell ref="E34:G34"/>
  </mergeCells>
  <phoneticPr fontId="14" type="noConversion"/>
  <pageMargins left="0.5" right="0.5" top="0.75" bottom="0.7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pane ySplit="6" topLeftCell="A28" activePane="bottomLeft" state="frozen"/>
      <selection pane="bottomLeft" activeCell="B34" sqref="B34:H34"/>
    </sheetView>
  </sheetViews>
  <sheetFormatPr defaultRowHeight="17.399999999999999"/>
  <cols>
    <col min="1" max="1" width="12" customWidth="1"/>
    <col min="2" max="7" width="15" customWidth="1"/>
    <col min="8" max="8" width="12" customWidth="1"/>
    <col min="9" max="9" width="15.296875" customWidth="1"/>
  </cols>
  <sheetData>
    <row r="1" spans="1:9" ht="25.2" customHeight="1">
      <c r="A1" s="67" t="s">
        <v>43</v>
      </c>
      <c r="B1" s="66"/>
      <c r="C1" s="66"/>
      <c r="D1" s="66"/>
      <c r="E1" s="66"/>
      <c r="F1" s="66"/>
      <c r="G1" s="66"/>
      <c r="H1" s="66"/>
      <c r="I1" s="66"/>
    </row>
    <row r="3" spans="1:9">
      <c r="A3" s="8" t="s">
        <v>3</v>
      </c>
      <c r="B3" s="9">
        <v>3512782</v>
      </c>
      <c r="C3" s="8" t="s">
        <v>4</v>
      </c>
      <c r="D3" s="9">
        <v>3328737</v>
      </c>
      <c r="E3" s="8" t="s">
        <v>5</v>
      </c>
      <c r="F3" s="9">
        <v>184045</v>
      </c>
      <c r="G3" s="8" t="s">
        <v>6</v>
      </c>
      <c r="H3" s="9">
        <v>52393</v>
      </c>
    </row>
    <row r="4" spans="1:9">
      <c r="A4" s="8" t="s">
        <v>72</v>
      </c>
      <c r="B4" s="10">
        <v>5.24</v>
      </c>
      <c r="C4" s="8" t="s">
        <v>73</v>
      </c>
      <c r="D4" s="10">
        <v>94.76</v>
      </c>
      <c r="E4" s="8" t="s">
        <v>34</v>
      </c>
      <c r="F4" s="11" t="s">
        <v>54</v>
      </c>
      <c r="G4" s="8" t="s">
        <v>57</v>
      </c>
      <c r="H4" s="11" t="s">
        <v>11</v>
      </c>
    </row>
    <row r="6" spans="1:9">
      <c r="A6" s="65" t="s">
        <v>35</v>
      </c>
      <c r="B6" s="66"/>
      <c r="C6" s="66"/>
      <c r="D6" s="66"/>
      <c r="E6" s="66"/>
      <c r="F6" s="66"/>
      <c r="G6" s="66"/>
      <c r="H6" s="66"/>
      <c r="I6" s="66"/>
    </row>
    <row r="7" spans="1:9">
      <c r="A7" s="1" t="s">
        <v>36</v>
      </c>
      <c r="B7" s="1" t="s">
        <v>3</v>
      </c>
      <c r="C7" s="1" t="s">
        <v>4</v>
      </c>
      <c r="D7" s="1" t="s">
        <v>5</v>
      </c>
      <c r="E7" s="1" t="s">
        <v>72</v>
      </c>
      <c r="F7" s="13" t="s">
        <v>74</v>
      </c>
    </row>
    <row r="8" spans="1:9">
      <c r="A8" s="2" t="s">
        <v>39</v>
      </c>
      <c r="B8" s="33">
        <f>'[1]제품별 공정별 불량현황'!$C$28</f>
        <v>131533</v>
      </c>
      <c r="C8" s="33">
        <f>126372</f>
        <v>126372</v>
      </c>
      <c r="D8" s="33">
        <f>6528</f>
        <v>6528</v>
      </c>
      <c r="E8" s="39">
        <f>D8/B8</f>
        <v>4.9630130841689921E-2</v>
      </c>
      <c r="F8" s="69">
        <f>1-D12/B8</f>
        <v>0.70903119369283751</v>
      </c>
    </row>
    <row r="9" spans="1:9">
      <c r="A9" s="2" t="s">
        <v>37</v>
      </c>
      <c r="B9" s="33">
        <f>'[1]제품별 공정별 불량현황'!$C$29</f>
        <v>123318</v>
      </c>
      <c r="C9" s="33">
        <f>121907</f>
        <v>121907</v>
      </c>
      <c r="D9" s="33">
        <f>1411</f>
        <v>1411</v>
      </c>
      <c r="E9" s="39">
        <f>D9/B9</f>
        <v>1.1441963054866281E-2</v>
      </c>
      <c r="F9" s="70"/>
    </row>
    <row r="10" spans="1:9">
      <c r="A10" s="22" t="s">
        <v>38</v>
      </c>
      <c r="B10" s="34">
        <f>'[1]제품별 공정별 불량현황'!$C$26</f>
        <v>114896</v>
      </c>
      <c r="C10" s="34">
        <f>97146</f>
        <v>97146</v>
      </c>
      <c r="D10" s="34">
        <f>17795</f>
        <v>17795</v>
      </c>
      <c r="E10" s="27">
        <f>D10/B10</f>
        <v>0.15487919509817574</v>
      </c>
      <c r="F10" s="70"/>
    </row>
    <row r="11" spans="1:9">
      <c r="A11" s="22" t="s">
        <v>40</v>
      </c>
      <c r="B11" s="34">
        <f>'[1]제품별 공정별 불량현황'!$C$27</f>
        <v>110849</v>
      </c>
      <c r="C11" s="34">
        <f>98311</f>
        <v>98311</v>
      </c>
      <c r="D11" s="34">
        <f>12538</f>
        <v>12538</v>
      </c>
      <c r="E11" s="27">
        <f>D11/B11</f>
        <v>0.11310882371514402</v>
      </c>
      <c r="F11" s="71"/>
    </row>
    <row r="12" spans="1:9">
      <c r="A12" s="29" t="s">
        <v>53</v>
      </c>
      <c r="B12" s="40">
        <f>SUM(B8:B11)</f>
        <v>480596</v>
      </c>
      <c r="C12" s="40">
        <f>SUM(C8:C11)</f>
        <v>443736</v>
      </c>
      <c r="D12" s="40">
        <f>SUM(D8:D11)</f>
        <v>38272</v>
      </c>
      <c r="E12" s="40"/>
      <c r="F12" s="41"/>
    </row>
    <row r="13" spans="1:9">
      <c r="F13" s="12"/>
    </row>
    <row r="14" spans="1:9">
      <c r="A14" s="68" t="s">
        <v>52</v>
      </c>
      <c r="B14" s="66"/>
      <c r="C14" s="66"/>
      <c r="D14" s="66"/>
      <c r="E14" s="66"/>
      <c r="F14" s="66"/>
      <c r="G14" s="66"/>
      <c r="H14" s="66"/>
      <c r="I14" s="66"/>
    </row>
    <row r="15" spans="1:9">
      <c r="A15" s="1" t="s">
        <v>41</v>
      </c>
      <c r="B15" s="1" t="s">
        <v>42</v>
      </c>
      <c r="C15" s="18" t="s">
        <v>69</v>
      </c>
      <c r="D15" s="18" t="s">
        <v>51</v>
      </c>
    </row>
    <row r="16" spans="1:9">
      <c r="A16" s="22" t="s">
        <v>54</v>
      </c>
      <c r="B16" s="23">
        <v>12888</v>
      </c>
      <c r="C16" s="57">
        <f>B16/$B$8</f>
        <v>9.7983015669071638E-2</v>
      </c>
      <c r="D16" s="24">
        <f>B16/$B$27</f>
        <v>0.33674749163879597</v>
      </c>
    </row>
    <row r="17" spans="1:9">
      <c r="A17" s="25" t="s">
        <v>49</v>
      </c>
      <c r="B17" s="23">
        <v>5530</v>
      </c>
      <c r="C17" s="57">
        <f t="shared" ref="C17:C26" si="0">B17/$B$8</f>
        <v>4.2042681304311463E-2</v>
      </c>
      <c r="D17" s="24">
        <f>B17/$B$27</f>
        <v>0.1444920568561873</v>
      </c>
    </row>
    <row r="18" spans="1:9" ht="16.2" customHeight="1">
      <c r="A18" s="28" t="s">
        <v>90</v>
      </c>
      <c r="B18" s="23">
        <v>5203</v>
      </c>
      <c r="C18" s="57">
        <f t="shared" si="0"/>
        <v>3.9556613169318723E-2</v>
      </c>
      <c r="D18" s="24">
        <f>B18/$B$27</f>
        <v>0.13594795150501673</v>
      </c>
    </row>
    <row r="19" spans="1:9">
      <c r="A19" s="17" t="s">
        <v>78</v>
      </c>
      <c r="B19" s="3">
        <v>5078</v>
      </c>
      <c r="C19" s="36">
        <f t="shared" si="0"/>
        <v>3.8606281313434652E-2</v>
      </c>
      <c r="D19" s="21">
        <f>B19/$B$27</f>
        <v>0.13268185618729098</v>
      </c>
    </row>
    <row r="20" spans="1:9">
      <c r="A20" s="2" t="s">
        <v>81</v>
      </c>
      <c r="B20" s="3">
        <v>2880</v>
      </c>
      <c r="C20" s="36">
        <f t="shared" si="0"/>
        <v>2.1895645959569082E-2</v>
      </c>
      <c r="D20" s="21">
        <f>B20/$B$27</f>
        <v>7.5250836120401343E-2</v>
      </c>
    </row>
    <row r="21" spans="1:9">
      <c r="A21" s="16" t="s">
        <v>87</v>
      </c>
      <c r="B21" s="3">
        <v>1974</v>
      </c>
      <c r="C21" s="36">
        <f>B21/$B$8</f>
        <v>1.5007640668121307E-2</v>
      </c>
      <c r="D21" s="21">
        <f>B21/$B$27</f>
        <v>5.157817725752508E-2</v>
      </c>
    </row>
    <row r="22" spans="1:9">
      <c r="A22" s="2" t="s">
        <v>83</v>
      </c>
      <c r="B22" s="3">
        <v>1503</v>
      </c>
      <c r="C22" s="36">
        <f t="shared" si="0"/>
        <v>1.1426790235150114E-2</v>
      </c>
      <c r="D22" s="21">
        <f>B22/$B$27</f>
        <v>3.9271530100334448E-2</v>
      </c>
    </row>
    <row r="23" spans="1:9">
      <c r="A23" s="16" t="s">
        <v>79</v>
      </c>
      <c r="B23" s="3">
        <v>1018</v>
      </c>
      <c r="C23" s="36">
        <f t="shared" si="0"/>
        <v>7.7395026343199044E-3</v>
      </c>
      <c r="D23" s="21">
        <f>B23/$B$27</f>
        <v>2.6599080267558528E-2</v>
      </c>
    </row>
    <row r="24" spans="1:9">
      <c r="A24" s="17" t="s">
        <v>85</v>
      </c>
      <c r="B24" s="3">
        <v>812</v>
      </c>
      <c r="C24" s="36">
        <f t="shared" si="0"/>
        <v>6.1733557358229496E-3</v>
      </c>
      <c r="D24" s="21">
        <f>B24/$B$27</f>
        <v>2.1216555183946488E-2</v>
      </c>
    </row>
    <row r="25" spans="1:9">
      <c r="A25" s="17" t="s">
        <v>84</v>
      </c>
      <c r="B25" s="3">
        <v>694</v>
      </c>
      <c r="C25" s="36">
        <f t="shared" si="0"/>
        <v>5.2762424638683825E-3</v>
      </c>
      <c r="D25" s="21">
        <f>B25/$B$27</f>
        <v>1.8133361204013376E-2</v>
      </c>
    </row>
    <row r="26" spans="1:9">
      <c r="A26" s="16" t="s">
        <v>86</v>
      </c>
      <c r="B26" s="3">
        <v>692</v>
      </c>
      <c r="C26" s="36">
        <f t="shared" si="0"/>
        <v>5.2610371541742373E-3</v>
      </c>
      <c r="D26" s="21">
        <f>B26/$B$27</f>
        <v>1.8081103678929764E-2</v>
      </c>
    </row>
    <row r="27" spans="1:9">
      <c r="A27" s="29" t="s">
        <v>50</v>
      </c>
      <c r="B27" s="30">
        <f>SUM(B16:B26)</f>
        <v>38272</v>
      </c>
      <c r="C27" s="58">
        <f>SUM(C16:C26)</f>
        <v>0.29096880630716243</v>
      </c>
      <c r="D27" s="31">
        <f>SUM(D16:D26)</f>
        <v>1</v>
      </c>
    </row>
    <row r="28" spans="1:9">
      <c r="D28" s="14"/>
    </row>
    <row r="29" spans="1:9">
      <c r="A29" s="68" t="s">
        <v>107</v>
      </c>
      <c r="B29" s="66"/>
      <c r="C29" s="66"/>
      <c r="D29" s="66"/>
      <c r="E29" s="66"/>
      <c r="F29" s="66"/>
      <c r="G29" s="66"/>
      <c r="H29" s="66"/>
      <c r="I29" s="66"/>
    </row>
    <row r="30" spans="1:9">
      <c r="A30" s="1" t="s">
        <v>41</v>
      </c>
      <c r="B30" s="74" t="s">
        <v>97</v>
      </c>
      <c r="C30" s="75"/>
      <c r="D30" s="76"/>
      <c r="E30" s="74" t="s">
        <v>96</v>
      </c>
      <c r="F30" s="75"/>
      <c r="G30" s="76"/>
      <c r="H30" s="1" t="s">
        <v>102</v>
      </c>
      <c r="I30" s="1" t="s">
        <v>100</v>
      </c>
    </row>
    <row r="31" spans="1:9" ht="55.2" customHeight="1">
      <c r="A31" s="46" t="str">
        <f>A16</f>
        <v>기공</v>
      </c>
      <c r="B31" s="102"/>
      <c r="C31" s="105"/>
      <c r="D31" s="106"/>
      <c r="E31" s="102" t="s">
        <v>128</v>
      </c>
      <c r="F31" s="103"/>
      <c r="G31" s="104"/>
      <c r="H31" s="48"/>
      <c r="I31" s="110"/>
    </row>
    <row r="32" spans="1:9">
      <c r="A32" s="47"/>
    </row>
    <row r="33" spans="1:9">
      <c r="A33" s="1" t="s">
        <v>41</v>
      </c>
      <c r="B33" s="74" t="s">
        <v>97</v>
      </c>
      <c r="C33" s="75"/>
      <c r="D33" s="76"/>
      <c r="E33" s="74" t="s">
        <v>96</v>
      </c>
      <c r="F33" s="75"/>
      <c r="G33" s="76"/>
      <c r="H33" s="1" t="s">
        <v>102</v>
      </c>
      <c r="I33" s="1" t="s">
        <v>100</v>
      </c>
    </row>
    <row r="34" spans="1:9" ht="40.200000000000003" customHeight="1">
      <c r="A34" s="46" t="str">
        <f>A17</f>
        <v>박리</v>
      </c>
      <c r="B34" s="102" t="s">
        <v>123</v>
      </c>
      <c r="C34" s="105"/>
      <c r="D34" s="106"/>
      <c r="E34" s="102" t="s">
        <v>129</v>
      </c>
      <c r="F34" s="103"/>
      <c r="G34" s="104"/>
      <c r="H34" s="109" t="s">
        <v>120</v>
      </c>
      <c r="I34" s="5"/>
    </row>
    <row r="35" spans="1:9">
      <c r="A35" s="47"/>
    </row>
    <row r="36" spans="1:9">
      <c r="A36" s="1" t="s">
        <v>41</v>
      </c>
      <c r="B36" s="74" t="s">
        <v>97</v>
      </c>
      <c r="C36" s="75"/>
      <c r="D36" s="76"/>
      <c r="E36" s="74" t="s">
        <v>96</v>
      </c>
      <c r="F36" s="75"/>
      <c r="G36" s="76"/>
      <c r="H36" s="1" t="s">
        <v>102</v>
      </c>
      <c r="I36" s="1" t="s">
        <v>100</v>
      </c>
    </row>
    <row r="37" spans="1:9" ht="40.200000000000003" customHeight="1">
      <c r="A37" s="46" t="s">
        <v>119</v>
      </c>
      <c r="B37" s="102"/>
      <c r="C37" s="103"/>
      <c r="D37" s="104"/>
      <c r="E37" s="102"/>
      <c r="F37" s="105"/>
      <c r="G37" s="106"/>
      <c r="H37" s="109"/>
      <c r="I37" s="107"/>
    </row>
    <row r="38" spans="1:9">
      <c r="A38" s="97"/>
      <c r="B38" s="98"/>
      <c r="C38" s="98"/>
      <c r="D38" s="98"/>
      <c r="E38" s="98"/>
      <c r="F38" s="98"/>
      <c r="G38" s="98"/>
    </row>
    <row r="39" spans="1:9">
      <c r="A39" s="1" t="s">
        <v>41</v>
      </c>
      <c r="B39" s="74" t="s">
        <v>97</v>
      </c>
      <c r="C39" s="75"/>
      <c r="D39" s="76"/>
      <c r="E39" s="74" t="s">
        <v>96</v>
      </c>
      <c r="F39" s="75"/>
      <c r="G39" s="76"/>
      <c r="H39" s="1" t="s">
        <v>102</v>
      </c>
      <c r="I39" s="1" t="s">
        <v>100</v>
      </c>
    </row>
    <row r="40" spans="1:9" ht="40.200000000000003" customHeight="1">
      <c r="A40" s="46" t="str">
        <f>A19</f>
        <v>찍힘</v>
      </c>
      <c r="B40" s="102" t="s">
        <v>116</v>
      </c>
      <c r="C40" s="105"/>
      <c r="D40" s="106"/>
      <c r="E40" s="102" t="s">
        <v>115</v>
      </c>
      <c r="F40" s="103"/>
      <c r="G40" s="104"/>
      <c r="H40" s="48" t="s">
        <v>117</v>
      </c>
      <c r="I40" s="5"/>
    </row>
  </sheetData>
  <sortState xmlns:xlrd2="http://schemas.microsoft.com/office/spreadsheetml/2017/richdata2" ref="A16:D26">
    <sortCondition descending="1" ref="D16:D26"/>
  </sortState>
  <mergeCells count="21">
    <mergeCell ref="B40:D40"/>
    <mergeCell ref="E40:G40"/>
    <mergeCell ref="B36:D36"/>
    <mergeCell ref="E36:G36"/>
    <mergeCell ref="B37:D37"/>
    <mergeCell ref="E37:G37"/>
    <mergeCell ref="B39:D39"/>
    <mergeCell ref="E39:G39"/>
    <mergeCell ref="A1:I1"/>
    <mergeCell ref="A14:I14"/>
    <mergeCell ref="A6:I6"/>
    <mergeCell ref="F8:F11"/>
    <mergeCell ref="A29:I29"/>
    <mergeCell ref="B30:D30"/>
    <mergeCell ref="E30:G30"/>
    <mergeCell ref="B31:D31"/>
    <mergeCell ref="E31:G31"/>
    <mergeCell ref="B33:D33"/>
    <mergeCell ref="E33:G33"/>
    <mergeCell ref="B34:D34"/>
    <mergeCell ref="E34:G34"/>
  </mergeCells>
  <phoneticPr fontId="14" type="noConversion"/>
  <pageMargins left="0.5" right="0.5" top="0.75" bottom="0.7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Normal="100" workbookViewId="0">
      <pane ySplit="3" topLeftCell="A25" activePane="bottomLeft" state="frozen"/>
      <selection pane="bottomLeft" activeCell="B28" sqref="B28:H28"/>
    </sheetView>
  </sheetViews>
  <sheetFormatPr defaultRowHeight="17.399999999999999"/>
  <cols>
    <col min="1" max="1" width="12" customWidth="1"/>
    <col min="2" max="7" width="15" customWidth="1"/>
    <col min="8" max="8" width="12" customWidth="1"/>
    <col min="9" max="9" width="21.59765625" customWidth="1"/>
  </cols>
  <sheetData>
    <row r="1" spans="1:9" ht="25.2" customHeight="1">
      <c r="A1" s="67" t="s">
        <v>44</v>
      </c>
      <c r="B1" s="66"/>
      <c r="C1" s="66"/>
      <c r="D1" s="66"/>
      <c r="E1" s="66"/>
      <c r="F1" s="66"/>
      <c r="G1" s="66"/>
      <c r="H1" s="66"/>
      <c r="I1" s="66"/>
    </row>
    <row r="3" spans="1:9">
      <c r="A3" s="65" t="s">
        <v>35</v>
      </c>
      <c r="B3" s="66"/>
      <c r="C3" s="66"/>
      <c r="D3" s="66"/>
      <c r="E3" s="66"/>
      <c r="F3" s="66"/>
      <c r="G3" s="66"/>
      <c r="H3" s="66"/>
      <c r="I3" s="66"/>
    </row>
    <row r="4" spans="1:9">
      <c r="A4" s="1" t="s">
        <v>36</v>
      </c>
      <c r="B4" s="1" t="s">
        <v>3</v>
      </c>
      <c r="C4" s="1" t="s">
        <v>4</v>
      </c>
      <c r="D4" s="1" t="s">
        <v>5</v>
      </c>
      <c r="E4" s="1" t="s">
        <v>72</v>
      </c>
      <c r="F4" s="13" t="s">
        <v>74</v>
      </c>
    </row>
    <row r="5" spans="1:9">
      <c r="A5" s="2" t="s">
        <v>39</v>
      </c>
      <c r="B5" s="33">
        <f>'[1]제품별 공정별 불량현황'!$C$23</f>
        <v>184556</v>
      </c>
      <c r="C5" s="33">
        <f>180460</f>
        <v>180460</v>
      </c>
      <c r="D5" s="33">
        <f>6826</f>
        <v>6826</v>
      </c>
      <c r="E5" s="39">
        <f>D5/B5</f>
        <v>3.6986063850538591E-2</v>
      </c>
      <c r="F5" s="69">
        <f>1-D9/B5</f>
        <v>0.68578100955807453</v>
      </c>
    </row>
    <row r="6" spans="1:9" ht="18" customHeight="1">
      <c r="A6" s="2" t="s">
        <v>37</v>
      </c>
      <c r="B6" s="33">
        <f>'[1]제품별 공정별 불량현황'!$C$24</f>
        <v>187090</v>
      </c>
      <c r="C6" s="33">
        <f>186115</f>
        <v>186115</v>
      </c>
      <c r="D6" s="33">
        <f>975</f>
        <v>975</v>
      </c>
      <c r="E6" s="39">
        <f>D6/B6</f>
        <v>5.2113955850125607E-3</v>
      </c>
      <c r="F6" s="70"/>
    </row>
    <row r="7" spans="1:9">
      <c r="A7" s="22" t="s">
        <v>38</v>
      </c>
      <c r="B7" s="34">
        <f>'[1]제품별 공정별 불량현황'!$C$21</f>
        <v>191407</v>
      </c>
      <c r="C7" s="34">
        <f>163611</f>
        <v>163611</v>
      </c>
      <c r="D7" s="34">
        <f>28941</f>
        <v>28941</v>
      </c>
      <c r="E7" s="27">
        <f>D7/B7</f>
        <v>0.15120136672117529</v>
      </c>
      <c r="F7" s="70"/>
    </row>
    <row r="8" spans="1:9">
      <c r="A8" s="22" t="s">
        <v>40</v>
      </c>
      <c r="B8" s="34">
        <f>'[1]제품별 공정별 불량현황'!$C$22</f>
        <v>183047</v>
      </c>
      <c r="C8" s="34">
        <f>161798</f>
        <v>161798</v>
      </c>
      <c r="D8" s="34">
        <f>21249</f>
        <v>21249</v>
      </c>
      <c r="E8" s="27">
        <f>D8/B8</f>
        <v>0.11608493993345971</v>
      </c>
      <c r="F8" s="71"/>
    </row>
    <row r="9" spans="1:9" ht="16.95" customHeight="1">
      <c r="A9" s="29" t="s">
        <v>53</v>
      </c>
      <c r="B9" s="40">
        <f>SUM(B5:B8)</f>
        <v>746100</v>
      </c>
      <c r="C9" s="40">
        <f>SUM(C5:C8)</f>
        <v>691984</v>
      </c>
      <c r="D9" s="40">
        <f>B24</f>
        <v>57991</v>
      </c>
      <c r="E9" s="40"/>
      <c r="F9" s="41"/>
    </row>
    <row r="10" spans="1:9">
      <c r="F10" s="12"/>
    </row>
    <row r="11" spans="1:9">
      <c r="A11" s="68" t="s">
        <v>52</v>
      </c>
      <c r="B11" s="66"/>
      <c r="C11" s="66"/>
      <c r="D11" s="66"/>
      <c r="E11" s="66"/>
      <c r="F11" s="66"/>
      <c r="G11" s="66"/>
      <c r="H11" s="66"/>
      <c r="I11" s="66"/>
    </row>
    <row r="12" spans="1:9">
      <c r="A12" s="1" t="s">
        <v>41</v>
      </c>
      <c r="B12" s="1" t="s">
        <v>42</v>
      </c>
      <c r="C12" s="18" t="s">
        <v>70</v>
      </c>
      <c r="D12" s="18" t="s">
        <v>51</v>
      </c>
    </row>
    <row r="13" spans="1:9">
      <c r="A13" s="22" t="s">
        <v>49</v>
      </c>
      <c r="B13" s="23">
        <v>15258</v>
      </c>
      <c r="C13" s="57">
        <f>B13/$B$5</f>
        <v>8.267409350007586E-2</v>
      </c>
      <c r="D13" s="24">
        <f>B13/SUM($B$13:$B$23)</f>
        <v>0.26310979289889813</v>
      </c>
    </row>
    <row r="14" spans="1:9">
      <c r="A14" s="28" t="s">
        <v>54</v>
      </c>
      <c r="B14" s="23">
        <v>9177</v>
      </c>
      <c r="C14" s="57">
        <f t="shared" ref="C14:C23" si="0">B14/$B$5</f>
        <v>4.9724744792908386E-2</v>
      </c>
      <c r="D14" s="24">
        <f>B14/SUM($B$13:$B$23)</f>
        <v>0.15824869376282527</v>
      </c>
    </row>
    <row r="15" spans="1:9">
      <c r="A15" s="28" t="s">
        <v>84</v>
      </c>
      <c r="B15" s="23">
        <v>6407</v>
      </c>
      <c r="C15" s="57">
        <f t="shared" si="0"/>
        <v>3.4715750232991616E-2</v>
      </c>
      <c r="D15" s="24">
        <f>B15/SUM($B$13:$B$23)</f>
        <v>0.11048266110258488</v>
      </c>
    </row>
    <row r="16" spans="1:9">
      <c r="A16" s="2" t="s">
        <v>79</v>
      </c>
      <c r="B16" s="3">
        <v>6392</v>
      </c>
      <c r="C16" s="36">
        <f t="shared" si="0"/>
        <v>3.4634474089165347E-2</v>
      </c>
      <c r="D16" s="21">
        <f>B16/SUM($B$13:$B$23)</f>
        <v>0.11022400027590488</v>
      </c>
    </row>
    <row r="17" spans="1:9">
      <c r="A17" s="16" t="s">
        <v>78</v>
      </c>
      <c r="B17" s="3">
        <v>6378</v>
      </c>
      <c r="C17" s="36">
        <f t="shared" si="0"/>
        <v>3.4558616354927504E-2</v>
      </c>
      <c r="D17" s="21">
        <f>B17/SUM($B$13:$B$23)</f>
        <v>0.10998258350433689</v>
      </c>
    </row>
    <row r="18" spans="1:9">
      <c r="A18" s="2" t="s">
        <v>81</v>
      </c>
      <c r="B18" s="3">
        <v>5595</v>
      </c>
      <c r="C18" s="36">
        <f t="shared" si="0"/>
        <v>3.0316001647196514E-2</v>
      </c>
      <c r="D18" s="21">
        <f>B18/SUM($B$13:$B$23)</f>
        <v>9.6480488351640775E-2</v>
      </c>
    </row>
    <row r="19" spans="1:9">
      <c r="A19" s="17" t="s">
        <v>67</v>
      </c>
      <c r="B19" s="3">
        <v>4111</v>
      </c>
      <c r="C19" s="36">
        <f t="shared" si="0"/>
        <v>2.2275081817984786E-2</v>
      </c>
      <c r="D19" s="21">
        <f>B19/SUM($B$13:$B$23)</f>
        <v>7.0890310565432574E-2</v>
      </c>
    </row>
    <row r="20" spans="1:9">
      <c r="A20" s="16" t="s">
        <v>87</v>
      </c>
      <c r="B20" s="3">
        <v>1672</v>
      </c>
      <c r="C20" s="36">
        <f>B20/$B$5</f>
        <v>9.0595808318342397E-3</v>
      </c>
      <c r="D20" s="21">
        <f>B20/SUM($B$13:$B$23)</f>
        <v>2.8832060147264232E-2</v>
      </c>
    </row>
    <row r="21" spans="1:9">
      <c r="A21" s="16" t="s">
        <v>83</v>
      </c>
      <c r="B21" s="3">
        <v>1305</v>
      </c>
      <c r="C21" s="36">
        <f t="shared" si="0"/>
        <v>7.071024512884978E-3</v>
      </c>
      <c r="D21" s="21">
        <f>B21/SUM($B$13:$B$23)</f>
        <v>2.250349192116018E-2</v>
      </c>
      <c r="F21" s="14"/>
    </row>
    <row r="22" spans="1:9">
      <c r="A22" s="16" t="s">
        <v>82</v>
      </c>
      <c r="B22" s="3">
        <v>1099</v>
      </c>
      <c r="C22" s="36">
        <f t="shared" si="0"/>
        <v>5.9548321376709512E-3</v>
      </c>
      <c r="D22" s="21">
        <f>B22/SUM($B$13:$B$23)</f>
        <v>1.8951216568088153E-2</v>
      </c>
    </row>
    <row r="23" spans="1:9">
      <c r="A23" s="16" t="s">
        <v>80</v>
      </c>
      <c r="B23" s="3">
        <v>597</v>
      </c>
      <c r="C23" s="36">
        <f t="shared" si="0"/>
        <v>3.2347905242853118E-3</v>
      </c>
      <c r="D23" s="21">
        <f>B23/SUM($B$13:$B$23)</f>
        <v>1.0294700901864082E-2</v>
      </c>
    </row>
    <row r="24" spans="1:9">
      <c r="A24" s="29" t="s">
        <v>50</v>
      </c>
      <c r="B24" s="30">
        <f>SUM(B13:B23)</f>
        <v>57991</v>
      </c>
      <c r="C24" s="58">
        <f>SUM(C13:C23)</f>
        <v>0.31421899044192547</v>
      </c>
      <c r="D24" s="31">
        <f>SUM(D13:D23)</f>
        <v>1</v>
      </c>
    </row>
    <row r="26" spans="1:9">
      <c r="A26" s="68" t="s">
        <v>107</v>
      </c>
      <c r="B26" s="66"/>
      <c r="C26" s="66"/>
      <c r="D26" s="66"/>
      <c r="E26" s="66"/>
      <c r="F26" s="66"/>
      <c r="G26" s="66"/>
      <c r="H26" s="66"/>
      <c r="I26" s="66"/>
    </row>
    <row r="27" spans="1:9">
      <c r="A27" s="1" t="s">
        <v>41</v>
      </c>
      <c r="B27" s="74" t="s">
        <v>97</v>
      </c>
      <c r="C27" s="75"/>
      <c r="D27" s="76"/>
      <c r="E27" s="74" t="s">
        <v>96</v>
      </c>
      <c r="F27" s="75"/>
      <c r="G27" s="76"/>
      <c r="H27" s="1" t="s">
        <v>102</v>
      </c>
      <c r="I27" s="1" t="s">
        <v>100</v>
      </c>
    </row>
    <row r="28" spans="1:9" ht="55.2" customHeight="1">
      <c r="A28" s="46" t="str">
        <f>A13</f>
        <v>박리</v>
      </c>
      <c r="B28" s="102" t="s">
        <v>123</v>
      </c>
      <c r="C28" s="105"/>
      <c r="D28" s="106"/>
      <c r="E28" s="102" t="s">
        <v>124</v>
      </c>
      <c r="F28" s="103"/>
      <c r="G28" s="104"/>
      <c r="H28" s="109" t="s">
        <v>120</v>
      </c>
      <c r="I28" s="110"/>
    </row>
    <row r="29" spans="1:9">
      <c r="A29" s="47"/>
    </row>
    <row r="30" spans="1:9">
      <c r="A30" s="1" t="s">
        <v>41</v>
      </c>
      <c r="B30" s="74" t="s">
        <v>97</v>
      </c>
      <c r="C30" s="75"/>
      <c r="D30" s="76"/>
      <c r="E30" s="74" t="s">
        <v>96</v>
      </c>
      <c r="F30" s="75"/>
      <c r="G30" s="76"/>
      <c r="H30" s="1" t="s">
        <v>102</v>
      </c>
      <c r="I30" s="1" t="s">
        <v>100</v>
      </c>
    </row>
    <row r="31" spans="1:9" ht="40.200000000000003" customHeight="1">
      <c r="A31" s="46" t="str">
        <f>A14</f>
        <v>기공</v>
      </c>
      <c r="B31" s="102" t="s">
        <v>127</v>
      </c>
      <c r="C31" s="105"/>
      <c r="D31" s="106"/>
      <c r="E31" s="102" t="s">
        <v>125</v>
      </c>
      <c r="F31" s="105"/>
      <c r="G31" s="106"/>
      <c r="H31" s="109" t="s">
        <v>126</v>
      </c>
      <c r="I31" s="5"/>
    </row>
    <row r="32" spans="1:9">
      <c r="A32" s="47"/>
    </row>
    <row r="33" spans="1:9">
      <c r="A33" s="1" t="s">
        <v>41</v>
      </c>
      <c r="B33" s="74" t="s">
        <v>97</v>
      </c>
      <c r="C33" s="75"/>
      <c r="D33" s="76"/>
      <c r="E33" s="74" t="s">
        <v>96</v>
      </c>
      <c r="F33" s="75"/>
      <c r="G33" s="76"/>
      <c r="H33" s="1" t="s">
        <v>102</v>
      </c>
      <c r="I33" s="1" t="s">
        <v>100</v>
      </c>
    </row>
    <row r="34" spans="1:9" ht="40.200000000000003" customHeight="1">
      <c r="A34" s="46" t="str">
        <f>A15</f>
        <v>치수불량</v>
      </c>
      <c r="B34" s="102" t="s">
        <v>113</v>
      </c>
      <c r="C34" s="103"/>
      <c r="D34" s="104"/>
      <c r="E34" s="102" t="s">
        <v>114</v>
      </c>
      <c r="F34" s="105"/>
      <c r="G34" s="106"/>
      <c r="H34" s="109"/>
      <c r="I34" s="107"/>
    </row>
    <row r="35" spans="1:9">
      <c r="A35" s="97"/>
      <c r="B35" s="98"/>
      <c r="C35" s="98"/>
      <c r="D35" s="98"/>
      <c r="E35" s="98"/>
      <c r="F35" s="98"/>
      <c r="G35" s="98"/>
    </row>
    <row r="36" spans="1:9">
      <c r="A36" s="1" t="s">
        <v>41</v>
      </c>
      <c r="B36" s="74" t="s">
        <v>97</v>
      </c>
      <c r="C36" s="75"/>
      <c r="D36" s="76"/>
      <c r="E36" s="74" t="s">
        <v>96</v>
      </c>
      <c r="F36" s="75"/>
      <c r="G36" s="76"/>
      <c r="H36" s="1" t="s">
        <v>102</v>
      </c>
      <c r="I36" s="1" t="s">
        <v>100</v>
      </c>
    </row>
    <row r="37" spans="1:9" ht="40.200000000000003" customHeight="1">
      <c r="A37" s="46" t="str">
        <f>A16</f>
        <v>뜯김</v>
      </c>
      <c r="B37" s="102" t="s">
        <v>111</v>
      </c>
      <c r="C37" s="105"/>
      <c r="D37" s="106"/>
      <c r="E37" s="102" t="s">
        <v>112</v>
      </c>
      <c r="F37" s="103"/>
      <c r="G37" s="104"/>
      <c r="H37" s="48" t="s">
        <v>118</v>
      </c>
      <c r="I37" s="5"/>
    </row>
  </sheetData>
  <mergeCells count="21">
    <mergeCell ref="B36:D36"/>
    <mergeCell ref="E36:G36"/>
    <mergeCell ref="B37:D37"/>
    <mergeCell ref="E37:G37"/>
    <mergeCell ref="E31:G31"/>
    <mergeCell ref="B33:D33"/>
    <mergeCell ref="E33:G33"/>
    <mergeCell ref="B34:D34"/>
    <mergeCell ref="E34:G34"/>
    <mergeCell ref="A1:I1"/>
    <mergeCell ref="A11:I11"/>
    <mergeCell ref="A3:I3"/>
    <mergeCell ref="F5:F8"/>
    <mergeCell ref="A26:I26"/>
    <mergeCell ref="B27:D27"/>
    <mergeCell ref="E27:G27"/>
    <mergeCell ref="B28:D28"/>
    <mergeCell ref="E28:G28"/>
    <mergeCell ref="B30:D30"/>
    <mergeCell ref="E30:G30"/>
    <mergeCell ref="B31:D31"/>
  </mergeCells>
  <phoneticPr fontId="14" type="noConversion"/>
  <pageMargins left="0.5" right="0.5" top="0.75" bottom="0.7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pane ySplit="3" topLeftCell="A22" activePane="bottomLeft" state="frozen"/>
      <selection pane="bottomLeft" activeCell="B35" sqref="B35:D35"/>
    </sheetView>
  </sheetViews>
  <sheetFormatPr defaultRowHeight="17.399999999999999"/>
  <cols>
    <col min="1" max="1" width="12" customWidth="1"/>
    <col min="2" max="7" width="15" customWidth="1"/>
    <col min="8" max="8" width="13.3984375" customWidth="1"/>
    <col min="9" max="9" width="20.8984375" customWidth="1"/>
  </cols>
  <sheetData>
    <row r="1" spans="1:9" ht="25.2" customHeight="1">
      <c r="A1" s="67" t="s">
        <v>45</v>
      </c>
      <c r="B1" s="66"/>
      <c r="C1" s="66"/>
      <c r="D1" s="66"/>
      <c r="E1" s="66"/>
      <c r="F1" s="66"/>
      <c r="G1" s="66"/>
      <c r="H1" s="66"/>
      <c r="I1" s="66"/>
    </row>
    <row r="3" spans="1:9">
      <c r="A3" s="65" t="s">
        <v>35</v>
      </c>
      <c r="B3" s="66"/>
      <c r="C3" s="66"/>
      <c r="D3" s="66"/>
      <c r="E3" s="66"/>
      <c r="F3" s="66"/>
      <c r="G3" s="66"/>
      <c r="H3" s="66"/>
      <c r="I3" s="66"/>
    </row>
    <row r="4" spans="1:9">
      <c r="A4" s="1" t="s">
        <v>36</v>
      </c>
      <c r="B4" s="1" t="s">
        <v>3</v>
      </c>
      <c r="C4" s="1" t="s">
        <v>4</v>
      </c>
      <c r="D4" s="1" t="s">
        <v>5</v>
      </c>
      <c r="E4" s="1" t="s">
        <v>72</v>
      </c>
      <c r="F4" s="13" t="s">
        <v>74</v>
      </c>
    </row>
    <row r="5" spans="1:9">
      <c r="A5" s="2" t="s">
        <v>39</v>
      </c>
      <c r="B5" s="33">
        <f>'[1]제품별 공정별 불량현황'!$C$33</f>
        <v>245812</v>
      </c>
      <c r="C5" s="33">
        <f>236860</f>
        <v>236860</v>
      </c>
      <c r="D5" s="33">
        <f>12058</f>
        <v>12058</v>
      </c>
      <c r="E5" s="39">
        <f>D5/B5</f>
        <v>4.9053748393080888E-2</v>
      </c>
      <c r="F5" s="69">
        <f>1-D9/B5</f>
        <v>0.7870120254503441</v>
      </c>
    </row>
    <row r="6" spans="1:9">
      <c r="A6" s="2" t="s">
        <v>37</v>
      </c>
      <c r="B6" s="33">
        <f>'[1]제품별 공정별 불량현황'!$C$34</f>
        <v>243388</v>
      </c>
      <c r="C6" s="33">
        <f>241585</f>
        <v>241585</v>
      </c>
      <c r="D6" s="33">
        <v>1841</v>
      </c>
      <c r="E6" s="39">
        <f>D6/B6</f>
        <v>7.5640541029138655E-3</v>
      </c>
      <c r="F6" s="70"/>
    </row>
    <row r="7" spans="1:9">
      <c r="A7" s="22" t="s">
        <v>38</v>
      </c>
      <c r="B7" s="34">
        <f>'[1]제품별 공정별 불량현황'!$C$31</f>
        <v>240922</v>
      </c>
      <c r="C7" s="34">
        <f>220925</f>
        <v>220925</v>
      </c>
      <c r="D7" s="34">
        <f>19997</f>
        <v>19997</v>
      </c>
      <c r="E7" s="27">
        <f>D7/B7</f>
        <v>8.3001967441744637E-2</v>
      </c>
      <c r="F7" s="70"/>
    </row>
    <row r="8" spans="1:9">
      <c r="A8" s="22" t="s">
        <v>40</v>
      </c>
      <c r="B8" s="34">
        <f>'[1]제품별 공정별 불량현황'!$C$32</f>
        <v>255770</v>
      </c>
      <c r="C8" s="34">
        <f>237311</f>
        <v>237311</v>
      </c>
      <c r="D8" s="34">
        <f>18459</f>
        <v>18459</v>
      </c>
      <c r="E8" s="27">
        <f>D8/B8</f>
        <v>7.2170309262227783E-2</v>
      </c>
      <c r="F8" s="71"/>
    </row>
    <row r="9" spans="1:9" ht="16.95" customHeight="1">
      <c r="A9" s="29" t="s">
        <v>53</v>
      </c>
      <c r="B9" s="40">
        <f>SUM(B5:B8)</f>
        <v>985892</v>
      </c>
      <c r="C9" s="40">
        <f>SUM(C5:C8)</f>
        <v>936681</v>
      </c>
      <c r="D9" s="40">
        <f>B23</f>
        <v>52355</v>
      </c>
      <c r="E9" s="40"/>
      <c r="F9" s="41"/>
    </row>
    <row r="10" spans="1:9">
      <c r="D10" s="14"/>
      <c r="F10" s="12"/>
    </row>
    <row r="11" spans="1:9">
      <c r="A11" s="68" t="s">
        <v>52</v>
      </c>
      <c r="B11" s="66"/>
      <c r="C11" s="66"/>
      <c r="D11" s="66"/>
      <c r="E11" s="66"/>
      <c r="F11" s="66"/>
      <c r="G11" s="66"/>
      <c r="H11" s="66"/>
      <c r="I11" s="66"/>
    </row>
    <row r="12" spans="1:9">
      <c r="A12" s="1" t="s">
        <v>41</v>
      </c>
      <c r="B12" s="1" t="s">
        <v>42</v>
      </c>
      <c r="C12" s="18" t="s">
        <v>70</v>
      </c>
      <c r="D12" s="18" t="s">
        <v>51</v>
      </c>
    </row>
    <row r="13" spans="1:9">
      <c r="A13" s="28" t="s">
        <v>67</v>
      </c>
      <c r="B13" s="23">
        <v>8952</v>
      </c>
      <c r="C13" s="57">
        <f>B13/$B$5</f>
        <v>3.6418075602492959E-2</v>
      </c>
      <c r="D13" s="27">
        <f>B13/TEYGEN4!$B$23</f>
        <v>0.17098653423741764</v>
      </c>
    </row>
    <row r="14" spans="1:9">
      <c r="A14" s="22" t="s">
        <v>49</v>
      </c>
      <c r="B14" s="23">
        <v>8323</v>
      </c>
      <c r="C14" s="57">
        <f t="shared" ref="C14:C22" si="0">B14/$B$5</f>
        <v>3.3859209477161409E-2</v>
      </c>
      <c r="D14" s="27">
        <f>B14/TEYGEN4!$B$23</f>
        <v>0.15897239996179927</v>
      </c>
    </row>
    <row r="15" spans="1:9">
      <c r="A15" s="22" t="s">
        <v>82</v>
      </c>
      <c r="B15" s="23">
        <v>7646</v>
      </c>
      <c r="C15" s="57">
        <f t="shared" si="0"/>
        <v>3.1105072168974665E-2</v>
      </c>
      <c r="D15" s="27">
        <f>B15/TEYGEN4!$B$23</f>
        <v>0.14604144780823225</v>
      </c>
    </row>
    <row r="16" spans="1:9">
      <c r="A16" s="17" t="s">
        <v>78</v>
      </c>
      <c r="B16" s="3">
        <v>6799</v>
      </c>
      <c r="C16" s="36">
        <f>B16/$B$5</f>
        <v>2.7659349421509122E-2</v>
      </c>
      <c r="D16" s="26">
        <f>B16/TEYGEN4!$B$23</f>
        <v>0.12986343233693057</v>
      </c>
    </row>
    <row r="17" spans="1:9">
      <c r="A17" s="16" t="s">
        <v>54</v>
      </c>
      <c r="B17" s="3">
        <v>5428</v>
      </c>
      <c r="C17" s="36">
        <f t="shared" si="0"/>
        <v>2.2081916261207753E-2</v>
      </c>
      <c r="D17" s="26">
        <f>B17/TEYGEN4!$B$23</f>
        <v>0.10367682169802311</v>
      </c>
    </row>
    <row r="18" spans="1:9">
      <c r="A18" s="16" t="s">
        <v>87</v>
      </c>
      <c r="B18" s="3">
        <v>5194</v>
      </c>
      <c r="C18" s="36">
        <f>B18/$B$5</f>
        <v>2.1129969244788702E-2</v>
      </c>
      <c r="D18" s="26">
        <f>B18/TEYGEN4!$B$23</f>
        <v>9.9207334543023593E-2</v>
      </c>
    </row>
    <row r="19" spans="1:9">
      <c r="A19" s="17" t="s">
        <v>81</v>
      </c>
      <c r="B19" s="3">
        <v>3803</v>
      </c>
      <c r="C19" s="36">
        <f t="shared" si="0"/>
        <v>1.5471173091631003E-2</v>
      </c>
      <c r="D19" s="26">
        <f>B19/TEYGEN4!$B$23</f>
        <v>7.2638716454970872E-2</v>
      </c>
    </row>
    <row r="20" spans="1:9">
      <c r="A20" s="16" t="s">
        <v>79</v>
      </c>
      <c r="B20" s="3">
        <v>2363</v>
      </c>
      <c r="C20" s="36">
        <f t="shared" si="0"/>
        <v>9.6130376059752973E-3</v>
      </c>
      <c r="D20" s="26">
        <f>B20/TEYGEN4!$B$23</f>
        <v>4.5134180116512275E-2</v>
      </c>
    </row>
    <row r="21" spans="1:9">
      <c r="A21" s="2" t="s">
        <v>88</v>
      </c>
      <c r="B21" s="3">
        <v>2119</v>
      </c>
      <c r="C21" s="36">
        <f t="shared" si="0"/>
        <v>8.6204090931280824E-3</v>
      </c>
      <c r="D21" s="26">
        <f>B21/TEYGEN4!$B$23</f>
        <v>4.047368923694012E-2</v>
      </c>
    </row>
    <row r="22" spans="1:9">
      <c r="A22" s="16" t="s">
        <v>89</v>
      </c>
      <c r="B22" s="3">
        <v>1728</v>
      </c>
      <c r="C22" s="36">
        <f t="shared" si="0"/>
        <v>7.029762582786845E-3</v>
      </c>
      <c r="D22" s="26">
        <f>B22/TEYGEN4!$B$23</f>
        <v>3.300544360615032E-2</v>
      </c>
      <c r="I22" s="19"/>
    </row>
    <row r="23" spans="1:9">
      <c r="A23" s="29" t="s">
        <v>50</v>
      </c>
      <c r="B23" s="30">
        <f>SUM(B13:B22)</f>
        <v>52355</v>
      </c>
      <c r="C23" s="58">
        <f>SUM(C13:C22)</f>
        <v>0.21298797454965585</v>
      </c>
      <c r="D23" s="32">
        <f>SUM(D13:D22)</f>
        <v>1</v>
      </c>
      <c r="I23" s="19"/>
    </row>
    <row r="24" spans="1:9">
      <c r="A24" s="68" t="s">
        <v>107</v>
      </c>
      <c r="B24" s="66"/>
      <c r="C24" s="66"/>
      <c r="D24" s="66"/>
      <c r="E24" s="66"/>
      <c r="F24" s="66"/>
      <c r="G24" s="66"/>
      <c r="H24" s="66"/>
      <c r="I24" s="66"/>
    </row>
    <row r="25" spans="1:9">
      <c r="A25" s="1" t="s">
        <v>41</v>
      </c>
      <c r="B25" s="74" t="s">
        <v>97</v>
      </c>
      <c r="C25" s="75"/>
      <c r="D25" s="76"/>
      <c r="E25" s="74" t="s">
        <v>96</v>
      </c>
      <c r="F25" s="75"/>
      <c r="G25" s="76"/>
      <c r="H25" s="1" t="s">
        <v>102</v>
      </c>
      <c r="I25" s="1" t="s">
        <v>100</v>
      </c>
    </row>
    <row r="26" spans="1:9" ht="55.2" customHeight="1">
      <c r="A26" s="46" t="s">
        <v>105</v>
      </c>
      <c r="B26" s="102" t="s">
        <v>106</v>
      </c>
      <c r="C26" s="105"/>
      <c r="D26" s="106"/>
      <c r="E26" s="102" t="s">
        <v>104</v>
      </c>
      <c r="F26" s="103"/>
      <c r="G26" s="104"/>
      <c r="H26" s="48" t="s">
        <v>108</v>
      </c>
      <c r="I26" s="110" t="s">
        <v>109</v>
      </c>
    </row>
    <row r="27" spans="1:9">
      <c r="A27" s="47"/>
    </row>
    <row r="28" spans="1:9">
      <c r="A28" s="1" t="s">
        <v>41</v>
      </c>
      <c r="B28" s="74" t="s">
        <v>97</v>
      </c>
      <c r="C28" s="75"/>
      <c r="D28" s="76"/>
      <c r="E28" s="74" t="s">
        <v>96</v>
      </c>
      <c r="F28" s="75"/>
      <c r="G28" s="76"/>
      <c r="H28" s="1" t="s">
        <v>102</v>
      </c>
      <c r="I28" s="1" t="s">
        <v>100</v>
      </c>
    </row>
    <row r="29" spans="1:9" ht="40.200000000000003" customHeight="1">
      <c r="A29" s="46" t="str">
        <f>A14</f>
        <v>박리</v>
      </c>
      <c r="B29" s="102" t="s">
        <v>121</v>
      </c>
      <c r="C29" s="105"/>
      <c r="D29" s="106"/>
      <c r="E29" s="112" t="s">
        <v>122</v>
      </c>
      <c r="F29" s="105"/>
      <c r="G29" s="106"/>
      <c r="H29" s="109" t="s">
        <v>120</v>
      </c>
      <c r="I29" s="5"/>
    </row>
    <row r="30" spans="1:9">
      <c r="A30" s="47"/>
    </row>
    <row r="31" spans="1:9">
      <c r="A31" s="1" t="s">
        <v>41</v>
      </c>
      <c r="B31" s="74" t="s">
        <v>97</v>
      </c>
      <c r="C31" s="75"/>
      <c r="D31" s="76"/>
      <c r="E31" s="74" t="s">
        <v>96</v>
      </c>
      <c r="F31" s="75"/>
      <c r="G31" s="76"/>
      <c r="H31" s="1" t="s">
        <v>102</v>
      </c>
      <c r="I31" s="1" t="s">
        <v>100</v>
      </c>
    </row>
    <row r="32" spans="1:9" ht="40.200000000000003" customHeight="1">
      <c r="A32" s="46" t="str">
        <f>A15</f>
        <v>오염(얼룩)</v>
      </c>
      <c r="B32" s="99" t="s">
        <v>98</v>
      </c>
      <c r="C32" s="100"/>
      <c r="D32" s="101"/>
      <c r="E32" s="108" t="s">
        <v>99</v>
      </c>
      <c r="F32" s="105"/>
      <c r="G32" s="106"/>
      <c r="H32" s="109" t="s">
        <v>103</v>
      </c>
      <c r="I32" s="107" t="s">
        <v>101</v>
      </c>
    </row>
    <row r="33" spans="1:9">
      <c r="A33" s="97"/>
      <c r="B33" s="98"/>
      <c r="C33" s="98"/>
      <c r="D33" s="98"/>
      <c r="E33" s="98"/>
      <c r="F33" s="98"/>
      <c r="G33" s="98"/>
    </row>
    <row r="34" spans="1:9">
      <c r="A34" s="1" t="s">
        <v>41</v>
      </c>
      <c r="B34" s="74" t="s">
        <v>97</v>
      </c>
      <c r="C34" s="75"/>
      <c r="D34" s="76"/>
      <c r="E34" s="74" t="s">
        <v>96</v>
      </c>
      <c r="F34" s="75"/>
      <c r="G34" s="76"/>
      <c r="H34" s="1" t="s">
        <v>102</v>
      </c>
      <c r="I34" s="1" t="s">
        <v>100</v>
      </c>
    </row>
    <row r="35" spans="1:9" ht="40.200000000000003" customHeight="1">
      <c r="A35" s="46" t="str">
        <f>A16</f>
        <v>찍힘</v>
      </c>
      <c r="B35" s="102" t="s">
        <v>116</v>
      </c>
      <c r="C35" s="105"/>
      <c r="D35" s="106"/>
      <c r="E35" s="102" t="s">
        <v>115</v>
      </c>
      <c r="F35" s="103"/>
      <c r="G35" s="104"/>
      <c r="H35" s="48" t="s">
        <v>117</v>
      </c>
      <c r="I35" s="5"/>
    </row>
    <row r="36" spans="1:9" ht="40.200000000000003" customHeight="1">
      <c r="A36" s="97"/>
      <c r="B36" s="98"/>
      <c r="C36" s="98"/>
      <c r="D36" s="98"/>
      <c r="E36" s="98"/>
      <c r="F36" s="98"/>
    </row>
  </sheetData>
  <mergeCells count="21">
    <mergeCell ref="B34:D34"/>
    <mergeCell ref="E28:G28"/>
    <mergeCell ref="E34:G34"/>
    <mergeCell ref="E25:G25"/>
    <mergeCell ref="B29:D29"/>
    <mergeCell ref="E32:G32"/>
    <mergeCell ref="E29:G29"/>
    <mergeCell ref="E31:G31"/>
    <mergeCell ref="B25:D25"/>
    <mergeCell ref="B28:D28"/>
    <mergeCell ref="B31:D31"/>
    <mergeCell ref="A1:I1"/>
    <mergeCell ref="A24:I24"/>
    <mergeCell ref="A11:I11"/>
    <mergeCell ref="A3:I3"/>
    <mergeCell ref="F5:F8"/>
    <mergeCell ref="B32:D32"/>
    <mergeCell ref="B35:D35"/>
    <mergeCell ref="E35:G35"/>
    <mergeCell ref="B26:D26"/>
    <mergeCell ref="E26:G26"/>
  </mergeCells>
  <phoneticPr fontId="14" type="noConversion"/>
  <pageMargins left="0.5" right="0.5" top="0.75" bottom="0.7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2"/>
  <sheetViews>
    <sheetView topLeftCell="A5" zoomScale="130" zoomScaleNormal="130" workbookViewId="0">
      <selection activeCell="A4" sqref="A4:G4"/>
    </sheetView>
  </sheetViews>
  <sheetFormatPr defaultRowHeight="17.399999999999999"/>
  <sheetData>
    <row r="1" spans="1:7" ht="25.2" customHeight="1">
      <c r="A1" s="84" t="s">
        <v>46</v>
      </c>
      <c r="B1" s="66"/>
      <c r="C1" s="66"/>
      <c r="D1" s="66"/>
      <c r="E1" s="66"/>
      <c r="F1" s="66"/>
      <c r="G1" s="66"/>
    </row>
    <row r="4" spans="1:7">
      <c r="A4" s="86" t="s">
        <v>58</v>
      </c>
      <c r="B4" s="66"/>
      <c r="C4" s="66"/>
      <c r="D4" s="66"/>
      <c r="E4" s="66"/>
      <c r="F4" s="66"/>
      <c r="G4" s="66"/>
    </row>
    <row r="30" spans="1:7">
      <c r="A30" s="85" t="s">
        <v>47</v>
      </c>
      <c r="B30" s="66"/>
      <c r="C30" s="66"/>
      <c r="D30" s="66"/>
      <c r="E30" s="66"/>
      <c r="F30" s="66"/>
      <c r="G30" s="66"/>
    </row>
    <row r="52" spans="1:7">
      <c r="A52" s="85" t="s">
        <v>48</v>
      </c>
      <c r="B52" s="66"/>
      <c r="C52" s="66"/>
      <c r="D52" s="66"/>
      <c r="E52" s="66"/>
      <c r="F52" s="66"/>
      <c r="G52" s="66"/>
    </row>
  </sheetData>
  <mergeCells count="4">
    <mergeCell ref="A1:G1"/>
    <mergeCell ref="A52:G52"/>
    <mergeCell ref="A30:G30"/>
    <mergeCell ref="A4:G4"/>
  </mergeCells>
  <phoneticPr fontId="14" type="noConversion"/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 (Executive Summary)</vt:lpstr>
      <vt:lpstr>IMEB2</vt:lpstr>
      <vt:lpstr>NX4 HOUSING</vt:lpstr>
      <vt:lpstr>NX4 COVER</vt:lpstr>
      <vt:lpstr>TEYGEN4</vt:lpstr>
      <vt:lpstr>종합차트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YJ.NOH</cp:lastModifiedBy>
  <cp:lastPrinted>2026-04-03T05:44:24Z</cp:lastPrinted>
  <dcterms:created xsi:type="dcterms:W3CDTF">2026-04-03T04:55:57Z</dcterms:created>
  <dcterms:modified xsi:type="dcterms:W3CDTF">2026-04-04T08:37:47Z</dcterms:modified>
</cp:coreProperties>
</file>