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12\"/>
    </mc:Choice>
  </mc:AlternateContent>
  <bookViews>
    <workbookView xWindow="0" yWindow="0" windowWidth="19200" windowHeight="7308" firstSheet="6" activeTab="6"/>
  </bookViews>
  <sheets>
    <sheet name="1400" sheetId="3" r:id="rId1"/>
    <sheet name="تنزیل" sheetId="5" r:id="rId2"/>
    <sheet name="ارزش " sheetId="6" r:id="rId3"/>
    <sheet name="Chart3" sheetId="24" r:id="rId4"/>
    <sheet name="شاخص میانگین خرید" sheetId="22" r:id="rId5"/>
    <sheet name="مجموع" sheetId="8" r:id="rId6"/>
    <sheet name="BTC" sheetId="9" r:id="rId7"/>
    <sheet name="ETH" sheetId="10" r:id="rId8"/>
    <sheet name="USDT" sheetId="11" r:id="rId9"/>
    <sheet name="AUD" sheetId="12" r:id="rId10"/>
    <sheet name="فروی" sheetId="13" r:id="rId11"/>
    <sheet name="آریا" sheetId="14" r:id="rId12"/>
    <sheet name="فملی" sheetId="15" r:id="rId13"/>
    <sheet name="شستا" sheetId="16" r:id="rId14"/>
    <sheet name="کچاد" sheetId="17" r:id="rId15"/>
    <sheet name="calulator" sheetId="18" r:id="rId16"/>
    <sheet name="نت صندوق" sheetId="19" r:id="rId17"/>
    <sheet name="Chart1" sheetId="21" r:id="rId18"/>
    <sheet name="Chart2" sheetId="23" r:id="rId19"/>
  </sheets>
  <externalReferences>
    <externalReference r:id="rId2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2" l="1"/>
  <c r="G6" i="22"/>
  <c r="G7" i="22"/>
  <c r="G8" i="22"/>
  <c r="G9" i="22"/>
  <c r="G10" i="22"/>
  <c r="G11" i="22"/>
  <c r="G12" i="22"/>
  <c r="G13" i="22"/>
  <c r="G14" i="22"/>
  <c r="G15" i="22"/>
  <c r="G4" i="22"/>
  <c r="F5" i="22"/>
  <c r="F6" i="22"/>
  <c r="F7" i="22"/>
  <c r="F8" i="22"/>
  <c r="F9" i="22"/>
  <c r="F10" i="22"/>
  <c r="F11" i="22"/>
  <c r="F12" i="22"/>
  <c r="F13" i="22"/>
  <c r="F14" i="22"/>
  <c r="F15" i="22"/>
  <c r="F4" i="22"/>
  <c r="K115" i="6" l="1"/>
  <c r="J115" i="6"/>
  <c r="B115" i="6"/>
  <c r="C115" i="6"/>
  <c r="D115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L115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C4" i="6"/>
  <c r="D4" i="6"/>
  <c r="E4" i="6"/>
  <c r="F4" i="6"/>
  <c r="G4" i="6"/>
  <c r="H4" i="6"/>
  <c r="I4" i="6"/>
  <c r="J4" i="6"/>
  <c r="K4" i="6"/>
  <c r="L4" i="6"/>
  <c r="M4" i="6"/>
  <c r="N4" i="6"/>
  <c r="F22" i="9"/>
  <c r="F22" i="10"/>
  <c r="F22" i="11"/>
  <c r="F22" i="12"/>
  <c r="G6" i="12"/>
  <c r="G7" i="12" s="1"/>
  <c r="G8" i="12" s="1"/>
  <c r="G9" i="12" s="1"/>
  <c r="G7" i="8"/>
  <c r="G8" i="8"/>
  <c r="G9" i="8"/>
  <c r="G10" i="8"/>
  <c r="G11" i="8"/>
  <c r="G12" i="8"/>
  <c r="G13" i="8"/>
  <c r="G14" i="8"/>
  <c r="G15" i="8"/>
  <c r="G16" i="8"/>
  <c r="G17" i="8"/>
  <c r="G6" i="8"/>
  <c r="H7" i="8"/>
  <c r="H8" i="8"/>
  <c r="H9" i="8"/>
  <c r="H10" i="8"/>
  <c r="H11" i="8"/>
  <c r="H12" i="8"/>
  <c r="H13" i="8"/>
  <c r="H14" i="8"/>
  <c r="H15" i="8"/>
  <c r="H16" i="8"/>
  <c r="H17" i="8"/>
  <c r="I9" i="13"/>
  <c r="J9" i="13" s="1"/>
  <c r="H9" i="13"/>
  <c r="F9" i="13"/>
  <c r="G9" i="13" s="1"/>
  <c r="K9" i="13"/>
  <c r="G6" i="13"/>
  <c r="H6" i="8" s="1"/>
  <c r="G7" i="13"/>
  <c r="G18" i="13"/>
  <c r="G19" i="13"/>
  <c r="G20" i="13"/>
  <c r="I7" i="8"/>
  <c r="I8" i="8"/>
  <c r="I9" i="8"/>
  <c r="I10" i="8"/>
  <c r="I11" i="8"/>
  <c r="I12" i="8"/>
  <c r="I13" i="8"/>
  <c r="I14" i="8"/>
  <c r="I15" i="8"/>
  <c r="I16" i="8"/>
  <c r="I17" i="8"/>
  <c r="I6" i="8"/>
  <c r="H16" i="14"/>
  <c r="H8" i="14"/>
  <c r="H9" i="14" s="1"/>
  <c r="H10" i="14" s="1"/>
  <c r="H11" i="14" s="1"/>
  <c r="H12" i="14" s="1"/>
  <c r="H13" i="14" s="1"/>
  <c r="H14" i="14" s="1"/>
  <c r="H15" i="14" s="1"/>
  <c r="H7" i="14"/>
  <c r="H6" i="14"/>
  <c r="G7" i="14"/>
  <c r="G8" i="14"/>
  <c r="G9" i="14"/>
  <c r="G10" i="14"/>
  <c r="G11" i="14"/>
  <c r="G12" i="14"/>
  <c r="G13" i="14"/>
  <c r="G14" i="14"/>
  <c r="G15" i="14"/>
  <c r="G6" i="14"/>
  <c r="J7" i="8"/>
  <c r="J8" i="8"/>
  <c r="J9" i="8"/>
  <c r="J10" i="8"/>
  <c r="J11" i="8"/>
  <c r="J12" i="8"/>
  <c r="J13" i="8"/>
  <c r="J14" i="8"/>
  <c r="J15" i="8"/>
  <c r="J16" i="8"/>
  <c r="J17" i="8"/>
  <c r="J6" i="8"/>
  <c r="I10" i="15"/>
  <c r="H10" i="15"/>
  <c r="F10" i="15"/>
  <c r="G10" i="15"/>
  <c r="G7" i="15"/>
  <c r="G8" i="15"/>
  <c r="G9" i="15"/>
  <c r="G11" i="15"/>
  <c r="G12" i="15"/>
  <c r="G13" i="15"/>
  <c r="G6" i="15"/>
  <c r="K7" i="8"/>
  <c r="K8" i="8"/>
  <c r="K9" i="8"/>
  <c r="K10" i="8"/>
  <c r="K11" i="8"/>
  <c r="K12" i="8"/>
  <c r="K13" i="8"/>
  <c r="K14" i="8"/>
  <c r="K15" i="8"/>
  <c r="K16" i="8"/>
  <c r="K17" i="8"/>
  <c r="K6" i="8"/>
  <c r="G10" i="12" l="1"/>
  <c r="G11" i="12" s="1"/>
  <c r="G12" i="12" s="1"/>
  <c r="G13" i="12" s="1"/>
  <c r="G14" i="12" s="1"/>
  <c r="G15" i="12" s="1"/>
  <c r="G16" i="12" s="1"/>
  <c r="G17" i="12" s="1"/>
  <c r="G18" i="12" s="1"/>
  <c r="G19" i="12" s="1"/>
  <c r="L9" i="13"/>
  <c r="M9" i="13"/>
  <c r="H6" i="13"/>
  <c r="H7" i="13" s="1"/>
  <c r="H8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17" i="14"/>
  <c r="H18" i="14" s="1"/>
  <c r="H19" i="14" s="1"/>
  <c r="J10" i="15"/>
  <c r="K10" i="15"/>
  <c r="H6" i="15"/>
  <c r="H7" i="15" s="1"/>
  <c r="H8" i="15" s="1"/>
  <c r="H9" i="15" s="1"/>
  <c r="L10" i="15" l="1"/>
  <c r="M10" i="15"/>
  <c r="H11" i="15"/>
  <c r="H12" i="15" l="1"/>
  <c r="H13" i="15" l="1"/>
  <c r="H14" i="15" l="1"/>
  <c r="H15" i="15" l="1"/>
  <c r="H16" i="15" l="1"/>
  <c r="H17" i="15" l="1"/>
  <c r="H8" i="16" l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7" i="16"/>
  <c r="H6" i="16"/>
  <c r="J6" i="16" s="1"/>
  <c r="G7" i="16"/>
  <c r="G8" i="16"/>
  <c r="G9" i="16"/>
  <c r="G10" i="16"/>
  <c r="G11" i="16"/>
  <c r="G12" i="16"/>
  <c r="G13" i="16"/>
  <c r="G14" i="16"/>
  <c r="G15" i="16"/>
  <c r="G6" i="16"/>
  <c r="L7" i="8"/>
  <c r="L8" i="8"/>
  <c r="L9" i="8"/>
  <c r="L10" i="8"/>
  <c r="L11" i="8"/>
  <c r="L12" i="8"/>
  <c r="L13" i="8"/>
  <c r="L14" i="8"/>
  <c r="L15" i="8"/>
  <c r="L16" i="8"/>
  <c r="L17" i="8"/>
  <c r="L6" i="8"/>
  <c r="H8" i="17"/>
  <c r="H9" i="17" s="1"/>
  <c r="H10" i="17" s="1"/>
  <c r="H11" i="17" s="1"/>
  <c r="H12" i="17" s="1"/>
  <c r="H13" i="17" s="1"/>
  <c r="H14" i="17" s="1"/>
  <c r="H15" i="17" s="1"/>
  <c r="H16" i="17" s="1"/>
  <c r="H17" i="17" s="1"/>
  <c r="H7" i="17"/>
  <c r="K7" i="17" s="1"/>
  <c r="H6" i="17"/>
  <c r="K6" i="17" s="1"/>
  <c r="M6" i="17" s="1"/>
  <c r="G7" i="17"/>
  <c r="G8" i="17"/>
  <c r="G9" i="17"/>
  <c r="G10" i="17"/>
  <c r="G11" i="17"/>
  <c r="G12" i="17"/>
  <c r="G13" i="17"/>
  <c r="G14" i="17"/>
  <c r="G15" i="17"/>
  <c r="G16" i="17"/>
  <c r="G6" i="17"/>
  <c r="G18" i="17"/>
  <c r="G19" i="17"/>
  <c r="F18" i="8"/>
  <c r="G18" i="8"/>
  <c r="D7" i="8"/>
  <c r="D8" i="8"/>
  <c r="D9" i="8"/>
  <c r="D18" i="8" s="1"/>
  <c r="D10" i="8"/>
  <c r="D11" i="8"/>
  <c r="D12" i="8"/>
  <c r="D13" i="8"/>
  <c r="D14" i="8"/>
  <c r="D15" i="8"/>
  <c r="D16" i="8"/>
  <c r="D17" i="8"/>
  <c r="D6" i="8"/>
  <c r="E7" i="8"/>
  <c r="E8" i="8"/>
  <c r="E9" i="8"/>
  <c r="C9" i="8" s="1"/>
  <c r="E10" i="8"/>
  <c r="E11" i="8"/>
  <c r="E12" i="8"/>
  <c r="E13" i="8"/>
  <c r="E14" i="8"/>
  <c r="E15" i="8"/>
  <c r="E17" i="8"/>
  <c r="E6" i="8"/>
  <c r="F7" i="8"/>
  <c r="F8" i="8"/>
  <c r="F9" i="8"/>
  <c r="F10" i="8"/>
  <c r="F11" i="8"/>
  <c r="F12" i="8"/>
  <c r="F13" i="8"/>
  <c r="F14" i="8"/>
  <c r="F15" i="8"/>
  <c r="F16" i="8"/>
  <c r="F17" i="8"/>
  <c r="F6" i="8"/>
  <c r="H18" i="8"/>
  <c r="C8" i="8"/>
  <c r="I18" i="8"/>
  <c r="F21" i="19"/>
  <c r="E21" i="19" s="1"/>
  <c r="D21" i="19" s="1"/>
  <c r="G20" i="19"/>
  <c r="F20" i="19"/>
  <c r="E20" i="19"/>
  <c r="D20" i="19" s="1"/>
  <c r="F19" i="19"/>
  <c r="E19" i="19" s="1"/>
  <c r="D19" i="19" s="1"/>
  <c r="H17" i="19"/>
  <c r="F17" i="19"/>
  <c r="E17" i="19" s="1"/>
  <c r="D17" i="19" s="1"/>
  <c r="F16" i="19"/>
  <c r="E16" i="19" s="1"/>
  <c r="D16" i="19" s="1"/>
  <c r="F15" i="19"/>
  <c r="E15" i="19" s="1"/>
  <c r="D15" i="19" s="1"/>
  <c r="I11" i="19"/>
  <c r="I12" i="19" s="1"/>
  <c r="H11" i="19"/>
  <c r="F11" i="19" s="1"/>
  <c r="E11" i="19" s="1"/>
  <c r="D11" i="19" s="1"/>
  <c r="H10" i="19"/>
  <c r="F10" i="19"/>
  <c r="E10" i="19" s="1"/>
  <c r="D10" i="19" s="1"/>
  <c r="J14" i="18"/>
  <c r="I13" i="18"/>
  <c r="L13" i="18" s="1"/>
  <c r="L12" i="18"/>
  <c r="K12" i="18"/>
  <c r="I12" i="18"/>
  <c r="K11" i="18"/>
  <c r="I11" i="18"/>
  <c r="L11" i="18" s="1"/>
  <c r="I10" i="18"/>
  <c r="K10" i="18" s="1"/>
  <c r="L9" i="18"/>
  <c r="I9" i="18"/>
  <c r="K9" i="18" s="1"/>
  <c r="L8" i="18"/>
  <c r="K8" i="18"/>
  <c r="I8" i="18"/>
  <c r="I7" i="18"/>
  <c r="L7" i="18" s="1"/>
  <c r="I6" i="18"/>
  <c r="L6" i="18" s="1"/>
  <c r="I5" i="18"/>
  <c r="I14" i="18" s="1"/>
  <c r="L14" i="18" s="1"/>
  <c r="N19" i="17"/>
  <c r="F19" i="17"/>
  <c r="N18" i="17"/>
  <c r="F18" i="17"/>
  <c r="N17" i="17"/>
  <c r="E17" i="17"/>
  <c r="N16" i="17"/>
  <c r="E16" i="17"/>
  <c r="N15" i="17"/>
  <c r="E15" i="17"/>
  <c r="N14" i="17"/>
  <c r="E14" i="17"/>
  <c r="N13" i="17"/>
  <c r="E13" i="17"/>
  <c r="N12" i="17"/>
  <c r="E12" i="17"/>
  <c r="N11" i="17"/>
  <c r="E11" i="17"/>
  <c r="N10" i="17"/>
  <c r="E10" i="17"/>
  <c r="N9" i="17"/>
  <c r="E9" i="17"/>
  <c r="N8" i="17"/>
  <c r="E8" i="17"/>
  <c r="N7" i="17"/>
  <c r="I7" i="17"/>
  <c r="E7" i="17"/>
  <c r="N6" i="17"/>
  <c r="E6" i="17"/>
  <c r="F19" i="16"/>
  <c r="F18" i="16"/>
  <c r="E17" i="16"/>
  <c r="E16" i="16"/>
  <c r="E15" i="16"/>
  <c r="E14" i="16"/>
  <c r="E13" i="16"/>
  <c r="E12" i="16"/>
  <c r="E11" i="16"/>
  <c r="E10" i="16"/>
  <c r="E9" i="16"/>
  <c r="E8" i="16"/>
  <c r="E7" i="16"/>
  <c r="I7" i="16" s="1"/>
  <c r="E6" i="16"/>
  <c r="J31" i="15"/>
  <c r="J30" i="15"/>
  <c r="J29" i="15"/>
  <c r="J28" i="15"/>
  <c r="J27" i="15"/>
  <c r="J26" i="15"/>
  <c r="J25" i="15"/>
  <c r="F20" i="15"/>
  <c r="G20" i="15" s="1"/>
  <c r="F19" i="15"/>
  <c r="G19" i="15" s="1"/>
  <c r="F18" i="15"/>
  <c r="E17" i="15"/>
  <c r="E16" i="15"/>
  <c r="E15" i="15"/>
  <c r="E14" i="15"/>
  <c r="E13" i="15"/>
  <c r="E12" i="15"/>
  <c r="E11" i="15"/>
  <c r="E9" i="15"/>
  <c r="E8" i="15"/>
  <c r="E7" i="15"/>
  <c r="I7" i="15" s="1"/>
  <c r="I8" i="15" s="1"/>
  <c r="K6" i="15"/>
  <c r="M6" i="15" s="1"/>
  <c r="J6" i="15"/>
  <c r="E6" i="15"/>
  <c r="F19" i="14"/>
  <c r="F18" i="14"/>
  <c r="E17" i="14"/>
  <c r="E16" i="14"/>
  <c r="E15" i="14"/>
  <c r="E14" i="14"/>
  <c r="E13" i="14"/>
  <c r="E12" i="14"/>
  <c r="E11" i="14"/>
  <c r="E10" i="14"/>
  <c r="E9" i="14"/>
  <c r="K8" i="14"/>
  <c r="E8" i="14"/>
  <c r="K7" i="14"/>
  <c r="E7" i="14"/>
  <c r="I7" i="14" s="1"/>
  <c r="K6" i="14"/>
  <c r="M6" i="14" s="1"/>
  <c r="J6" i="14"/>
  <c r="E6" i="14"/>
  <c r="F20" i="13"/>
  <c r="F19" i="13"/>
  <c r="F18" i="13"/>
  <c r="E17" i="13"/>
  <c r="E16" i="13"/>
  <c r="E15" i="13"/>
  <c r="E14" i="13"/>
  <c r="E13" i="13"/>
  <c r="E12" i="13"/>
  <c r="E11" i="13"/>
  <c r="E10" i="13"/>
  <c r="E8" i="13"/>
  <c r="I7" i="13"/>
  <c r="J7" i="13" s="1"/>
  <c r="E7" i="13"/>
  <c r="K6" i="13"/>
  <c r="M6" i="13" s="1"/>
  <c r="J6" i="13"/>
  <c r="E6" i="13"/>
  <c r="D10" i="12"/>
  <c r="E10" i="12" s="1"/>
  <c r="D9" i="12"/>
  <c r="E9" i="12" s="1"/>
  <c r="M8" i="12"/>
  <c r="D8" i="12"/>
  <c r="E8" i="12" s="1"/>
  <c r="D7" i="12"/>
  <c r="E7" i="12" s="1"/>
  <c r="H7" i="12" s="1"/>
  <c r="I6" i="12"/>
  <c r="D6" i="12"/>
  <c r="E6" i="12" s="1"/>
  <c r="F19" i="11"/>
  <c r="F18" i="11"/>
  <c r="E17" i="11"/>
  <c r="E16" i="11"/>
  <c r="F15" i="11"/>
  <c r="E15" i="11"/>
  <c r="D15" i="11"/>
  <c r="E14" i="11"/>
  <c r="D14" i="11"/>
  <c r="E13" i="11"/>
  <c r="E12" i="11"/>
  <c r="E11" i="11"/>
  <c r="E10" i="11"/>
  <c r="D9" i="11"/>
  <c r="E9" i="11" s="1"/>
  <c r="D8" i="11"/>
  <c r="E8" i="11" s="1"/>
  <c r="J7" i="11"/>
  <c r="L7" i="11" s="1"/>
  <c r="G7" i="11"/>
  <c r="G8" i="11" s="1"/>
  <c r="E7" i="11"/>
  <c r="H7" i="11" s="1"/>
  <c r="L6" i="11"/>
  <c r="J6" i="11"/>
  <c r="K6" i="11" s="1"/>
  <c r="I6" i="11"/>
  <c r="E6" i="11"/>
  <c r="F19" i="10"/>
  <c r="F18" i="10"/>
  <c r="D17" i="10"/>
  <c r="E17" i="10" s="1"/>
  <c r="D16" i="10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M8" i="10"/>
  <c r="E8" i="10"/>
  <c r="D8" i="10"/>
  <c r="G7" i="10"/>
  <c r="J7" i="10" s="1"/>
  <c r="E7" i="10"/>
  <c r="H7" i="10" s="1"/>
  <c r="D7" i="10"/>
  <c r="I6" i="10"/>
  <c r="D6" i="10"/>
  <c r="J6" i="10" s="1"/>
  <c r="F19" i="9"/>
  <c r="F18" i="9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M8" i="9"/>
  <c r="E8" i="9"/>
  <c r="D8" i="9"/>
  <c r="G7" i="9"/>
  <c r="J7" i="9" s="1"/>
  <c r="E7" i="9"/>
  <c r="H7" i="9" s="1"/>
  <c r="D7" i="9"/>
  <c r="I6" i="9"/>
  <c r="D6" i="9"/>
  <c r="J6" i="9" s="1"/>
  <c r="J7" i="12" l="1"/>
  <c r="L6" i="13"/>
  <c r="K7" i="13"/>
  <c r="M7" i="13" s="1"/>
  <c r="L6" i="14"/>
  <c r="G18" i="15"/>
  <c r="C17" i="8"/>
  <c r="L6" i="15"/>
  <c r="K6" i="16"/>
  <c r="K7" i="16"/>
  <c r="L7" i="16" s="1"/>
  <c r="K18" i="8"/>
  <c r="C6" i="8"/>
  <c r="C7" i="8"/>
  <c r="L18" i="8"/>
  <c r="J7" i="17"/>
  <c r="J6" i="17"/>
  <c r="H12" i="19"/>
  <c r="F12" i="19" s="1"/>
  <c r="E12" i="19" s="1"/>
  <c r="D12" i="19" s="1"/>
  <c r="I13" i="19"/>
  <c r="K7" i="18"/>
  <c r="K5" i="18"/>
  <c r="K14" i="18" s="1"/>
  <c r="L10" i="18"/>
  <c r="K13" i="18"/>
  <c r="L5" i="18"/>
  <c r="K6" i="18"/>
  <c r="M7" i="17"/>
  <c r="L7" i="17"/>
  <c r="I8" i="17"/>
  <c r="L6" i="17"/>
  <c r="J7" i="16"/>
  <c r="I8" i="16"/>
  <c r="K8" i="15"/>
  <c r="I9" i="15"/>
  <c r="J8" i="15"/>
  <c r="J7" i="15"/>
  <c r="K7" i="15"/>
  <c r="M8" i="14"/>
  <c r="L8" i="14"/>
  <c r="J7" i="14"/>
  <c r="I8" i="14"/>
  <c r="L7" i="14"/>
  <c r="M7" i="14"/>
  <c r="L7" i="13"/>
  <c r="I8" i="13"/>
  <c r="K7" i="12"/>
  <c r="L7" i="12"/>
  <c r="I7" i="12"/>
  <c r="H8" i="12"/>
  <c r="J6" i="12"/>
  <c r="J8" i="11"/>
  <c r="G9" i="11"/>
  <c r="I7" i="11"/>
  <c r="H8" i="11"/>
  <c r="K7" i="11"/>
  <c r="I7" i="10"/>
  <c r="H8" i="10"/>
  <c r="K7" i="10"/>
  <c r="L7" i="10"/>
  <c r="K6" i="10"/>
  <c r="L6" i="10"/>
  <c r="G8" i="10"/>
  <c r="E6" i="10"/>
  <c r="K7" i="9"/>
  <c r="L7" i="9"/>
  <c r="I7" i="9"/>
  <c r="H8" i="9"/>
  <c r="K6" i="9"/>
  <c r="L6" i="9"/>
  <c r="G8" i="9"/>
  <c r="E6" i="9"/>
  <c r="O115" i="6"/>
  <c r="N115" i="6"/>
  <c r="M115" i="6"/>
  <c r="I115" i="6"/>
  <c r="H115" i="6"/>
  <c r="G115" i="6"/>
  <c r="F115" i="6"/>
  <c r="E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S49" i="6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K8" i="13" l="1"/>
  <c r="M8" i="13" s="1"/>
  <c r="K9" i="14"/>
  <c r="M7" i="16"/>
  <c r="L6" i="16"/>
  <c r="M6" i="16"/>
  <c r="I14" i="19"/>
  <c r="H13" i="19"/>
  <c r="F13" i="19" s="1"/>
  <c r="E13" i="19" s="1"/>
  <c r="D13" i="19" s="1"/>
  <c r="J8" i="17"/>
  <c r="I9" i="17"/>
  <c r="K8" i="17"/>
  <c r="K8" i="16"/>
  <c r="J8" i="16"/>
  <c r="I9" i="16"/>
  <c r="M7" i="15"/>
  <c r="L7" i="15"/>
  <c r="J9" i="15"/>
  <c r="I11" i="15"/>
  <c r="M8" i="15"/>
  <c r="L8" i="15"/>
  <c r="K9" i="15"/>
  <c r="J8" i="14"/>
  <c r="I9" i="14"/>
  <c r="J8" i="13"/>
  <c r="I10" i="13"/>
  <c r="L8" i="13"/>
  <c r="K6" i="12"/>
  <c r="L6" i="12"/>
  <c r="J8" i="12"/>
  <c r="H9" i="12"/>
  <c r="I8" i="12"/>
  <c r="I8" i="11"/>
  <c r="H9" i="11"/>
  <c r="L8" i="11"/>
  <c r="K8" i="11"/>
  <c r="J9" i="11"/>
  <c r="G10" i="11"/>
  <c r="J8" i="10"/>
  <c r="G9" i="10"/>
  <c r="H9" i="10"/>
  <c r="I8" i="10"/>
  <c r="J8" i="9"/>
  <c r="G9" i="9"/>
  <c r="H9" i="9"/>
  <c r="I8" i="9"/>
  <c r="G9" i="5"/>
  <c r="N8" i="5"/>
  <c r="C4" i="5"/>
  <c r="D4" i="5"/>
  <c r="E4" i="5"/>
  <c r="F4" i="5"/>
  <c r="G4" i="5"/>
  <c r="H4" i="5"/>
  <c r="I4" i="5"/>
  <c r="J4" i="5"/>
  <c r="K4" i="5"/>
  <c r="L4" i="5"/>
  <c r="M4" i="5"/>
  <c r="N4" i="5"/>
  <c r="C5" i="5"/>
  <c r="D5" i="5"/>
  <c r="E5" i="5"/>
  <c r="F5" i="5"/>
  <c r="G5" i="5"/>
  <c r="H5" i="5"/>
  <c r="I5" i="5"/>
  <c r="J5" i="5"/>
  <c r="K5" i="5"/>
  <c r="L5" i="5"/>
  <c r="M5" i="5"/>
  <c r="N5" i="5"/>
  <c r="C6" i="5"/>
  <c r="D6" i="5"/>
  <c r="E6" i="5"/>
  <c r="F6" i="5"/>
  <c r="G6" i="5"/>
  <c r="H6" i="5"/>
  <c r="I6" i="5"/>
  <c r="J6" i="5"/>
  <c r="K6" i="5"/>
  <c r="L6" i="5"/>
  <c r="M6" i="5"/>
  <c r="N6" i="5"/>
  <c r="C7" i="5"/>
  <c r="D7" i="5"/>
  <c r="E7" i="5"/>
  <c r="F7" i="5"/>
  <c r="G7" i="5"/>
  <c r="H7" i="5"/>
  <c r="I7" i="5"/>
  <c r="J7" i="5"/>
  <c r="K7" i="5"/>
  <c r="L7" i="5"/>
  <c r="M7" i="5"/>
  <c r="N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H9" i="5"/>
  <c r="I9" i="5"/>
  <c r="J9" i="5"/>
  <c r="K9" i="5"/>
  <c r="L9" i="5"/>
  <c r="M9" i="5"/>
  <c r="N9" i="5"/>
  <c r="C10" i="5"/>
  <c r="D10" i="5"/>
  <c r="E10" i="5"/>
  <c r="F10" i="5"/>
  <c r="G10" i="5"/>
  <c r="H10" i="5"/>
  <c r="I10" i="5"/>
  <c r="J10" i="5"/>
  <c r="K10" i="5"/>
  <c r="L10" i="5"/>
  <c r="M10" i="5"/>
  <c r="N10" i="5"/>
  <c r="C11" i="5"/>
  <c r="D11" i="5"/>
  <c r="E11" i="5"/>
  <c r="F11" i="5"/>
  <c r="B11" i="5" s="1"/>
  <c r="G11" i="5"/>
  <c r="H11" i="5"/>
  <c r="I11" i="5"/>
  <c r="J11" i="5"/>
  <c r="K11" i="5"/>
  <c r="L11" i="5"/>
  <c r="M11" i="5"/>
  <c r="N11" i="5"/>
  <c r="C12" i="5"/>
  <c r="D12" i="5"/>
  <c r="E12" i="5"/>
  <c r="F12" i="5"/>
  <c r="G12" i="5"/>
  <c r="H12" i="5"/>
  <c r="I12" i="5"/>
  <c r="J12" i="5"/>
  <c r="K12" i="5"/>
  <c r="L12" i="5"/>
  <c r="M12" i="5"/>
  <c r="N12" i="5"/>
  <c r="C13" i="5"/>
  <c r="D13" i="5"/>
  <c r="E13" i="5"/>
  <c r="F13" i="5"/>
  <c r="G13" i="5"/>
  <c r="H13" i="5"/>
  <c r="I13" i="5"/>
  <c r="J13" i="5"/>
  <c r="K13" i="5"/>
  <c r="L13" i="5"/>
  <c r="M13" i="5"/>
  <c r="N13" i="5"/>
  <c r="C14" i="5"/>
  <c r="D14" i="5"/>
  <c r="E14" i="5"/>
  <c r="F14" i="5"/>
  <c r="G14" i="5"/>
  <c r="H14" i="5"/>
  <c r="I14" i="5"/>
  <c r="J14" i="5"/>
  <c r="K14" i="5"/>
  <c r="L14" i="5"/>
  <c r="M14" i="5"/>
  <c r="N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C17" i="5"/>
  <c r="D17" i="5"/>
  <c r="E17" i="5"/>
  <c r="F17" i="5"/>
  <c r="G17" i="5"/>
  <c r="H17" i="5"/>
  <c r="I17" i="5"/>
  <c r="J17" i="5"/>
  <c r="K17" i="5"/>
  <c r="L17" i="5"/>
  <c r="M17" i="5"/>
  <c r="N17" i="5"/>
  <c r="C18" i="5"/>
  <c r="D18" i="5"/>
  <c r="E18" i="5"/>
  <c r="F18" i="5"/>
  <c r="G18" i="5"/>
  <c r="B18" i="5" s="1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C21" i="5"/>
  <c r="D21" i="5"/>
  <c r="E21" i="5"/>
  <c r="F21" i="5"/>
  <c r="G21" i="5"/>
  <c r="H21" i="5"/>
  <c r="I21" i="5"/>
  <c r="J21" i="5"/>
  <c r="K21" i="5"/>
  <c r="L21" i="5"/>
  <c r="M21" i="5"/>
  <c r="N21" i="5"/>
  <c r="C22" i="5"/>
  <c r="D22" i="5"/>
  <c r="E22" i="5"/>
  <c r="F22" i="5"/>
  <c r="G22" i="5"/>
  <c r="H22" i="5"/>
  <c r="I22" i="5"/>
  <c r="J22" i="5"/>
  <c r="K22" i="5"/>
  <c r="L22" i="5"/>
  <c r="M22" i="5"/>
  <c r="N22" i="5"/>
  <c r="C23" i="5"/>
  <c r="D23" i="5"/>
  <c r="E23" i="5"/>
  <c r="F23" i="5"/>
  <c r="G23" i="5"/>
  <c r="H23" i="5"/>
  <c r="I23" i="5"/>
  <c r="J23" i="5"/>
  <c r="K23" i="5"/>
  <c r="L23" i="5"/>
  <c r="M23" i="5"/>
  <c r="N23" i="5"/>
  <c r="C24" i="5"/>
  <c r="D24" i="5"/>
  <c r="E24" i="5"/>
  <c r="F24" i="5"/>
  <c r="G24" i="5"/>
  <c r="H24" i="5"/>
  <c r="I24" i="5"/>
  <c r="J24" i="5"/>
  <c r="K24" i="5"/>
  <c r="L24" i="5"/>
  <c r="M24" i="5"/>
  <c r="N24" i="5"/>
  <c r="C25" i="5"/>
  <c r="D25" i="5"/>
  <c r="E25" i="5"/>
  <c r="F25" i="5"/>
  <c r="G25" i="5"/>
  <c r="H25" i="5"/>
  <c r="I25" i="5"/>
  <c r="J25" i="5"/>
  <c r="B25" i="5" s="1"/>
  <c r="K25" i="5"/>
  <c r="L25" i="5"/>
  <c r="M25" i="5"/>
  <c r="C31" i="5"/>
  <c r="D31" i="5"/>
  <c r="E31" i="5"/>
  <c r="F31" i="5"/>
  <c r="G31" i="5"/>
  <c r="H31" i="5"/>
  <c r="I31" i="5"/>
  <c r="J31" i="5"/>
  <c r="B31" i="5" s="1"/>
  <c r="K31" i="5"/>
  <c r="L31" i="5"/>
  <c r="M31" i="5"/>
  <c r="N31" i="5"/>
  <c r="C32" i="5"/>
  <c r="D32" i="5"/>
  <c r="E32" i="5"/>
  <c r="F32" i="5"/>
  <c r="B32" i="5" s="1"/>
  <c r="G32" i="5"/>
  <c r="H32" i="5"/>
  <c r="I32" i="5"/>
  <c r="J32" i="5"/>
  <c r="K32" i="5"/>
  <c r="L32" i="5"/>
  <c r="M32" i="5"/>
  <c r="N32" i="5"/>
  <c r="C33" i="5"/>
  <c r="D33" i="5"/>
  <c r="E33" i="5"/>
  <c r="F33" i="5"/>
  <c r="G33" i="5"/>
  <c r="H33" i="5"/>
  <c r="I33" i="5"/>
  <c r="J33" i="5"/>
  <c r="B33" i="5" s="1"/>
  <c r="K33" i="5"/>
  <c r="L33" i="5"/>
  <c r="M33" i="5"/>
  <c r="N33" i="5"/>
  <c r="C34" i="5"/>
  <c r="D34" i="5"/>
  <c r="E34" i="5"/>
  <c r="F34" i="5"/>
  <c r="B34" i="5" s="1"/>
  <c r="G34" i="5"/>
  <c r="H34" i="5"/>
  <c r="I34" i="5"/>
  <c r="J34" i="5"/>
  <c r="K34" i="5"/>
  <c r="L34" i="5"/>
  <c r="M34" i="5"/>
  <c r="N34" i="5"/>
  <c r="C35" i="5"/>
  <c r="D35" i="5"/>
  <c r="E35" i="5"/>
  <c r="F35" i="5"/>
  <c r="G35" i="5"/>
  <c r="H35" i="5"/>
  <c r="I35" i="5"/>
  <c r="J35" i="5"/>
  <c r="B35" i="5" s="1"/>
  <c r="K35" i="5"/>
  <c r="L35" i="5"/>
  <c r="M35" i="5"/>
  <c r="N35" i="5"/>
  <c r="C36" i="5"/>
  <c r="D36" i="5"/>
  <c r="E36" i="5"/>
  <c r="F36" i="5"/>
  <c r="B36" i="5" s="1"/>
  <c r="G36" i="5"/>
  <c r="H36" i="5"/>
  <c r="I36" i="5"/>
  <c r="J36" i="5"/>
  <c r="K36" i="5"/>
  <c r="L36" i="5"/>
  <c r="M36" i="5"/>
  <c r="N36" i="5"/>
  <c r="C37" i="5"/>
  <c r="D37" i="5"/>
  <c r="E37" i="5"/>
  <c r="F37" i="5"/>
  <c r="G37" i="5"/>
  <c r="H37" i="5"/>
  <c r="I37" i="5"/>
  <c r="J37" i="5"/>
  <c r="B37" i="5" s="1"/>
  <c r="K37" i="5"/>
  <c r="L37" i="5"/>
  <c r="M37" i="5"/>
  <c r="N37" i="5"/>
  <c r="C38" i="5"/>
  <c r="D38" i="5"/>
  <c r="E38" i="5"/>
  <c r="F38" i="5"/>
  <c r="B38" i="5" s="1"/>
  <c r="G38" i="5"/>
  <c r="H38" i="5"/>
  <c r="I38" i="5"/>
  <c r="J38" i="5"/>
  <c r="K38" i="5"/>
  <c r="L38" i="5"/>
  <c r="M38" i="5"/>
  <c r="N38" i="5"/>
  <c r="C39" i="5"/>
  <c r="D39" i="5"/>
  <c r="E39" i="5"/>
  <c r="F39" i="5"/>
  <c r="G39" i="5"/>
  <c r="H39" i="5"/>
  <c r="I39" i="5"/>
  <c r="J39" i="5"/>
  <c r="K39" i="5"/>
  <c r="L39" i="5"/>
  <c r="M39" i="5"/>
  <c r="N39" i="5"/>
  <c r="C40" i="5"/>
  <c r="D40" i="5"/>
  <c r="E40" i="5"/>
  <c r="F40" i="5"/>
  <c r="G40" i="5"/>
  <c r="H40" i="5"/>
  <c r="I40" i="5"/>
  <c r="J40" i="5"/>
  <c r="K40" i="5"/>
  <c r="L40" i="5"/>
  <c r="M40" i="5"/>
  <c r="N40" i="5"/>
  <c r="C41" i="5"/>
  <c r="D41" i="5"/>
  <c r="E41" i="5"/>
  <c r="F41" i="5"/>
  <c r="G41" i="5"/>
  <c r="H41" i="5"/>
  <c r="I41" i="5"/>
  <c r="J41" i="5"/>
  <c r="B41" i="5" s="1"/>
  <c r="K41" i="5"/>
  <c r="L41" i="5"/>
  <c r="M41" i="5"/>
  <c r="N41" i="5"/>
  <c r="C42" i="5"/>
  <c r="D42" i="5"/>
  <c r="E42" i="5"/>
  <c r="F42" i="5"/>
  <c r="B42" i="5" s="1"/>
  <c r="G42" i="5"/>
  <c r="H42" i="5"/>
  <c r="I42" i="5"/>
  <c r="J42" i="5"/>
  <c r="K42" i="5"/>
  <c r="L42" i="5"/>
  <c r="M42" i="5"/>
  <c r="N42" i="5"/>
  <c r="C43" i="5"/>
  <c r="D43" i="5"/>
  <c r="E43" i="5"/>
  <c r="F43" i="5"/>
  <c r="G43" i="5"/>
  <c r="H43" i="5"/>
  <c r="I43" i="5"/>
  <c r="J43" i="5"/>
  <c r="K43" i="5"/>
  <c r="L43" i="5"/>
  <c r="M43" i="5"/>
  <c r="N43" i="5"/>
  <c r="C44" i="5"/>
  <c r="D44" i="5"/>
  <c r="E44" i="5"/>
  <c r="F44" i="5"/>
  <c r="G44" i="5"/>
  <c r="H44" i="5"/>
  <c r="I44" i="5"/>
  <c r="J44" i="5"/>
  <c r="K44" i="5"/>
  <c r="L44" i="5"/>
  <c r="M44" i="5"/>
  <c r="N44" i="5"/>
  <c r="C45" i="5"/>
  <c r="D45" i="5"/>
  <c r="E45" i="5"/>
  <c r="F45" i="5"/>
  <c r="G45" i="5"/>
  <c r="H45" i="5"/>
  <c r="I45" i="5"/>
  <c r="J45" i="5"/>
  <c r="B45" i="5" s="1"/>
  <c r="K45" i="5"/>
  <c r="L45" i="5"/>
  <c r="M45" i="5"/>
  <c r="N45" i="5"/>
  <c r="C46" i="5"/>
  <c r="D46" i="5"/>
  <c r="E46" i="5"/>
  <c r="F46" i="5"/>
  <c r="B46" i="5" s="1"/>
  <c r="G46" i="5"/>
  <c r="H46" i="5"/>
  <c r="I46" i="5"/>
  <c r="J46" i="5"/>
  <c r="K46" i="5"/>
  <c r="L46" i="5"/>
  <c r="M46" i="5"/>
  <c r="N46" i="5"/>
  <c r="C47" i="5"/>
  <c r="D47" i="5"/>
  <c r="E47" i="5"/>
  <c r="F47" i="5"/>
  <c r="G47" i="5"/>
  <c r="H47" i="5"/>
  <c r="I47" i="5"/>
  <c r="J47" i="5"/>
  <c r="B47" i="5" s="1"/>
  <c r="K47" i="5"/>
  <c r="L47" i="5"/>
  <c r="M47" i="5"/>
  <c r="N47" i="5"/>
  <c r="C48" i="5"/>
  <c r="D48" i="5"/>
  <c r="E48" i="5"/>
  <c r="F48" i="5"/>
  <c r="B48" i="5" s="1"/>
  <c r="G48" i="5"/>
  <c r="H48" i="5"/>
  <c r="I48" i="5"/>
  <c r="J48" i="5"/>
  <c r="K48" i="5"/>
  <c r="L48" i="5"/>
  <c r="M48" i="5"/>
  <c r="N48" i="5"/>
  <c r="C49" i="5"/>
  <c r="D49" i="5"/>
  <c r="E49" i="5"/>
  <c r="F49" i="5"/>
  <c r="G49" i="5"/>
  <c r="H49" i="5"/>
  <c r="I49" i="5"/>
  <c r="J49" i="5"/>
  <c r="B49" i="5" s="1"/>
  <c r="K49" i="5"/>
  <c r="L49" i="5"/>
  <c r="M49" i="5"/>
  <c r="N49" i="5"/>
  <c r="C50" i="5"/>
  <c r="D50" i="5"/>
  <c r="E50" i="5"/>
  <c r="F50" i="5"/>
  <c r="B50" i="5" s="1"/>
  <c r="G50" i="5"/>
  <c r="H50" i="5"/>
  <c r="I50" i="5"/>
  <c r="J50" i="5"/>
  <c r="K50" i="5"/>
  <c r="L50" i="5"/>
  <c r="M50" i="5"/>
  <c r="N50" i="5"/>
  <c r="C51" i="5"/>
  <c r="D51" i="5"/>
  <c r="E51" i="5"/>
  <c r="F51" i="5"/>
  <c r="G51" i="5"/>
  <c r="H51" i="5"/>
  <c r="I51" i="5"/>
  <c r="J51" i="5"/>
  <c r="B51" i="5" s="1"/>
  <c r="K51" i="5"/>
  <c r="L51" i="5"/>
  <c r="M51" i="5"/>
  <c r="N51" i="5"/>
  <c r="C52" i="5"/>
  <c r="D52" i="5"/>
  <c r="E52" i="5"/>
  <c r="F52" i="5"/>
  <c r="B52" i="5" s="1"/>
  <c r="G52" i="5"/>
  <c r="H52" i="5"/>
  <c r="I52" i="5"/>
  <c r="J52" i="5"/>
  <c r="K52" i="5"/>
  <c r="L52" i="5"/>
  <c r="M52" i="5"/>
  <c r="N52" i="5"/>
  <c r="C53" i="5"/>
  <c r="D53" i="5"/>
  <c r="E53" i="5"/>
  <c r="F53" i="5"/>
  <c r="G53" i="5"/>
  <c r="H53" i="5"/>
  <c r="I53" i="5"/>
  <c r="J53" i="5"/>
  <c r="B53" i="5" s="1"/>
  <c r="K53" i="5"/>
  <c r="L53" i="5"/>
  <c r="M53" i="5"/>
  <c r="N53" i="5"/>
  <c r="C54" i="5"/>
  <c r="D54" i="5"/>
  <c r="E54" i="5"/>
  <c r="F54" i="5"/>
  <c r="B54" i="5" s="1"/>
  <c r="G54" i="5"/>
  <c r="H54" i="5"/>
  <c r="I54" i="5"/>
  <c r="J54" i="5"/>
  <c r="K54" i="5"/>
  <c r="L54" i="5"/>
  <c r="M54" i="5"/>
  <c r="N54" i="5"/>
  <c r="C55" i="5"/>
  <c r="D55" i="5"/>
  <c r="E55" i="5"/>
  <c r="F55" i="5"/>
  <c r="G55" i="5"/>
  <c r="H55" i="5"/>
  <c r="I55" i="5"/>
  <c r="J55" i="5"/>
  <c r="B55" i="5" s="1"/>
  <c r="K55" i="5"/>
  <c r="L55" i="5"/>
  <c r="M55" i="5"/>
  <c r="N55" i="5"/>
  <c r="C56" i="5"/>
  <c r="D56" i="5"/>
  <c r="E56" i="5"/>
  <c r="F56" i="5"/>
  <c r="B56" i="5" s="1"/>
  <c r="G56" i="5"/>
  <c r="H56" i="5"/>
  <c r="I56" i="5"/>
  <c r="J56" i="5"/>
  <c r="K56" i="5"/>
  <c r="L56" i="5"/>
  <c r="M56" i="5"/>
  <c r="N56" i="5"/>
  <c r="C57" i="5"/>
  <c r="D57" i="5"/>
  <c r="E57" i="5"/>
  <c r="F57" i="5"/>
  <c r="G57" i="5"/>
  <c r="H57" i="5"/>
  <c r="I57" i="5"/>
  <c r="J57" i="5"/>
  <c r="B57" i="5" s="1"/>
  <c r="K57" i="5"/>
  <c r="L57" i="5"/>
  <c r="M57" i="5"/>
  <c r="N57" i="5"/>
  <c r="C58" i="5"/>
  <c r="D58" i="5"/>
  <c r="E58" i="5"/>
  <c r="F58" i="5"/>
  <c r="B58" i="5" s="1"/>
  <c r="G58" i="5"/>
  <c r="H58" i="5"/>
  <c r="I58" i="5"/>
  <c r="J58" i="5"/>
  <c r="K58" i="5"/>
  <c r="L58" i="5"/>
  <c r="M58" i="5"/>
  <c r="N58" i="5"/>
  <c r="C59" i="5"/>
  <c r="D59" i="5"/>
  <c r="E59" i="5"/>
  <c r="F59" i="5"/>
  <c r="G59" i="5"/>
  <c r="H59" i="5"/>
  <c r="I59" i="5"/>
  <c r="J59" i="5"/>
  <c r="B59" i="5" s="1"/>
  <c r="K59" i="5"/>
  <c r="L59" i="5"/>
  <c r="M59" i="5"/>
  <c r="N59" i="5"/>
  <c r="C60" i="5"/>
  <c r="D60" i="5"/>
  <c r="E60" i="5"/>
  <c r="F60" i="5"/>
  <c r="G60" i="5"/>
  <c r="H60" i="5"/>
  <c r="I60" i="5"/>
  <c r="J60" i="5"/>
  <c r="K60" i="5"/>
  <c r="L60" i="5"/>
  <c r="M60" i="5"/>
  <c r="N60" i="5"/>
  <c r="C61" i="5"/>
  <c r="D61" i="5"/>
  <c r="E61" i="5"/>
  <c r="F61" i="5"/>
  <c r="G61" i="5"/>
  <c r="H61" i="5"/>
  <c r="I61" i="5"/>
  <c r="J61" i="5"/>
  <c r="B61" i="5" s="1"/>
  <c r="K61" i="5"/>
  <c r="L61" i="5"/>
  <c r="M61" i="5"/>
  <c r="N61" i="5"/>
  <c r="C62" i="5"/>
  <c r="D62" i="5"/>
  <c r="E62" i="5"/>
  <c r="F62" i="5"/>
  <c r="G62" i="5"/>
  <c r="H62" i="5"/>
  <c r="I62" i="5"/>
  <c r="J62" i="5"/>
  <c r="K62" i="5"/>
  <c r="L62" i="5"/>
  <c r="M62" i="5"/>
  <c r="N62" i="5"/>
  <c r="C63" i="5"/>
  <c r="D63" i="5"/>
  <c r="E63" i="5"/>
  <c r="F63" i="5"/>
  <c r="G63" i="5"/>
  <c r="H63" i="5"/>
  <c r="I63" i="5"/>
  <c r="J63" i="5"/>
  <c r="K63" i="5"/>
  <c r="L63" i="5"/>
  <c r="M63" i="5"/>
  <c r="N63" i="5"/>
  <c r="C64" i="5"/>
  <c r="D64" i="5"/>
  <c r="E64" i="5"/>
  <c r="F64" i="5"/>
  <c r="B64" i="5" s="1"/>
  <c r="G64" i="5"/>
  <c r="H64" i="5"/>
  <c r="I64" i="5"/>
  <c r="J64" i="5"/>
  <c r="K64" i="5"/>
  <c r="L64" i="5"/>
  <c r="M64" i="5"/>
  <c r="N64" i="5"/>
  <c r="C65" i="5"/>
  <c r="B65" i="5" s="1"/>
  <c r="D65" i="5"/>
  <c r="E65" i="5"/>
  <c r="F65" i="5"/>
  <c r="G65" i="5"/>
  <c r="H65" i="5"/>
  <c r="I65" i="5"/>
  <c r="J65" i="5"/>
  <c r="K65" i="5"/>
  <c r="L65" i="5"/>
  <c r="M65" i="5"/>
  <c r="N65" i="5"/>
  <c r="C66" i="5"/>
  <c r="D66" i="5"/>
  <c r="E66" i="5"/>
  <c r="F66" i="5"/>
  <c r="G66" i="5"/>
  <c r="H66" i="5"/>
  <c r="I66" i="5"/>
  <c r="J66" i="5"/>
  <c r="K66" i="5"/>
  <c r="L66" i="5"/>
  <c r="M66" i="5"/>
  <c r="N66" i="5"/>
  <c r="C67" i="5"/>
  <c r="B67" i="5" s="1"/>
  <c r="D67" i="5"/>
  <c r="E67" i="5"/>
  <c r="F67" i="5"/>
  <c r="G67" i="5"/>
  <c r="H67" i="5"/>
  <c r="I67" i="5"/>
  <c r="J67" i="5"/>
  <c r="K67" i="5"/>
  <c r="L67" i="5"/>
  <c r="M67" i="5"/>
  <c r="N67" i="5"/>
  <c r="C68" i="5"/>
  <c r="D68" i="5"/>
  <c r="E68" i="5"/>
  <c r="F68" i="5"/>
  <c r="B68" i="5" s="1"/>
  <c r="G68" i="5"/>
  <c r="H68" i="5"/>
  <c r="I68" i="5"/>
  <c r="J68" i="5"/>
  <c r="K68" i="5"/>
  <c r="L68" i="5"/>
  <c r="M68" i="5"/>
  <c r="N68" i="5"/>
  <c r="C69" i="5"/>
  <c r="B69" i="5" s="1"/>
  <c r="D69" i="5"/>
  <c r="E69" i="5"/>
  <c r="F69" i="5"/>
  <c r="G69" i="5"/>
  <c r="H69" i="5"/>
  <c r="I69" i="5"/>
  <c r="J69" i="5"/>
  <c r="K69" i="5"/>
  <c r="L69" i="5"/>
  <c r="M69" i="5"/>
  <c r="N69" i="5"/>
  <c r="C70" i="5"/>
  <c r="D70" i="5"/>
  <c r="E70" i="5"/>
  <c r="F70" i="5"/>
  <c r="B70" i="5" s="1"/>
  <c r="G70" i="5"/>
  <c r="H70" i="5"/>
  <c r="I70" i="5"/>
  <c r="J70" i="5"/>
  <c r="K70" i="5"/>
  <c r="L70" i="5"/>
  <c r="M70" i="5"/>
  <c r="N70" i="5"/>
  <c r="C71" i="5"/>
  <c r="B71" i="5" s="1"/>
  <c r="D71" i="5"/>
  <c r="E71" i="5"/>
  <c r="F71" i="5"/>
  <c r="G71" i="5"/>
  <c r="H71" i="5"/>
  <c r="I71" i="5"/>
  <c r="J71" i="5"/>
  <c r="K71" i="5"/>
  <c r="L71" i="5"/>
  <c r="M71" i="5"/>
  <c r="N71" i="5"/>
  <c r="C72" i="5"/>
  <c r="D72" i="5"/>
  <c r="E72" i="5"/>
  <c r="F72" i="5"/>
  <c r="B72" i="5" s="1"/>
  <c r="G72" i="5"/>
  <c r="H72" i="5"/>
  <c r="I72" i="5"/>
  <c r="J72" i="5"/>
  <c r="K72" i="5"/>
  <c r="L72" i="5"/>
  <c r="M72" i="5"/>
  <c r="N72" i="5"/>
  <c r="C73" i="5"/>
  <c r="D73" i="5"/>
  <c r="E73" i="5"/>
  <c r="F73" i="5"/>
  <c r="G73" i="5"/>
  <c r="H73" i="5"/>
  <c r="I73" i="5"/>
  <c r="J73" i="5"/>
  <c r="K73" i="5"/>
  <c r="L73" i="5"/>
  <c r="M73" i="5"/>
  <c r="N73" i="5"/>
  <c r="C74" i="5"/>
  <c r="D74" i="5"/>
  <c r="E74" i="5"/>
  <c r="F74" i="5"/>
  <c r="B74" i="5" s="1"/>
  <c r="G74" i="5"/>
  <c r="H74" i="5"/>
  <c r="I74" i="5"/>
  <c r="J74" i="5"/>
  <c r="K74" i="5"/>
  <c r="L74" i="5"/>
  <c r="M74" i="5"/>
  <c r="N74" i="5"/>
  <c r="C75" i="5"/>
  <c r="B75" i="5" s="1"/>
  <c r="D75" i="5"/>
  <c r="E75" i="5"/>
  <c r="F75" i="5"/>
  <c r="G75" i="5"/>
  <c r="H75" i="5"/>
  <c r="I75" i="5"/>
  <c r="J75" i="5"/>
  <c r="K75" i="5"/>
  <c r="L75" i="5"/>
  <c r="M75" i="5"/>
  <c r="N75" i="5"/>
  <c r="C76" i="5"/>
  <c r="D76" i="5"/>
  <c r="E76" i="5"/>
  <c r="F76" i="5"/>
  <c r="B76" i="5" s="1"/>
  <c r="G76" i="5"/>
  <c r="H76" i="5"/>
  <c r="I76" i="5"/>
  <c r="J76" i="5"/>
  <c r="K76" i="5"/>
  <c r="L76" i="5"/>
  <c r="M76" i="5"/>
  <c r="N76" i="5"/>
  <c r="C77" i="5"/>
  <c r="B77" i="5" s="1"/>
  <c r="D77" i="5"/>
  <c r="E77" i="5"/>
  <c r="F77" i="5"/>
  <c r="G77" i="5"/>
  <c r="H77" i="5"/>
  <c r="I77" i="5"/>
  <c r="J77" i="5"/>
  <c r="K77" i="5"/>
  <c r="L77" i="5"/>
  <c r="M77" i="5"/>
  <c r="N77" i="5"/>
  <c r="C78" i="5"/>
  <c r="D78" i="5"/>
  <c r="E78" i="5"/>
  <c r="F78" i="5"/>
  <c r="B78" i="5" s="1"/>
  <c r="G78" i="5"/>
  <c r="H78" i="5"/>
  <c r="I78" i="5"/>
  <c r="J78" i="5"/>
  <c r="K78" i="5"/>
  <c r="L78" i="5"/>
  <c r="M78" i="5"/>
  <c r="N78" i="5"/>
  <c r="C79" i="5"/>
  <c r="B79" i="5" s="1"/>
  <c r="D79" i="5"/>
  <c r="E79" i="5"/>
  <c r="F79" i="5"/>
  <c r="G79" i="5"/>
  <c r="H79" i="5"/>
  <c r="I79" i="5"/>
  <c r="J79" i="5"/>
  <c r="K79" i="5"/>
  <c r="L79" i="5"/>
  <c r="M79" i="5"/>
  <c r="N79" i="5"/>
  <c r="C80" i="5"/>
  <c r="D80" i="5"/>
  <c r="E80" i="5"/>
  <c r="F80" i="5"/>
  <c r="B80" i="5" s="1"/>
  <c r="G80" i="5"/>
  <c r="H80" i="5"/>
  <c r="I80" i="5"/>
  <c r="J80" i="5"/>
  <c r="K80" i="5"/>
  <c r="L80" i="5"/>
  <c r="M80" i="5"/>
  <c r="N80" i="5"/>
  <c r="C81" i="5"/>
  <c r="B81" i="5" s="1"/>
  <c r="D81" i="5"/>
  <c r="E81" i="5"/>
  <c r="F81" i="5"/>
  <c r="G81" i="5"/>
  <c r="H81" i="5"/>
  <c r="I81" i="5"/>
  <c r="J81" i="5"/>
  <c r="K81" i="5"/>
  <c r="L81" i="5"/>
  <c r="M81" i="5"/>
  <c r="N81" i="5"/>
  <c r="C82" i="5"/>
  <c r="D82" i="5"/>
  <c r="E82" i="5"/>
  <c r="F82" i="5"/>
  <c r="B82" i="5" s="1"/>
  <c r="G82" i="5"/>
  <c r="H82" i="5"/>
  <c r="I82" i="5"/>
  <c r="J82" i="5"/>
  <c r="K82" i="5"/>
  <c r="L82" i="5"/>
  <c r="M82" i="5"/>
  <c r="N82" i="5"/>
  <c r="C83" i="5"/>
  <c r="B83" i="5" s="1"/>
  <c r="D83" i="5"/>
  <c r="E83" i="5"/>
  <c r="F83" i="5"/>
  <c r="G83" i="5"/>
  <c r="H83" i="5"/>
  <c r="I83" i="5"/>
  <c r="J83" i="5"/>
  <c r="K83" i="5"/>
  <c r="L83" i="5"/>
  <c r="M83" i="5"/>
  <c r="N83" i="5"/>
  <c r="C84" i="5"/>
  <c r="D84" i="5"/>
  <c r="E84" i="5"/>
  <c r="F84" i="5"/>
  <c r="G84" i="5"/>
  <c r="H84" i="5"/>
  <c r="I84" i="5"/>
  <c r="J84" i="5"/>
  <c r="K84" i="5"/>
  <c r="L84" i="5"/>
  <c r="M84" i="5"/>
  <c r="N84" i="5"/>
  <c r="C85" i="5"/>
  <c r="B85" i="5" s="1"/>
  <c r="D85" i="5"/>
  <c r="E85" i="5"/>
  <c r="F85" i="5"/>
  <c r="G85" i="5"/>
  <c r="H85" i="5"/>
  <c r="I85" i="5"/>
  <c r="J85" i="5"/>
  <c r="K85" i="5"/>
  <c r="L85" i="5"/>
  <c r="M85" i="5"/>
  <c r="N85" i="5"/>
  <c r="C86" i="5"/>
  <c r="D86" i="5"/>
  <c r="E86" i="5"/>
  <c r="F86" i="5"/>
  <c r="B86" i="5" s="1"/>
  <c r="G86" i="5"/>
  <c r="H86" i="5"/>
  <c r="I86" i="5"/>
  <c r="J86" i="5"/>
  <c r="K86" i="5"/>
  <c r="L86" i="5"/>
  <c r="M86" i="5"/>
  <c r="N86" i="5"/>
  <c r="C87" i="5"/>
  <c r="D87" i="5"/>
  <c r="E87" i="5"/>
  <c r="F87" i="5"/>
  <c r="G87" i="5"/>
  <c r="H87" i="5"/>
  <c r="I87" i="5"/>
  <c r="J87" i="5"/>
  <c r="K87" i="5"/>
  <c r="L87" i="5"/>
  <c r="M87" i="5"/>
  <c r="N87" i="5"/>
  <c r="C88" i="5"/>
  <c r="D88" i="5"/>
  <c r="E88" i="5"/>
  <c r="F88" i="5"/>
  <c r="G88" i="5"/>
  <c r="B88" i="5" s="1"/>
  <c r="H88" i="5"/>
  <c r="I88" i="5"/>
  <c r="J88" i="5"/>
  <c r="K88" i="5"/>
  <c r="L88" i="5"/>
  <c r="M88" i="5"/>
  <c r="N88" i="5"/>
  <c r="C89" i="5"/>
  <c r="B89" i="5" s="1"/>
  <c r="D89" i="5"/>
  <c r="E89" i="5"/>
  <c r="F89" i="5"/>
  <c r="G89" i="5"/>
  <c r="H89" i="5"/>
  <c r="I89" i="5"/>
  <c r="J89" i="5"/>
  <c r="K89" i="5"/>
  <c r="L89" i="5"/>
  <c r="M89" i="5"/>
  <c r="N89" i="5"/>
  <c r="C90" i="5"/>
  <c r="D90" i="5"/>
  <c r="E90" i="5"/>
  <c r="F90" i="5"/>
  <c r="B90" i="5" s="1"/>
  <c r="G90" i="5"/>
  <c r="H90" i="5"/>
  <c r="I90" i="5"/>
  <c r="J90" i="5"/>
  <c r="K90" i="5"/>
  <c r="L90" i="5"/>
  <c r="M90" i="5"/>
  <c r="N90" i="5"/>
  <c r="C91" i="5"/>
  <c r="B91" i="5" s="1"/>
  <c r="D91" i="5"/>
  <c r="E91" i="5"/>
  <c r="F91" i="5"/>
  <c r="G91" i="5"/>
  <c r="H91" i="5"/>
  <c r="I91" i="5"/>
  <c r="J91" i="5"/>
  <c r="K91" i="5"/>
  <c r="L91" i="5"/>
  <c r="M91" i="5"/>
  <c r="N91" i="5"/>
  <c r="C92" i="5"/>
  <c r="D92" i="5"/>
  <c r="E92" i="5"/>
  <c r="F92" i="5"/>
  <c r="B92" i="5" s="1"/>
  <c r="G92" i="5"/>
  <c r="H92" i="5"/>
  <c r="I92" i="5"/>
  <c r="J92" i="5"/>
  <c r="K92" i="5"/>
  <c r="L92" i="5"/>
  <c r="M92" i="5"/>
  <c r="N92" i="5"/>
  <c r="C93" i="5"/>
  <c r="B93" i="5" s="1"/>
  <c r="D93" i="5"/>
  <c r="E93" i="5"/>
  <c r="F93" i="5"/>
  <c r="G93" i="5"/>
  <c r="H93" i="5"/>
  <c r="I93" i="5"/>
  <c r="J93" i="5"/>
  <c r="K93" i="5"/>
  <c r="L93" i="5"/>
  <c r="M93" i="5"/>
  <c r="N93" i="5"/>
  <c r="C94" i="5"/>
  <c r="D94" i="5"/>
  <c r="E94" i="5"/>
  <c r="F94" i="5"/>
  <c r="B94" i="5" s="1"/>
  <c r="G94" i="5"/>
  <c r="H94" i="5"/>
  <c r="I94" i="5"/>
  <c r="J94" i="5"/>
  <c r="K94" i="5"/>
  <c r="L94" i="5"/>
  <c r="M94" i="5"/>
  <c r="N94" i="5"/>
  <c r="C95" i="5"/>
  <c r="B95" i="5" s="1"/>
  <c r="D95" i="5"/>
  <c r="E95" i="5"/>
  <c r="F95" i="5"/>
  <c r="G95" i="5"/>
  <c r="H95" i="5"/>
  <c r="I95" i="5"/>
  <c r="J95" i="5"/>
  <c r="K95" i="5"/>
  <c r="L95" i="5"/>
  <c r="M95" i="5"/>
  <c r="N95" i="5"/>
  <c r="C96" i="5"/>
  <c r="D96" i="5"/>
  <c r="E96" i="5"/>
  <c r="F96" i="5"/>
  <c r="B96" i="5" s="1"/>
  <c r="G96" i="5"/>
  <c r="H96" i="5"/>
  <c r="I96" i="5"/>
  <c r="J96" i="5"/>
  <c r="K96" i="5"/>
  <c r="L96" i="5"/>
  <c r="M96" i="5"/>
  <c r="N96" i="5"/>
  <c r="C97" i="5"/>
  <c r="B97" i="5" s="1"/>
  <c r="D97" i="5"/>
  <c r="E97" i="5"/>
  <c r="F97" i="5"/>
  <c r="G97" i="5"/>
  <c r="H97" i="5"/>
  <c r="I97" i="5"/>
  <c r="J97" i="5"/>
  <c r="K97" i="5"/>
  <c r="L97" i="5"/>
  <c r="M97" i="5"/>
  <c r="N97" i="5"/>
  <c r="C98" i="5"/>
  <c r="D98" i="5"/>
  <c r="E98" i="5"/>
  <c r="F98" i="5"/>
  <c r="B98" i="5" s="1"/>
  <c r="G98" i="5"/>
  <c r="H98" i="5"/>
  <c r="I98" i="5"/>
  <c r="J98" i="5"/>
  <c r="K98" i="5"/>
  <c r="L98" i="5"/>
  <c r="M98" i="5"/>
  <c r="N98" i="5"/>
  <c r="C99" i="5"/>
  <c r="B99" i="5" s="1"/>
  <c r="D99" i="5"/>
  <c r="E99" i="5"/>
  <c r="F99" i="5"/>
  <c r="G99" i="5"/>
  <c r="H99" i="5"/>
  <c r="I99" i="5"/>
  <c r="J99" i="5"/>
  <c r="K99" i="5"/>
  <c r="L99" i="5"/>
  <c r="M99" i="5"/>
  <c r="N99" i="5"/>
  <c r="C100" i="5"/>
  <c r="B100" i="5" s="1"/>
  <c r="D100" i="5"/>
  <c r="E100" i="5"/>
  <c r="F100" i="5"/>
  <c r="G100" i="5"/>
  <c r="H100" i="5"/>
  <c r="I100" i="5"/>
  <c r="J100" i="5"/>
  <c r="K100" i="5"/>
  <c r="L100" i="5"/>
  <c r="M100" i="5"/>
  <c r="N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C102" i="5"/>
  <c r="D102" i="5"/>
  <c r="E102" i="5"/>
  <c r="F102" i="5"/>
  <c r="G102" i="5"/>
  <c r="B102" i="5" s="1"/>
  <c r="H102" i="5"/>
  <c r="I102" i="5"/>
  <c r="J102" i="5"/>
  <c r="K102" i="5"/>
  <c r="L102" i="5"/>
  <c r="M102" i="5"/>
  <c r="N102" i="5"/>
  <c r="C103" i="5"/>
  <c r="B103" i="5" s="1"/>
  <c r="D103" i="5"/>
  <c r="E103" i="5"/>
  <c r="F103" i="5"/>
  <c r="G103" i="5"/>
  <c r="H103" i="5"/>
  <c r="I103" i="5"/>
  <c r="J103" i="5"/>
  <c r="K103" i="5"/>
  <c r="L103" i="5"/>
  <c r="M103" i="5"/>
  <c r="N103" i="5"/>
  <c r="C104" i="5"/>
  <c r="B104" i="5" s="1"/>
  <c r="D104" i="5"/>
  <c r="E104" i="5"/>
  <c r="F104" i="5"/>
  <c r="G104" i="5"/>
  <c r="H104" i="5"/>
  <c r="I104" i="5"/>
  <c r="J104" i="5"/>
  <c r="K104" i="5"/>
  <c r="L104" i="5"/>
  <c r="M104" i="5"/>
  <c r="N104" i="5"/>
  <c r="C105" i="5"/>
  <c r="B105" i="5" s="1"/>
  <c r="D105" i="5"/>
  <c r="E105" i="5"/>
  <c r="F105" i="5"/>
  <c r="G105" i="5"/>
  <c r="H105" i="5"/>
  <c r="I105" i="5"/>
  <c r="J105" i="5"/>
  <c r="K105" i="5"/>
  <c r="L105" i="5"/>
  <c r="M105" i="5"/>
  <c r="N105" i="5"/>
  <c r="C26" i="5"/>
  <c r="D26" i="5"/>
  <c r="B26" i="5" s="1"/>
  <c r="E26" i="5"/>
  <c r="F26" i="5"/>
  <c r="G26" i="5"/>
  <c r="H26" i="5"/>
  <c r="I26" i="5"/>
  <c r="J26" i="5"/>
  <c r="K26" i="5"/>
  <c r="L26" i="5"/>
  <c r="M26" i="5"/>
  <c r="N26" i="5"/>
  <c r="C27" i="5"/>
  <c r="D27" i="5"/>
  <c r="E27" i="5"/>
  <c r="F27" i="5"/>
  <c r="B27" i="5" s="1"/>
  <c r="G27" i="5"/>
  <c r="H27" i="5"/>
  <c r="I27" i="5"/>
  <c r="J27" i="5"/>
  <c r="K27" i="5"/>
  <c r="L27" i="5"/>
  <c r="M27" i="5"/>
  <c r="N27" i="5"/>
  <c r="C28" i="5"/>
  <c r="D28" i="5"/>
  <c r="E28" i="5"/>
  <c r="F28" i="5"/>
  <c r="G28" i="5"/>
  <c r="H28" i="5"/>
  <c r="I28" i="5"/>
  <c r="J28" i="5"/>
  <c r="K28" i="5"/>
  <c r="L28" i="5"/>
  <c r="M28" i="5"/>
  <c r="N28" i="5"/>
  <c r="C29" i="5"/>
  <c r="D29" i="5"/>
  <c r="E29" i="5"/>
  <c r="F29" i="5"/>
  <c r="G29" i="5"/>
  <c r="H29" i="5"/>
  <c r="I29" i="5"/>
  <c r="J29" i="5"/>
  <c r="K29" i="5"/>
  <c r="L29" i="5"/>
  <c r="M29" i="5"/>
  <c r="N29" i="5"/>
  <c r="C30" i="5"/>
  <c r="D30" i="5"/>
  <c r="B30" i="5" s="1"/>
  <c r="E30" i="5"/>
  <c r="F30" i="5"/>
  <c r="G30" i="5"/>
  <c r="H30" i="5"/>
  <c r="I30" i="5"/>
  <c r="J30" i="5"/>
  <c r="K30" i="5"/>
  <c r="L30" i="5"/>
  <c r="M30" i="5"/>
  <c r="N30" i="5"/>
  <c r="N25" i="5"/>
  <c r="B28" i="5"/>
  <c r="B43" i="5"/>
  <c r="B44" i="5"/>
  <c r="B60" i="5"/>
  <c r="B66" i="5"/>
  <c r="B84" i="5"/>
  <c r="B17" i="5"/>
  <c r="E115" i="5"/>
  <c r="M115" i="5"/>
  <c r="C2" i="5"/>
  <c r="D2" i="5"/>
  <c r="E2" i="5"/>
  <c r="F2" i="5"/>
  <c r="G2" i="5"/>
  <c r="H2" i="5"/>
  <c r="I2" i="5"/>
  <c r="J2" i="5"/>
  <c r="K2" i="5"/>
  <c r="L2" i="5"/>
  <c r="M2" i="5"/>
  <c r="K1" i="5"/>
  <c r="J1" i="5" s="1"/>
  <c r="I1" i="5" s="1"/>
  <c r="H1" i="5" s="1"/>
  <c r="G1" i="5" s="1"/>
  <c r="F1" i="5" s="1"/>
  <c r="E1" i="5" s="1"/>
  <c r="D1" i="5" s="1"/>
  <c r="C1" i="5" s="1"/>
  <c r="L1" i="5"/>
  <c r="M1" i="5"/>
  <c r="N2" i="5"/>
  <c r="O115" i="5"/>
  <c r="B114" i="5"/>
  <c r="B113" i="5"/>
  <c r="B112" i="5"/>
  <c r="B111" i="5"/>
  <c r="B110" i="5"/>
  <c r="B109" i="5"/>
  <c r="B108" i="5"/>
  <c r="B107" i="5"/>
  <c r="B106" i="5"/>
  <c r="B101" i="5"/>
  <c r="B87" i="5"/>
  <c r="B73" i="5"/>
  <c r="B63" i="5"/>
  <c r="B62" i="5"/>
  <c r="S50" i="5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49" i="5"/>
  <c r="B40" i="5"/>
  <c r="B39" i="5"/>
  <c r="B29" i="5"/>
  <c r="K10" i="13" l="1"/>
  <c r="K10" i="14"/>
  <c r="C10" i="8"/>
  <c r="H14" i="19"/>
  <c r="F14" i="19" s="1"/>
  <c r="E14" i="19" s="1"/>
  <c r="D14" i="19" s="1"/>
  <c r="I15" i="19"/>
  <c r="I16" i="19" s="1"/>
  <c r="I17" i="19" s="1"/>
  <c r="I18" i="19" s="1"/>
  <c r="M8" i="17"/>
  <c r="L8" i="17"/>
  <c r="K9" i="17"/>
  <c r="I10" i="17"/>
  <c r="J9" i="17"/>
  <c r="I10" i="16"/>
  <c r="J9" i="16"/>
  <c r="M8" i="16"/>
  <c r="L8" i="16"/>
  <c r="K9" i="16"/>
  <c r="M9" i="15"/>
  <c r="L9" i="15"/>
  <c r="K11" i="15"/>
  <c r="C11" i="8"/>
  <c r="J11" i="15"/>
  <c r="I12" i="15"/>
  <c r="I10" i="14"/>
  <c r="J9" i="14"/>
  <c r="M9" i="14"/>
  <c r="L9" i="14"/>
  <c r="J10" i="13"/>
  <c r="I11" i="13"/>
  <c r="L10" i="13"/>
  <c r="M10" i="13"/>
  <c r="I9" i="12"/>
  <c r="H10" i="12"/>
  <c r="K8" i="12"/>
  <c r="L8" i="12"/>
  <c r="J9" i="12"/>
  <c r="J10" i="11"/>
  <c r="G11" i="11"/>
  <c r="L9" i="11"/>
  <c r="K9" i="11"/>
  <c r="I9" i="11"/>
  <c r="H10" i="11"/>
  <c r="I9" i="10"/>
  <c r="H10" i="10"/>
  <c r="J9" i="10"/>
  <c r="G10" i="10"/>
  <c r="K8" i="10"/>
  <c r="L8" i="10"/>
  <c r="I9" i="9"/>
  <c r="H10" i="9"/>
  <c r="J9" i="9"/>
  <c r="G10" i="9"/>
  <c r="K8" i="9"/>
  <c r="L8" i="9"/>
  <c r="B24" i="5"/>
  <c r="B23" i="5"/>
  <c r="B22" i="5"/>
  <c r="B21" i="5"/>
  <c r="B20" i="5"/>
  <c r="B19" i="5"/>
  <c r="G115" i="5"/>
  <c r="B16" i="5"/>
  <c r="B15" i="5"/>
  <c r="H115" i="5"/>
  <c r="B14" i="5"/>
  <c r="B13" i="5"/>
  <c r="B12" i="5"/>
  <c r="I115" i="5"/>
  <c r="B10" i="5"/>
  <c r="L115" i="5"/>
  <c r="D115" i="5"/>
  <c r="B9" i="5"/>
  <c r="B8" i="5"/>
  <c r="B7" i="5"/>
  <c r="J115" i="5"/>
  <c r="B6" i="5"/>
  <c r="B5" i="5"/>
  <c r="F115" i="5"/>
  <c r="K115" i="5"/>
  <c r="C115" i="5"/>
  <c r="N115" i="5"/>
  <c r="B4" i="5"/>
  <c r="O115" i="3"/>
  <c r="B114" i="3"/>
  <c r="B113" i="3"/>
  <c r="B112" i="3"/>
  <c r="B111" i="3"/>
  <c r="B110" i="3"/>
  <c r="B109" i="3"/>
  <c r="B108" i="3"/>
  <c r="K11" i="13" l="1"/>
  <c r="K11" i="14"/>
  <c r="I19" i="19"/>
  <c r="I20" i="19" s="1"/>
  <c r="I21" i="19" s="1"/>
  <c r="H18" i="19"/>
  <c r="F18" i="19" s="1"/>
  <c r="E18" i="19" s="1"/>
  <c r="D18" i="19" s="1"/>
  <c r="J10" i="17"/>
  <c r="I11" i="17"/>
  <c r="M9" i="17"/>
  <c r="L9" i="17"/>
  <c r="K10" i="17"/>
  <c r="K10" i="16"/>
  <c r="M9" i="16"/>
  <c r="L9" i="16"/>
  <c r="I11" i="16"/>
  <c r="J10" i="16"/>
  <c r="J12" i="15"/>
  <c r="I13" i="15"/>
  <c r="K12" i="15"/>
  <c r="C12" i="8"/>
  <c r="L11" i="15"/>
  <c r="M11" i="15"/>
  <c r="J10" i="14"/>
  <c r="I11" i="14"/>
  <c r="M10" i="14"/>
  <c r="L10" i="14"/>
  <c r="J11" i="13"/>
  <c r="I12" i="13"/>
  <c r="M11" i="13"/>
  <c r="L11" i="13"/>
  <c r="J10" i="12"/>
  <c r="L9" i="12"/>
  <c r="K9" i="12"/>
  <c r="I10" i="12"/>
  <c r="H11" i="12"/>
  <c r="G12" i="11"/>
  <c r="J11" i="11"/>
  <c r="K10" i="11"/>
  <c r="L10" i="11"/>
  <c r="I10" i="11"/>
  <c r="H11" i="11"/>
  <c r="L9" i="10"/>
  <c r="K9" i="10"/>
  <c r="I10" i="10"/>
  <c r="H11" i="10"/>
  <c r="J10" i="10"/>
  <c r="G11" i="10"/>
  <c r="I10" i="9"/>
  <c r="H11" i="9"/>
  <c r="J10" i="9"/>
  <c r="G11" i="9"/>
  <c r="K9" i="9"/>
  <c r="L9" i="9"/>
  <c r="B115" i="5"/>
  <c r="S49" i="3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K12" i="13" l="1"/>
  <c r="M12" i="13" s="1"/>
  <c r="K12" i="14"/>
  <c r="M10" i="17"/>
  <c r="L10" i="17"/>
  <c r="K11" i="17"/>
  <c r="I12" i="17"/>
  <c r="J11" i="17"/>
  <c r="M10" i="16"/>
  <c r="L10" i="16"/>
  <c r="I12" i="16"/>
  <c r="J11" i="16"/>
  <c r="K11" i="16"/>
  <c r="K13" i="15"/>
  <c r="C13" i="8"/>
  <c r="L12" i="15"/>
  <c r="M12" i="15"/>
  <c r="J13" i="15"/>
  <c r="I14" i="15"/>
  <c r="I12" i="14"/>
  <c r="J11" i="14"/>
  <c r="M11" i="14"/>
  <c r="L11" i="14"/>
  <c r="I13" i="13"/>
  <c r="J12" i="13"/>
  <c r="K10" i="12"/>
  <c r="L10" i="12"/>
  <c r="I11" i="12"/>
  <c r="H12" i="12"/>
  <c r="J11" i="12"/>
  <c r="G13" i="11"/>
  <c r="J12" i="11"/>
  <c r="L11" i="11"/>
  <c r="K11" i="11"/>
  <c r="H12" i="11"/>
  <c r="I11" i="11"/>
  <c r="K10" i="10"/>
  <c r="L10" i="10"/>
  <c r="J11" i="10"/>
  <c r="G12" i="10"/>
  <c r="I11" i="10"/>
  <c r="H12" i="10"/>
  <c r="I11" i="9"/>
  <c r="H12" i="9"/>
  <c r="J11" i="9"/>
  <c r="G12" i="9"/>
  <c r="K10" i="9"/>
  <c r="L10" i="9"/>
  <c r="B46" i="3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L12" i="13" l="1"/>
  <c r="K13" i="13"/>
  <c r="K13" i="14"/>
  <c r="J12" i="17"/>
  <c r="I13" i="17"/>
  <c r="M11" i="17"/>
  <c r="L11" i="17"/>
  <c r="K12" i="17"/>
  <c r="M11" i="16"/>
  <c r="L11" i="16"/>
  <c r="K12" i="16"/>
  <c r="J12" i="16"/>
  <c r="I13" i="16"/>
  <c r="J14" i="15"/>
  <c r="I15" i="15"/>
  <c r="C14" i="8"/>
  <c r="K14" i="15"/>
  <c r="M13" i="15"/>
  <c r="L13" i="15"/>
  <c r="I13" i="14"/>
  <c r="J12" i="14"/>
  <c r="L12" i="14"/>
  <c r="M12" i="14"/>
  <c r="I14" i="13"/>
  <c r="J13" i="13"/>
  <c r="L13" i="13"/>
  <c r="M13" i="13"/>
  <c r="K11" i="12"/>
  <c r="L11" i="12"/>
  <c r="J12" i="12"/>
  <c r="I12" i="12"/>
  <c r="H13" i="12"/>
  <c r="G14" i="11"/>
  <c r="J13" i="11"/>
  <c r="L12" i="11"/>
  <c r="K12" i="11"/>
  <c r="H13" i="11"/>
  <c r="I12" i="11"/>
  <c r="I12" i="10"/>
  <c r="H13" i="10"/>
  <c r="J12" i="10"/>
  <c r="G13" i="10"/>
  <c r="K11" i="10"/>
  <c r="L11" i="10"/>
  <c r="J12" i="9"/>
  <c r="G13" i="9"/>
  <c r="K11" i="9"/>
  <c r="L11" i="9"/>
  <c r="I12" i="9"/>
  <c r="H13" i="9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K14" i="13" l="1"/>
  <c r="M14" i="13" s="1"/>
  <c r="K14" i="14"/>
  <c r="M12" i="17"/>
  <c r="L12" i="17"/>
  <c r="K13" i="17"/>
  <c r="J13" i="17"/>
  <c r="I14" i="17"/>
  <c r="J13" i="16"/>
  <c r="I14" i="16"/>
  <c r="K13" i="16"/>
  <c r="M12" i="16"/>
  <c r="L12" i="16"/>
  <c r="C15" i="8"/>
  <c r="K15" i="15"/>
  <c r="M14" i="15"/>
  <c r="L14" i="15"/>
  <c r="I16" i="15"/>
  <c r="J15" i="15"/>
  <c r="J13" i="14"/>
  <c r="I14" i="14"/>
  <c r="L13" i="14"/>
  <c r="M13" i="14"/>
  <c r="J14" i="13"/>
  <c r="I15" i="13"/>
  <c r="H14" i="12"/>
  <c r="I13" i="12"/>
  <c r="J13" i="12"/>
  <c r="L12" i="12"/>
  <c r="K12" i="12"/>
  <c r="H14" i="11"/>
  <c r="I13" i="11"/>
  <c r="L13" i="11"/>
  <c r="K13" i="11"/>
  <c r="G15" i="11"/>
  <c r="J14" i="11"/>
  <c r="I13" i="10"/>
  <c r="H14" i="10"/>
  <c r="J13" i="10"/>
  <c r="G14" i="10"/>
  <c r="K12" i="10"/>
  <c r="L12" i="10"/>
  <c r="J13" i="9"/>
  <c r="G14" i="9"/>
  <c r="I13" i="9"/>
  <c r="H14" i="9"/>
  <c r="L12" i="9"/>
  <c r="K12" i="9"/>
  <c r="L14" i="13" l="1"/>
  <c r="K15" i="13"/>
  <c r="L15" i="13" s="1"/>
  <c r="K15" i="14"/>
  <c r="M13" i="17"/>
  <c r="L13" i="17"/>
  <c r="I15" i="17"/>
  <c r="J14" i="17"/>
  <c r="K14" i="17"/>
  <c r="J14" i="16"/>
  <c r="I15" i="16"/>
  <c r="K14" i="16"/>
  <c r="L13" i="16"/>
  <c r="M13" i="16"/>
  <c r="I17" i="15"/>
  <c r="J16" i="15"/>
  <c r="M15" i="15"/>
  <c r="L15" i="15"/>
  <c r="K16" i="15"/>
  <c r="J14" i="14"/>
  <c r="I15" i="14"/>
  <c r="M14" i="14"/>
  <c r="L14" i="14"/>
  <c r="I16" i="13"/>
  <c r="J15" i="13"/>
  <c r="M15" i="13"/>
  <c r="H15" i="12"/>
  <c r="I14" i="12"/>
  <c r="L13" i="12"/>
  <c r="K13" i="12"/>
  <c r="J14" i="12"/>
  <c r="H15" i="11"/>
  <c r="I14" i="11"/>
  <c r="G16" i="11"/>
  <c r="J15" i="11"/>
  <c r="L14" i="11"/>
  <c r="K14" i="11"/>
  <c r="I14" i="10"/>
  <c r="H15" i="10"/>
  <c r="J14" i="10"/>
  <c r="G15" i="10"/>
  <c r="K13" i="10"/>
  <c r="L13" i="10"/>
  <c r="I14" i="9"/>
  <c r="H15" i="9"/>
  <c r="J14" i="9"/>
  <c r="G15" i="9"/>
  <c r="K13" i="9"/>
  <c r="L13" i="9"/>
  <c r="K16" i="13" l="1"/>
  <c r="K16" i="14"/>
  <c r="J18" i="8"/>
  <c r="M14" i="17"/>
  <c r="L14" i="17"/>
  <c r="K15" i="17"/>
  <c r="J15" i="17"/>
  <c r="I16" i="17"/>
  <c r="K15" i="16"/>
  <c r="J15" i="16"/>
  <c r="I16" i="16"/>
  <c r="L14" i="16"/>
  <c r="M14" i="16"/>
  <c r="M16" i="15"/>
  <c r="L16" i="15"/>
  <c r="H18" i="15"/>
  <c r="K17" i="15"/>
  <c r="I18" i="15"/>
  <c r="J17" i="15"/>
  <c r="I16" i="14"/>
  <c r="J15" i="14"/>
  <c r="L15" i="14"/>
  <c r="M15" i="14"/>
  <c r="J16" i="13"/>
  <c r="I17" i="13"/>
  <c r="M16" i="13"/>
  <c r="L16" i="13"/>
  <c r="L14" i="12"/>
  <c r="K14" i="12"/>
  <c r="J15" i="12"/>
  <c r="I15" i="12"/>
  <c r="H16" i="12"/>
  <c r="H16" i="11"/>
  <c r="I15" i="11"/>
  <c r="L15" i="11"/>
  <c r="K15" i="11"/>
  <c r="G17" i="11"/>
  <c r="J16" i="11"/>
  <c r="I15" i="10"/>
  <c r="J15" i="10"/>
  <c r="L14" i="10"/>
  <c r="K14" i="10"/>
  <c r="I15" i="9"/>
  <c r="H16" i="9"/>
  <c r="J15" i="9"/>
  <c r="G16" i="9"/>
  <c r="K14" i="9"/>
  <c r="L14" i="9"/>
  <c r="K17" i="13" l="1"/>
  <c r="K17" i="14"/>
  <c r="M15" i="17"/>
  <c r="L15" i="17"/>
  <c r="I17" i="17"/>
  <c r="J16" i="17"/>
  <c r="K16" i="17"/>
  <c r="K16" i="16"/>
  <c r="J16" i="16"/>
  <c r="I17" i="16"/>
  <c r="M15" i="16"/>
  <c r="L15" i="16"/>
  <c r="J18" i="15"/>
  <c r="I19" i="15"/>
  <c r="H19" i="15"/>
  <c r="K18" i="15"/>
  <c r="M17" i="15"/>
  <c r="L17" i="15"/>
  <c r="J16" i="14"/>
  <c r="I17" i="14"/>
  <c r="M16" i="14"/>
  <c r="L16" i="14"/>
  <c r="J17" i="13"/>
  <c r="I18" i="13"/>
  <c r="M17" i="13"/>
  <c r="L17" i="13"/>
  <c r="L15" i="12"/>
  <c r="K15" i="12"/>
  <c r="I16" i="12"/>
  <c r="H17" i="12"/>
  <c r="J16" i="12"/>
  <c r="H17" i="11"/>
  <c r="I16" i="11"/>
  <c r="G18" i="11"/>
  <c r="J17" i="11"/>
  <c r="L16" i="11"/>
  <c r="K16" i="11"/>
  <c r="K15" i="10"/>
  <c r="L15" i="10"/>
  <c r="I16" i="9"/>
  <c r="H17" i="9"/>
  <c r="J16" i="9"/>
  <c r="G17" i="9"/>
  <c r="K15" i="9"/>
  <c r="L15" i="9"/>
  <c r="K18" i="13" l="1"/>
  <c r="K18" i="14"/>
  <c r="K19" i="14"/>
  <c r="M16" i="17"/>
  <c r="L16" i="17"/>
  <c r="J17" i="17"/>
  <c r="I18" i="17"/>
  <c r="H18" i="17"/>
  <c r="K17" i="17"/>
  <c r="J17" i="16"/>
  <c r="I18" i="16"/>
  <c r="K17" i="16"/>
  <c r="M16" i="16"/>
  <c r="L16" i="16"/>
  <c r="M18" i="15"/>
  <c r="L18" i="15"/>
  <c r="K19" i="15"/>
  <c r="H20" i="15"/>
  <c r="K20" i="15" s="1"/>
  <c r="J19" i="15"/>
  <c r="I20" i="15"/>
  <c r="J17" i="14"/>
  <c r="I18" i="14"/>
  <c r="M17" i="14"/>
  <c r="L17" i="14"/>
  <c r="J18" i="13"/>
  <c r="I19" i="13"/>
  <c r="M18" i="13"/>
  <c r="L18" i="13"/>
  <c r="K16" i="12"/>
  <c r="L16" i="12"/>
  <c r="H18" i="12"/>
  <c r="I17" i="12"/>
  <c r="J17" i="12"/>
  <c r="L17" i="11"/>
  <c r="K17" i="11"/>
  <c r="J18" i="11"/>
  <c r="G19" i="11"/>
  <c r="J19" i="11" s="1"/>
  <c r="I17" i="11"/>
  <c r="H18" i="11"/>
  <c r="K16" i="9"/>
  <c r="L16" i="9"/>
  <c r="J17" i="9"/>
  <c r="G18" i="9"/>
  <c r="I17" i="9"/>
  <c r="H18" i="9"/>
  <c r="K20" i="13" l="1"/>
  <c r="K19" i="13"/>
  <c r="L19" i="13" s="1"/>
  <c r="M17" i="17"/>
  <c r="L17" i="17"/>
  <c r="K18" i="17"/>
  <c r="H19" i="17"/>
  <c r="K19" i="17" s="1"/>
  <c r="J18" i="17"/>
  <c r="I19" i="17"/>
  <c r="M17" i="16"/>
  <c r="L17" i="16"/>
  <c r="K19" i="16"/>
  <c r="K18" i="16"/>
  <c r="I19" i="16"/>
  <c r="J18" i="16"/>
  <c r="J20" i="15"/>
  <c r="L20" i="15"/>
  <c r="M20" i="15"/>
  <c r="L19" i="15"/>
  <c r="M19" i="15"/>
  <c r="J18" i="14"/>
  <c r="I19" i="14"/>
  <c r="M18" i="14"/>
  <c r="L18" i="14"/>
  <c r="I20" i="13"/>
  <c r="J19" i="13"/>
  <c r="J18" i="12"/>
  <c r="J19" i="12"/>
  <c r="L17" i="12"/>
  <c r="K17" i="12"/>
  <c r="I18" i="12"/>
  <c r="H19" i="12"/>
  <c r="L18" i="11"/>
  <c r="K18" i="11"/>
  <c r="I18" i="11"/>
  <c r="H19" i="11"/>
  <c r="I19" i="11" s="1"/>
  <c r="J18" i="9"/>
  <c r="G19" i="9"/>
  <c r="J19" i="9" s="1"/>
  <c r="K17" i="9"/>
  <c r="L17" i="9"/>
  <c r="I18" i="9"/>
  <c r="H19" i="9"/>
  <c r="I19" i="9" l="1"/>
  <c r="I19" i="12"/>
  <c r="M19" i="13"/>
  <c r="J19" i="16"/>
  <c r="J19" i="17"/>
  <c r="M19" i="17"/>
  <c r="L19" i="17"/>
  <c r="M18" i="17"/>
  <c r="L18" i="17"/>
  <c r="M18" i="16"/>
  <c r="L18" i="16"/>
  <c r="M19" i="16"/>
  <c r="L19" i="16"/>
  <c r="J19" i="14"/>
  <c r="L19" i="14"/>
  <c r="M19" i="14"/>
  <c r="J20" i="13"/>
  <c r="M20" i="13"/>
  <c r="L20" i="13"/>
  <c r="L19" i="12"/>
  <c r="K19" i="12"/>
  <c r="K18" i="12"/>
  <c r="L18" i="12"/>
  <c r="L19" i="11"/>
  <c r="K19" i="11"/>
  <c r="L19" i="9"/>
  <c r="K19" i="9"/>
  <c r="K18" i="9"/>
  <c r="L18" i="9"/>
  <c r="G16" i="10"/>
  <c r="J16" i="10" s="1"/>
  <c r="E16" i="10"/>
  <c r="H16" i="10" s="1"/>
  <c r="E16" i="8"/>
  <c r="E18" i="8" s="1"/>
  <c r="C18" i="8" s="1"/>
  <c r="G17" i="10" l="1"/>
  <c r="G18" i="10" s="1"/>
  <c r="G19" i="10" s="1"/>
  <c r="J19" i="10" s="1"/>
  <c r="H17" i="10"/>
  <c r="I16" i="10"/>
  <c r="L16" i="10"/>
  <c r="K16" i="10"/>
  <c r="J17" i="10"/>
  <c r="C16" i="8"/>
  <c r="J18" i="10" l="1"/>
  <c r="L17" i="10"/>
  <c r="K17" i="10"/>
  <c r="H18" i="10"/>
  <c r="L18" i="10" s="1"/>
  <c r="I17" i="10"/>
  <c r="K18" i="10" l="1"/>
  <c r="I18" i="10"/>
  <c r="H19" i="10"/>
  <c r="I19" i="10" l="1"/>
  <c r="L19" i="10"/>
  <c r="K19" i="10"/>
</calcChain>
</file>

<file path=xl/sharedStrings.xml><?xml version="1.0" encoding="utf-8"?>
<sst xmlns="http://schemas.openxmlformats.org/spreadsheetml/2006/main" count="969" uniqueCount="220">
  <si>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</si>
  <si>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</si>
  <si>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</si>
  <si>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</si>
  <si>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</si>
  <si>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</si>
  <si>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</si>
  <si>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</si>
  <si>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</si>
  <si>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</si>
  <si>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</si>
  <si>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</si>
  <si>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</si>
  <si>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</si>
  <si>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</si>
  <si>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</si>
  <si>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</si>
  <si>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</si>
  <si>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</si>
  <si>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</si>
  <si>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</si>
  <si>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</si>
  <si>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</si>
  <si>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</si>
  <si>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</si>
  <si>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</si>
  <si>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</si>
  <si>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</si>
  <si>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</si>
  <si>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</si>
  <si>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</si>
  <si>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</si>
  <si>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</si>
  <si>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</si>
  <si>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</si>
  <si>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</si>
  <si>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</si>
  <si>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</si>
  <si>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</si>
  <si>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</si>
  <si>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</si>
  <si>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</si>
  <si>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</si>
  <si>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</si>
  <si>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</si>
  <si>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</si>
  <si>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</si>
  <si>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</si>
  <si>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</si>
  <si>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</si>
  <si>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</si>
  <si>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</si>
  <si>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</si>
  <si>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</si>
  <si>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</si>
  <si>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</si>
  <si>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</si>
  <si>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</si>
  <si>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</si>
  <si>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</si>
  <si>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</si>
  <si>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</si>
  <si>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</si>
  <si>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</si>
  <si>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</si>
  <si>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</si>
  <si>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</si>
  <si>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</si>
  <si>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</si>
  <si>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</si>
  <si>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</si>
  <si>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</si>
  <si>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</si>
  <si>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</si>
  <si>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</si>
  <si>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</si>
  <si>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</si>
  <si>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</si>
  <si>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</si>
  <si>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</si>
  <si>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</si>
  <si>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</si>
  <si>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</si>
  <si>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</si>
  <si>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</si>
  <si>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</si>
  <si>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</si>
  <si>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</si>
  <si>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</si>
  <si>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</si>
  <si>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</si>
  <si>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</si>
  <si>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</si>
  <si>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</si>
  <si>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</si>
  <si>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</si>
  <si>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</si>
  <si>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</si>
  <si>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</si>
  <si>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</si>
  <si>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</si>
  <si>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</si>
  <si>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</si>
  <si>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</si>
  <si>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</si>
  <si>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</si>
  <si>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</si>
  <si>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</si>
  <si>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</si>
  <si>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</si>
  <si>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</si>
  <si>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</si>
  <si>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</si>
  <si>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</si>
  <si>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</si>
  <si>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</si>
  <si>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</si>
  <si>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</si>
  <si>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نام سهم</t>
  </si>
  <si>
    <t>آخرین قیمت (ریال)</t>
  </si>
  <si>
    <t xml:space="preserve">تعداد سهام خریداری </t>
  </si>
  <si>
    <t>ارزش هر سهم</t>
  </si>
  <si>
    <t>کل سرمایه گذاری</t>
  </si>
  <si>
    <t>سود/ضرر</t>
  </si>
  <si>
    <t>سود/ضرر(درصد)</t>
  </si>
  <si>
    <t>‌کچاد</t>
  </si>
  <si>
    <t>شستا</t>
  </si>
  <si>
    <t>فملی</t>
  </si>
  <si>
    <t>آریا</t>
  </si>
  <si>
    <t>فروی</t>
  </si>
  <si>
    <t>AUD</t>
  </si>
  <si>
    <t>USDT</t>
  </si>
  <si>
    <t>ETH</t>
  </si>
  <si>
    <t>BTC</t>
  </si>
  <si>
    <t>total</t>
  </si>
  <si>
    <t>مجموع</t>
  </si>
  <si>
    <t>تاریخ</t>
  </si>
  <si>
    <t>دوره</t>
  </si>
  <si>
    <t>قیمت خرید</t>
  </si>
  <si>
    <t>مقدار سرمایه گذاری در دوره</t>
  </si>
  <si>
    <t>تعداد خرید سهم</t>
  </si>
  <si>
    <t>کل تعداد خرید سهم</t>
  </si>
  <si>
    <t>میانگین قیمت تمام شده برای هر سهم</t>
  </si>
  <si>
    <t>کل سرمایه</t>
  </si>
  <si>
    <t>درصد سود/ضرر</t>
  </si>
  <si>
    <t>قیمت دلار</t>
  </si>
  <si>
    <t>date</t>
  </si>
  <si>
    <t>priod</t>
  </si>
  <si>
    <t>Shares price</t>
  </si>
  <si>
    <t>Shares invesment</t>
  </si>
  <si>
    <t>Shares  bought</t>
  </si>
  <si>
    <t>Shares owned</t>
  </si>
  <si>
    <t>shares cost</t>
  </si>
  <si>
    <t>Avarges per Shares</t>
  </si>
  <si>
    <t>Total value</t>
  </si>
  <si>
    <t>Porofit/Loss</t>
  </si>
  <si>
    <t>Pofit%</t>
  </si>
  <si>
    <t>Column1</t>
  </si>
  <si>
    <t>270586</t>
  </si>
  <si>
    <t>28/8/2021</t>
  </si>
  <si>
    <t>29/9/2021</t>
  </si>
  <si>
    <t>27/10/2021</t>
  </si>
  <si>
    <t>28/11/2021</t>
  </si>
  <si>
    <t>26/12/2021</t>
  </si>
  <si>
    <t>27/1/2022</t>
  </si>
  <si>
    <t>27/2/2022</t>
  </si>
  <si>
    <t>dolar</t>
  </si>
  <si>
    <t>کل سرمایه گذاری (ریال)</t>
  </si>
  <si>
    <t xml:space="preserve">1400/01/10 </t>
  </si>
  <si>
    <t>1400/02/05</t>
  </si>
  <si>
    <t>1400/03/22</t>
  </si>
  <si>
    <t>افزایش سرمایه به مقدار 50 درصد</t>
  </si>
  <si>
    <t>1400/05/05</t>
  </si>
  <si>
    <t>مقدار سهام جایزه 184عدد</t>
  </si>
  <si>
    <t>1400/06/06</t>
  </si>
  <si>
    <t>1400/07/06</t>
  </si>
  <si>
    <t>1400/08/05</t>
  </si>
  <si>
    <t>1400/09/06</t>
  </si>
  <si>
    <t>1400/10/05</t>
  </si>
  <si>
    <t>1400/11/05</t>
  </si>
  <si>
    <t>1400/12/07</t>
  </si>
  <si>
    <t>تعداد سهام بعد از افزایش سرمایه</t>
  </si>
  <si>
    <t>فروردین</t>
  </si>
  <si>
    <t>1400/03/05</t>
  </si>
  <si>
    <t>1400/04/05</t>
  </si>
  <si>
    <t>1400/11/06</t>
  </si>
  <si>
    <t xml:space="preserve">دی </t>
  </si>
  <si>
    <t>1400/09/16</t>
  </si>
  <si>
    <t>افزایش سرمایه</t>
  </si>
  <si>
    <t>افزایش سرمایه 100 درصد در آذر 1400</t>
  </si>
  <si>
    <t>مرداد خرید انجام نشده است</t>
  </si>
  <si>
    <t>1400/08/15</t>
  </si>
  <si>
    <t>خرید همزمان</t>
  </si>
  <si>
    <t>کل سهام</t>
  </si>
  <si>
    <t>سهام صندوق</t>
  </si>
  <si>
    <t>انحراف از معیار</t>
  </si>
  <si>
    <t>1400/12/11</t>
  </si>
  <si>
    <t>سهام جایزه</t>
  </si>
  <si>
    <t>جایزه صندوق</t>
  </si>
  <si>
    <t>ریال</t>
  </si>
  <si>
    <t>مرچع: آخرین قیمت خرید</t>
  </si>
  <si>
    <t>نت صندوق</t>
  </si>
  <si>
    <t>ارزش صندوق</t>
  </si>
  <si>
    <t>ارزش سهام خریداری</t>
  </si>
  <si>
    <t>باقی مانده صندوق</t>
  </si>
  <si>
    <t>مقدار کل سهم خریداری</t>
  </si>
  <si>
    <t>کل واریزی صندوق</t>
  </si>
  <si>
    <t xml:space="preserve">ماه </t>
  </si>
  <si>
    <t>سال</t>
  </si>
  <si>
    <t xml:space="preserve">تیر </t>
  </si>
  <si>
    <t>کچاد</t>
  </si>
  <si>
    <t>طلا (PAXG)</t>
  </si>
  <si>
    <t>دلار (USDT)</t>
  </si>
  <si>
    <t>اتریوم (ETH)</t>
  </si>
  <si>
    <t>بیت کوین (BTC)</t>
  </si>
  <si>
    <t>ماه/سهم</t>
  </si>
  <si>
    <t>مجموع ارزش (ریال)</t>
  </si>
  <si>
    <t>Column2</t>
  </si>
  <si>
    <t>ایندکس میانگین قیمت سهام خریداری شده</t>
  </si>
  <si>
    <t>ایندکس میانگین قیمت ارزهای خریداری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</si>
</sst>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6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B Nazanin"/>
      <charset val="178"/>
    </font>
    <font>
      <sz val="22"/>
      <color theme="1"/>
      <name val="Calibri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9" fillId="6" borderId="0" xfId="0" applyFont="1" applyFill="1"/>
    <xf numFmtId="0" fontId="10" fillId="0" borderId="0" xfId="0" applyFont="1"/>
    <xf numFmtId="0" fontId="11" fillId="9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2" fontId="0" fillId="0" borderId="0" xfId="0" applyNumberFormat="1"/>
    <xf numFmtId="0" fontId="12" fillId="0" borderId="0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14" fontId="0" fillId="0" borderId="0" xfId="0" applyNumberFormat="1"/>
    <xf numFmtId="22" fontId="13" fillId="0" borderId="5" xfId="0" applyNumberFormat="1" applyFont="1" applyBorder="1" applyAlignment="1">
      <alignment horizontal="center"/>
    </xf>
    <xf numFmtId="0" fontId="12" fillId="10" borderId="0" xfId="0" applyNumberFormat="1" applyFont="1" applyFill="1" applyAlignment="1">
      <alignment horizontal="center"/>
    </xf>
    <xf numFmtId="0" fontId="12" fillId="10" borderId="0" xfId="0" applyNumberFormat="1" applyFont="1" applyFill="1" applyBorder="1" applyAlignment="1">
      <alignment horizontal="center"/>
    </xf>
    <xf numFmtId="0" fontId="12" fillId="11" borderId="0" xfId="0" applyNumberFormat="1" applyFont="1" applyFill="1" applyBorder="1" applyAlignment="1">
      <alignment horizontal="center"/>
    </xf>
    <xf numFmtId="0" fontId="12" fillId="11" borderId="0" xfId="0" applyNumberFormat="1" applyFont="1" applyFill="1" applyAlignment="1">
      <alignment horizontal="center"/>
    </xf>
    <xf numFmtId="4" fontId="12" fillId="0" borderId="0" xfId="0" applyNumberFormat="1" applyFont="1" applyBorder="1" applyAlignment="1">
      <alignment horizontal="center"/>
    </xf>
    <xf numFmtId="2" fontId="0" fillId="0" borderId="0" xfId="0" applyNumberFormat="1"/>
    <xf numFmtId="3" fontId="12" fillId="0" borderId="0" xfId="0" applyNumberFormat="1" applyFont="1" applyAlignment="1">
      <alignment horizontal="center"/>
    </xf>
    <xf numFmtId="3" fontId="12" fillId="1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6" borderId="0" xfId="0" applyNumberFormat="1" applyFont="1" applyFill="1" applyBorder="1" applyAlignment="1">
      <alignment horizontal="center"/>
    </xf>
    <xf numFmtId="0" fontId="0" fillId="6" borderId="0" xfId="0" applyFill="1"/>
    <xf numFmtId="0" fontId="12" fillId="12" borderId="0" xfId="0" applyNumberFormat="1" applyFont="1" applyFill="1" applyAlignment="1">
      <alignment horizontal="center"/>
    </xf>
    <xf numFmtId="3" fontId="12" fillId="6" borderId="0" xfId="0" applyNumberFormat="1" applyFont="1" applyFill="1" applyBorder="1" applyAlignment="1">
      <alignment horizontal="center"/>
    </xf>
    <xf numFmtId="0" fontId="0" fillId="0" borderId="0" xfId="0" applyAlignment="1"/>
    <xf numFmtId="0" fontId="12" fillId="6" borderId="0" xfId="0" applyNumberFormat="1" applyFont="1" applyFill="1" applyAlignment="1">
      <alignment horizontal="center"/>
    </xf>
    <xf numFmtId="3" fontId="12" fillId="6" borderId="0" xfId="0" applyNumberFormat="1" applyFont="1" applyFill="1" applyAlignment="1">
      <alignment horizontal="center"/>
    </xf>
    <xf numFmtId="3" fontId="12" fillId="11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0" fontId="7" fillId="6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1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6" borderId="8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12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5" fillId="14" borderId="6" xfId="0" applyFont="1" applyFill="1" applyBorder="1" applyAlignment="1">
      <alignment vertical="center" readingOrder="1"/>
    </xf>
    <xf numFmtId="0" fontId="15" fillId="14" borderId="0" xfId="0" applyFont="1" applyFill="1" applyAlignment="1">
      <alignment vertical="center" readingOrder="1"/>
    </xf>
  </cellXfs>
  <cellStyles count="1">
    <cellStyle name="Normal" xfId="0" builtinId="0"/>
  </cellStyles>
  <dxfs count="14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خرید'!$G$3</c:f>
              <c:strCache>
                <c:ptCount val="1"/>
                <c:pt idx="0">
                  <c:v>ایندکس میانگین قیمت ارزهای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خرید'!$G$4:$G$15</c:f>
              <c:numCache>
                <c:formatCode>General</c:formatCode>
                <c:ptCount val="12"/>
                <c:pt idx="0">
                  <c:v>1071878.2297015728</c:v>
                </c:pt>
                <c:pt idx="1">
                  <c:v>1022595.9739823275</c:v>
                </c:pt>
                <c:pt idx="2">
                  <c:v>1004767.5531982542</c:v>
                </c:pt>
                <c:pt idx="3">
                  <c:v>1001771.6183669472</c:v>
                </c:pt>
                <c:pt idx="4">
                  <c:v>1002889.0264768675</c:v>
                </c:pt>
                <c:pt idx="5">
                  <c:v>971445.96899132757</c:v>
                </c:pt>
                <c:pt idx="6">
                  <c:v>955296.15366154641</c:v>
                </c:pt>
                <c:pt idx="7">
                  <c:v>937993.40908399271</c:v>
                </c:pt>
                <c:pt idx="8">
                  <c:v>933425.50646999932</c:v>
                </c:pt>
                <c:pt idx="9">
                  <c:v>930557.50096534495</c:v>
                </c:pt>
                <c:pt idx="10">
                  <c:v>946933.51930271601</c:v>
                </c:pt>
                <c:pt idx="11">
                  <c:v>954940.65949566406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923760"/>
        <c:axId val="-1297923216"/>
      </c:scatterChart>
      <c:valAx>
        <c:axId val="-12979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923216"/>
        <c:crosses val="autoZero"/>
        <c:crossBetween val="midCat"/>
      </c:valAx>
      <c:valAx>
        <c:axId val="-12979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9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مقدار سرمایه گذاری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'[1]نت صندوق'!$K$10:$K$21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'[1]نت صندوق'!$J$10:$J$21</c:f>
              <c:numCache>
                <c:formatCode>General</c:formatCode>
                <c:ptCount val="12"/>
                <c:pt idx="0">
                  <c:v>154500108</c:v>
                </c:pt>
                <c:pt idx="1">
                  <c:v>267500108</c:v>
                </c:pt>
                <c:pt idx="2">
                  <c:v>368500108</c:v>
                </c:pt>
                <c:pt idx="3">
                  <c:v>469500108</c:v>
                </c:pt>
                <c:pt idx="4">
                  <c:v>566000000</c:v>
                </c:pt>
                <c:pt idx="5">
                  <c:v>678000000</c:v>
                </c:pt>
                <c:pt idx="6">
                  <c:v>782500000</c:v>
                </c:pt>
                <c:pt idx="7">
                  <c:v>895000000</c:v>
                </c:pt>
                <c:pt idx="8">
                  <c:v>1000500000</c:v>
                </c:pt>
                <c:pt idx="9">
                  <c:v>1106500000</c:v>
                </c:pt>
                <c:pt idx="10">
                  <c:v>1212250000</c:v>
                </c:pt>
                <c:pt idx="11">
                  <c:v>1316000000</c:v>
                </c:pt>
              </c:numCache>
            </c:numRef>
          </c:val>
        </c:ser>
        <c:ser>
          <c:idx val="1"/>
          <c:order val="1"/>
          <c:tx>
            <c:v>ارزش صندوق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'[1]نت صندوق'!$K$10:$K$21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'[1]نت صندوق'!$F$10:$F$22</c:f>
              <c:numCache>
                <c:formatCode>General</c:formatCode>
                <c:ptCount val="13"/>
                <c:pt idx="0">
                  <c:v>154280070.1660811</c:v>
                </c:pt>
                <c:pt idx="1">
                  <c:v>262341107.54671276</c:v>
                </c:pt>
                <c:pt idx="2">
                  <c:v>355199268.00413328</c:v>
                </c:pt>
                <c:pt idx="3">
                  <c:v>450877427.05899644</c:v>
                </c:pt>
                <c:pt idx="4">
                  <c:v>584944605.20980704</c:v>
                </c:pt>
                <c:pt idx="5">
                  <c:v>826727349.10172904</c:v>
                </c:pt>
                <c:pt idx="6">
                  <c:v>860714922.3441937</c:v>
                </c:pt>
                <c:pt idx="7">
                  <c:v>1056689738.4844873</c:v>
                </c:pt>
                <c:pt idx="8">
                  <c:v>1159276505.0302582</c:v>
                </c:pt>
                <c:pt idx="9">
                  <c:v>1258993627.8149152</c:v>
                </c:pt>
                <c:pt idx="10">
                  <c:v>1135655750.4865601</c:v>
                </c:pt>
                <c:pt idx="11">
                  <c:v>1296980354.6496418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8975568"/>
        <c:axId val="-1468971760"/>
      </c:barChart>
      <c:catAx>
        <c:axId val="-14689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 i="0" baseline="0"/>
                  <a:t>سال 1400</a:t>
                </a:r>
                <a:endParaRPr lang="en-US" sz="14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-1468971760"/>
        <c:crossesAt val="0"/>
        <c:auto val="1"/>
        <c:lblAlgn val="ctr"/>
        <c:lblOffset val="100"/>
        <c:noMultiLvlLbl val="0"/>
      </c:catAx>
      <c:valAx>
        <c:axId val="-14689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600" b="1" i="0" baseline="0"/>
                  <a:t>میلیون ریال</a:t>
                </a:r>
                <a:endParaRPr lang="en-US" sz="16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97556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812755443692705"/>
          <c:y val="0.17429065897408139"/>
          <c:w val="0.25242963031380611"/>
          <c:h val="0.14267017849907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خرید'!$F$3</c:f>
              <c:strCache>
                <c:ptCount val="1"/>
                <c:pt idx="0">
                  <c:v>ایندکس میانگین قیمت سهام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خرید'!$F$4:$F$15</c:f>
              <c:numCache>
                <c:formatCode>General</c:formatCode>
                <c:ptCount val="12"/>
                <c:pt idx="0">
                  <c:v>3850.589542350423</c:v>
                </c:pt>
                <c:pt idx="1">
                  <c:v>3726.8960647150484</c:v>
                </c:pt>
                <c:pt idx="2">
                  <c:v>3589.1218695707444</c:v>
                </c:pt>
                <c:pt idx="3">
                  <c:v>3620.2981272198904</c:v>
                </c:pt>
                <c:pt idx="4">
                  <c:v>3785.4216847647253</c:v>
                </c:pt>
                <c:pt idx="5">
                  <c:v>3930.3322292813446</c:v>
                </c:pt>
                <c:pt idx="6">
                  <c:v>3970.6793860278294</c:v>
                </c:pt>
                <c:pt idx="7">
                  <c:v>3996.8336612656071</c:v>
                </c:pt>
                <c:pt idx="8">
                  <c:v>3880.1943288074804</c:v>
                </c:pt>
                <c:pt idx="9">
                  <c:v>3869.7228330129383</c:v>
                </c:pt>
                <c:pt idx="10">
                  <c:v>3848.580914593228</c:v>
                </c:pt>
                <c:pt idx="11">
                  <c:v>3838.0063141372461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983184"/>
        <c:axId val="-1667139696"/>
      </c:scatterChart>
      <c:valAx>
        <c:axId val="-14689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139696"/>
        <c:crosses val="autoZero"/>
        <c:crossBetween val="midCat"/>
      </c:valAx>
      <c:valAx>
        <c:axId val="-16671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9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0/DCA-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"/>
      <sheetName val="ETH"/>
      <sheetName val="USDT"/>
      <sheetName val="AUD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F10">
            <v>154280070.1660811</v>
          </cell>
          <cell r="J10">
            <v>154500108</v>
          </cell>
          <cell r="K10" t="str">
            <v>فروردین</v>
          </cell>
        </row>
        <row r="11">
          <cell r="F11">
            <v>262341107.54671276</v>
          </cell>
          <cell r="J11">
            <v>267500108</v>
          </cell>
          <cell r="K11" t="str">
            <v>اردیبهشت</v>
          </cell>
        </row>
        <row r="12">
          <cell r="F12">
            <v>355199268.00413328</v>
          </cell>
          <cell r="J12">
            <v>368500108</v>
          </cell>
          <cell r="K12" t="str">
            <v>خرداد</v>
          </cell>
        </row>
        <row r="13">
          <cell r="F13">
            <v>450877427.05899644</v>
          </cell>
          <cell r="J13">
            <v>469500108</v>
          </cell>
          <cell r="K13" t="str">
            <v xml:space="preserve">تیر </v>
          </cell>
        </row>
        <row r="14">
          <cell r="F14">
            <v>584944605.20980704</v>
          </cell>
          <cell r="J14">
            <v>566000000</v>
          </cell>
          <cell r="K14" t="str">
            <v>مرداد</v>
          </cell>
        </row>
        <row r="15">
          <cell r="F15">
            <v>826727349.10172904</v>
          </cell>
          <cell r="J15">
            <v>678000000</v>
          </cell>
          <cell r="K15" t="str">
            <v>شهریور</v>
          </cell>
        </row>
        <row r="16">
          <cell r="F16">
            <v>860714922.3441937</v>
          </cell>
          <cell r="J16">
            <v>782500000</v>
          </cell>
          <cell r="K16" t="str">
            <v>مهر</v>
          </cell>
        </row>
        <row r="17">
          <cell r="F17">
            <v>1056689738.4844873</v>
          </cell>
          <cell r="J17">
            <v>895000000</v>
          </cell>
          <cell r="K17" t="str">
            <v>آبان</v>
          </cell>
        </row>
        <row r="18">
          <cell r="F18">
            <v>1159276505.0302582</v>
          </cell>
          <cell r="J18">
            <v>1000500000</v>
          </cell>
          <cell r="K18" t="str">
            <v>آذر</v>
          </cell>
        </row>
        <row r="19">
          <cell r="F19">
            <v>1258993627.8149152</v>
          </cell>
          <cell r="J19">
            <v>1106500000</v>
          </cell>
          <cell r="K19" t="str">
            <v xml:space="preserve">دی </v>
          </cell>
        </row>
        <row r="20">
          <cell r="F20">
            <v>1135655750.4865601</v>
          </cell>
          <cell r="J20">
            <v>1212250000</v>
          </cell>
          <cell r="K20" t="str">
            <v>بهمن</v>
          </cell>
        </row>
        <row r="21">
          <cell r="F21">
            <v>1296980354.6496418</v>
          </cell>
          <cell r="J21">
            <v>1316000000</v>
          </cell>
          <cell r="K21" t="str">
            <v>اسفند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id="1" name="Table1" displayName="Table1" ref="C5:M19" totalsRowShown="0" headerRowDxfId="143" dataDxfId="141" headerRowBorderDxfId="142" tableBorderDxfId="140">
  <autoFilter ref="C5:M19"/>
  <tableColumns count="11">
    <tableColumn id="1" name="priod" dataDxfId="139"/>
    <tableColumn id="2" name="Shares price" dataDxfId="138"/>
    <tableColumn id="3" name="Shares invesment" dataDxfId="137"/>
    <tableColumn id="4" name="Shares  bought" dataDxfId="136">
      <calculatedColumnFormula>E6/D6</calculatedColumnFormula>
    </tableColumn>
    <tableColumn id="5" name="Shares owned" dataDxfId="135"/>
    <tableColumn id="6" name="shares cost" dataDxfId="134"/>
    <tableColumn id="7" name="Avarges per Shares" dataDxfId="133">
      <calculatedColumnFormula>H6/G6</calculatedColumnFormula>
    </tableColumn>
    <tableColumn id="8" name="Total value" dataDxfId="132">
      <calculatedColumnFormula>G6*D6</calculatedColumnFormula>
    </tableColumn>
    <tableColumn id="9" name="Porofit/Loss" dataDxfId="131">
      <calculatedColumnFormula>J6-H6</calculatedColumnFormula>
    </tableColumn>
    <tableColumn id="10" name="Pofit%" dataDxfId="130">
      <calculatedColumnFormula>100*(J6-H6)/H6</calculatedColumnFormula>
    </tableColumn>
    <tableColumn id="11" name="Column1" dataDxfId="129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10" name="Table5" displayName="Table5" ref="D9:J21" totalsRowShown="0" headerRowDxfId="8" dataDxfId="6" headerRowBorderDxfId="7">
  <autoFilter ref="D9:J21"/>
  <tableColumns count="7">
    <tableColumn id="1" name="درصد سود/ضرر">
      <calculatedColumnFormula>100*E10/J10</calculatedColumnFormula>
    </tableColumn>
    <tableColumn id="2" name="نت صندوق" dataDxfId="5">
      <calculatedColumnFormula>F10-J10</calculatedColumnFormula>
    </tableColumn>
    <tableColumn id="3" name="ارزش صندوق" dataDxfId="4">
      <calculatedColumnFormula>G10+H10</calculatedColumnFormula>
    </tableColumn>
    <tableColumn id="4" name="ارزش سهام خریداری" dataDxfId="3"/>
    <tableColumn id="5" name="باقی مانده صندوق" dataDxfId="2"/>
    <tableColumn id="6" name="مقدار کل سهم خریداری" dataDxfId="1"/>
    <tableColumn id="7" name="کل واریزی صندوق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18" displayName="Table118" ref="C5:M19" totalsRowShown="0" headerRowDxfId="128" dataDxfId="126" headerRowBorderDxfId="127" tableBorderDxfId="125">
  <autoFilter ref="C5:M19"/>
  <tableColumns count="11">
    <tableColumn id="1" name="priod" dataDxfId="124"/>
    <tableColumn id="2" name="Shares price" dataDxfId="123"/>
    <tableColumn id="3" name="Shares invesment" dataDxfId="122"/>
    <tableColumn id="4" name="Shares  bought" dataDxfId="121">
      <calculatedColumnFormula>E6/D6</calculatedColumnFormula>
    </tableColumn>
    <tableColumn id="5" name="Shares owned" dataDxfId="120"/>
    <tableColumn id="6" name="shares cost" dataDxfId="119"/>
    <tableColumn id="7" name="Avarges per Shares" dataDxfId="118">
      <calculatedColumnFormula>H6/G6</calculatedColumnFormula>
    </tableColumn>
    <tableColumn id="8" name="Total value" dataDxfId="117">
      <calculatedColumnFormula>G6*D6</calculatedColumnFormula>
    </tableColumn>
    <tableColumn id="9" name="Porofit/Loss" dataDxfId="116">
      <calculatedColumnFormula>J6-H6</calculatedColumnFormula>
    </tableColumn>
    <tableColumn id="10" name="Pofit%" dataDxfId="115">
      <calculatedColumnFormula>100*(J6-H6)/H6</calculatedColumnFormula>
    </tableColumn>
    <tableColumn id="11" name="dolar" dataDxfId="114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Table117" displayName="Table117" ref="C5:L19" totalsRowShown="0" headerRowDxfId="113" dataDxfId="111" headerRowBorderDxfId="112" tableBorderDxfId="110">
  <autoFilter ref="C5:L19"/>
  <tableColumns count="10">
    <tableColumn id="1" name="priod" dataDxfId="109"/>
    <tableColumn id="2" name="Shares price" dataDxfId="108"/>
    <tableColumn id="3" name="Shares invesment" dataDxfId="107"/>
    <tableColumn id="4" name="Shares  bought" dataDxfId="106">
      <calculatedColumnFormula>E6/D6</calculatedColumnFormula>
    </tableColumn>
    <tableColumn id="5" name="Shares owned" dataDxfId="105"/>
    <tableColumn id="6" name="shares cost" dataDxfId="104"/>
    <tableColumn id="7" name="Avarges per Shares" dataDxfId="103">
      <calculatedColumnFormula>H6/G6</calculatedColumnFormula>
    </tableColumn>
    <tableColumn id="8" name="Total value" dataDxfId="102">
      <calculatedColumnFormula>G6*D6</calculatedColumnFormula>
    </tableColumn>
    <tableColumn id="9" name="Porofit/Loss" dataDxfId="101">
      <calculatedColumnFormula>J6-H6</calculatedColumnFormula>
    </tableColumn>
    <tableColumn id="10" name="Pofit%" dataDxfId="100">
      <calculatedColumnFormula>100*(J6-H6)/H6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Table116" displayName="Table116" ref="C5:M19" totalsRowShown="0" headerRowDxfId="99" dataDxfId="97" headerRowBorderDxfId="98" tableBorderDxfId="96">
  <autoFilter ref="C5:M19"/>
  <tableColumns count="11">
    <tableColumn id="1" name="priod" dataDxfId="95"/>
    <tableColumn id="2" name="Shares price" dataDxfId="94"/>
    <tableColumn id="3" name="Shares invesment" dataDxfId="93"/>
    <tableColumn id="4" name="Shares  bought" dataDxfId="92">
      <calculatedColumnFormula>E6/D6</calculatedColumnFormula>
    </tableColumn>
    <tableColumn id="5" name="Shares owned" dataDxfId="91"/>
    <tableColumn id="6" name="shares cost" dataDxfId="90"/>
    <tableColumn id="7" name="Avarges per Shares" dataDxfId="89">
      <calculatedColumnFormula>H6/G6</calculatedColumnFormula>
    </tableColumn>
    <tableColumn id="8" name="Total value" dataDxfId="88">
      <calculatedColumnFormula>G6*D6</calculatedColumnFormula>
    </tableColumn>
    <tableColumn id="9" name="Porofit/Loss" dataDxfId="87">
      <calculatedColumnFormula>J6-H6</calculatedColumnFormula>
    </tableColumn>
    <tableColumn id="10" name="Pofit%" dataDxfId="86">
      <calculatedColumnFormula>100*(J6-H6)/H6</calculatedColumnFormula>
    </tableColumn>
    <tableColumn id="11" name="dolar" dataDxfId="85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5" name="Table115" displayName="Table115" ref="C5:M20" totalsRowShown="0" headerRowDxfId="84" dataDxfId="82" headerRowBorderDxfId="83" tableBorderDxfId="81">
  <autoFilter ref="C5:M20"/>
  <tableColumns count="11">
    <tableColumn id="1" name="priod" dataDxfId="80"/>
    <tableColumn id="2" name="Shares price" dataDxfId="79"/>
    <tableColumn id="3" name="Shares invesment" dataDxfId="78"/>
    <tableColumn id="4" name="Shares  bought" dataDxfId="77">
      <calculatedColumnFormula>E6/D6</calculatedColumnFormula>
    </tableColumn>
    <tableColumn id="11" name="Column1" dataDxfId="76">
      <calculatedColumnFormula>INT(Table115[[#This Row],[Shares  bought]]*0.5)</calculatedColumnFormula>
    </tableColumn>
    <tableColumn id="5" name="Shares owned" dataDxfId="75"/>
    <tableColumn id="6" name="shares cost" dataDxfId="74"/>
    <tableColumn id="7" name="Avarges per Shares" dataDxfId="73">
      <calculatedColumnFormula>I6/H6</calculatedColumnFormula>
    </tableColumn>
    <tableColumn id="8" name="Total value" dataDxfId="72">
      <calculatedColumnFormula>H6*D6</calculatedColumnFormula>
    </tableColumn>
    <tableColumn id="9" name="Porofit/Loss" dataDxfId="71">
      <calculatedColumnFormula>K6-I6</calculatedColumnFormula>
    </tableColumn>
    <tableColumn id="10" name="Pofit%" dataDxfId="70">
      <calculatedColumnFormula>100*(K6-I6)/I6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6" name="Table114" displayName="Table114" ref="C5:M19" totalsRowShown="0" headerRowDxfId="69" dataDxfId="67" headerRowBorderDxfId="68" tableBorderDxfId="66">
  <autoFilter ref="C5:M19"/>
  <tableColumns count="11">
    <tableColumn id="1" name="priod" dataDxfId="65"/>
    <tableColumn id="2" name="Shares price" dataDxfId="64"/>
    <tableColumn id="3" name="Shares invesment" dataDxfId="63"/>
    <tableColumn id="4" name="Shares  bought" dataDxfId="62">
      <calculatedColumnFormula>E6/D6</calculatedColumnFormula>
    </tableColumn>
    <tableColumn id="11" name="Column1" dataDxfId="61">
      <calculatedColumnFormula>INT(Table114[[#This Row],[Shares  bought]]*0.5)</calculatedColumnFormula>
    </tableColumn>
    <tableColumn id="5" name="Shares owned" dataDxfId="60"/>
    <tableColumn id="6" name="shares cost" dataDxfId="59"/>
    <tableColumn id="7" name="Avarges per Shares" dataDxfId="58">
      <calculatedColumnFormula>I6/H6</calculatedColumnFormula>
    </tableColumn>
    <tableColumn id="8" name="Total value" dataDxfId="57">
      <calculatedColumnFormula>H6*D6</calculatedColumnFormula>
    </tableColumn>
    <tableColumn id="9" name="Porofit/Loss" dataDxfId="56">
      <calculatedColumnFormula>K6-I6</calculatedColumnFormula>
    </tableColumn>
    <tableColumn id="10" name="Pofit%" dataDxfId="55">
      <calculatedColumnFormula>100*(K6-I6)/I6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7" name="Table113" displayName="Table113" ref="C5:M20" totalsRowShown="0" headerRowDxfId="54" dataDxfId="52" headerRowBorderDxfId="53" tableBorderDxfId="51">
  <autoFilter ref="C5:M20"/>
  <tableColumns count="11">
    <tableColumn id="1" name="priod" dataDxfId="50"/>
    <tableColumn id="2" name="Shares price" dataDxfId="49"/>
    <tableColumn id="3" name="Shares invesment" dataDxfId="48"/>
    <tableColumn id="4" name="Shares  bought" dataDxfId="47">
      <calculatedColumnFormula>E6/D6</calculatedColumnFormula>
    </tableColumn>
    <tableColumn id="11" name="Column1" dataDxfId="46">
      <calculatedColumnFormula>INT(Table113[[#This Row],[Shares  bought]]*1)</calculatedColumnFormula>
    </tableColumn>
    <tableColumn id="5" name="Shares owned" dataDxfId="45"/>
    <tableColumn id="6" name="shares cost" dataDxfId="44"/>
    <tableColumn id="7" name="Avarges per Shares" dataDxfId="43">
      <calculatedColumnFormula>I6/H6</calculatedColumnFormula>
    </tableColumn>
    <tableColumn id="8" name="Total value" dataDxfId="42">
      <calculatedColumnFormula>H6*D6</calculatedColumnFormula>
    </tableColumn>
    <tableColumn id="9" name="Porofit/Loss" dataDxfId="41">
      <calculatedColumnFormula>K6-I6</calculatedColumnFormula>
    </tableColumn>
    <tableColumn id="10" name="Pofit%" dataDxfId="40">
      <calculatedColumnFormula>100*(K6-I6)/I6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8" name="Table112" displayName="Table112" ref="C5:M19" totalsRowShown="0" headerRowDxfId="39" dataDxfId="37" headerRowBorderDxfId="38" tableBorderDxfId="36">
  <autoFilter ref="C5:M19"/>
  <tableColumns count="11">
    <tableColumn id="1" name="priod" dataDxfId="35"/>
    <tableColumn id="2" name="Shares price" dataDxfId="34"/>
    <tableColumn id="3" name="Shares invesment" dataDxfId="33"/>
    <tableColumn id="4" name="Shares  bought" dataDxfId="32">
      <calculatedColumnFormula>E6/D6</calculatedColumnFormula>
    </tableColumn>
    <tableColumn id="11" name="Column1" dataDxfId="31">
      <calculatedColumnFormula>INT(Table112[[#This Row],[Shares  bought]]*10.52)</calculatedColumnFormula>
    </tableColumn>
    <tableColumn id="5" name="Shares owned" dataDxfId="30"/>
    <tableColumn id="6" name="shares cost" dataDxfId="29"/>
    <tableColumn id="7" name="Avarges per Shares" dataDxfId="28">
      <calculatedColumnFormula>I6/H6</calculatedColumnFormula>
    </tableColumn>
    <tableColumn id="8" name="Total value" dataDxfId="27">
      <calculatedColumnFormula>H6*D6</calculatedColumnFormula>
    </tableColumn>
    <tableColumn id="9" name="Porofit/Loss" dataDxfId="26">
      <calculatedColumnFormula>K6-I6</calculatedColumnFormula>
    </tableColumn>
    <tableColumn id="10" name="Pofit%" dataDxfId="25">
      <calculatedColumnFormula>100*(K6-I6)/I6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9" name="Table111" displayName="Table111" ref="C5:N19" totalsRowShown="0" headerRowDxfId="24" dataDxfId="22" headerRowBorderDxfId="23" tableBorderDxfId="21">
  <autoFilter ref="C5:N19"/>
  <tableColumns count="12">
    <tableColumn id="1" name="priod" dataDxfId="20"/>
    <tableColumn id="2" name="Shares price" dataDxfId="19"/>
    <tableColumn id="3" name="Shares invesment" dataDxfId="18"/>
    <tableColumn id="4" name="Shares  bought" dataDxfId="17">
      <calculatedColumnFormula>E6/D6</calculatedColumnFormula>
    </tableColumn>
    <tableColumn id="12" name="Column2" dataDxfId="16">
      <calculatedColumnFormula>INT(Table111[[#This Row],[Shares  bought]]*1.14)</calculatedColumnFormula>
    </tableColumn>
    <tableColumn id="5" name="Shares owned" dataDxfId="15"/>
    <tableColumn id="6" name="shares cost" dataDxfId="14"/>
    <tableColumn id="7" name="Avarges per Shares" dataDxfId="13">
      <calculatedColumnFormula>I6/H6</calculatedColumnFormula>
    </tableColumn>
    <tableColumn id="8" name="Total value" dataDxfId="12">
      <calculatedColumnFormula>H6*D6</calculatedColumnFormula>
    </tableColumn>
    <tableColumn id="9" name="Porofit/Loss" dataDxfId="11">
      <calculatedColumnFormula>K6-I6</calculatedColumnFormula>
    </tableColumn>
    <tableColumn id="10" name="Pofit%" dataDxfId="10">
      <calculatedColumnFormula>100*(K6-I6)/I6</calculatedColumnFormula>
    </tableColumn>
    <tableColumn id="11" name="Column1" dataDxfId="9">
      <calculatedColumnFormula>_xlfn.STDEV.S(D1:D6)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A103" workbookViewId="0">
      <selection activeCell="G3" sqref="G3"/>
    </sheetView>
  </sheetViews>
  <sheetFormatPr defaultRowHeight="14.4" x14ac:dyDescent="0.3"/>
  <cols>
    <col min="2" max="2" width="12.77734375" bestFit="1" customWidth="1"/>
    <col min="13" max="13" width="10.33203125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3600</v>
      </c>
      <c r="C4" s="2">
        <v>300</v>
      </c>
      <c r="D4" s="2">
        <v>300</v>
      </c>
      <c r="E4" s="2">
        <v>300</v>
      </c>
      <c r="F4" s="2">
        <v>300</v>
      </c>
      <c r="G4" s="2">
        <v>300</v>
      </c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2150</v>
      </c>
      <c r="C5" s="2">
        <v>50</v>
      </c>
      <c r="D5" s="2">
        <v>50</v>
      </c>
      <c r="E5" s="2">
        <v>50</v>
      </c>
      <c r="F5" s="2">
        <v>50</v>
      </c>
      <c r="G5" s="2">
        <v>150</v>
      </c>
      <c r="H5" s="2">
        <v>250</v>
      </c>
      <c r="I5" s="2">
        <v>250</v>
      </c>
      <c r="J5" s="2">
        <v>200</v>
      </c>
      <c r="K5" s="2">
        <v>300</v>
      </c>
      <c r="L5" s="2">
        <v>300</v>
      </c>
      <c r="M5" s="2">
        <v>300</v>
      </c>
      <c r="N5" s="2">
        <v>200</v>
      </c>
      <c r="O5" s="5">
        <v>50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800</v>
      </c>
      <c r="C6" s="2">
        <v>50</v>
      </c>
      <c r="D6" s="2">
        <v>50</v>
      </c>
      <c r="E6" s="2">
        <v>50</v>
      </c>
      <c r="F6" s="2">
        <v>50</v>
      </c>
      <c r="G6" s="2">
        <v>50</v>
      </c>
      <c r="H6" s="2">
        <v>50</v>
      </c>
      <c r="I6" s="2">
        <v>50</v>
      </c>
      <c r="J6" s="2">
        <v>50</v>
      </c>
      <c r="K6" s="2">
        <v>100</v>
      </c>
      <c r="L6" s="2">
        <v>100</v>
      </c>
      <c r="M6" s="2">
        <v>100</v>
      </c>
      <c r="N6" s="2">
        <v>100</v>
      </c>
      <c r="O6" s="5">
        <v>50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800</v>
      </c>
      <c r="C7" s="2">
        <v>50</v>
      </c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100</v>
      </c>
      <c r="L7" s="2">
        <v>100</v>
      </c>
      <c r="M7" s="2">
        <v>100</v>
      </c>
      <c r="N7" s="2">
        <v>100</v>
      </c>
      <c r="O7" s="5">
        <v>50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3200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200</v>
      </c>
      <c r="L8" s="2">
        <v>100</v>
      </c>
      <c r="M8" s="2">
        <v>1900</v>
      </c>
      <c r="N8" s="2">
        <v>200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2400</v>
      </c>
      <c r="C9" s="2">
        <v>200</v>
      </c>
      <c r="D9" s="2">
        <v>200</v>
      </c>
      <c r="E9" s="2">
        <v>200</v>
      </c>
      <c r="F9" s="2">
        <v>200</v>
      </c>
      <c r="G9" s="2">
        <v>200</v>
      </c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2100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1000</v>
      </c>
      <c r="N10" s="2"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600</v>
      </c>
      <c r="C11" s="2">
        <v>50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1100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  <c r="O12" s="5">
        <v>100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600</v>
      </c>
      <c r="C13" s="2">
        <v>50</v>
      </c>
      <c r="D13" s="2">
        <v>50</v>
      </c>
      <c r="E13" s="2">
        <v>50</v>
      </c>
      <c r="F13" s="2">
        <v>50</v>
      </c>
      <c r="G13" s="2">
        <v>50</v>
      </c>
      <c r="H13" s="2">
        <v>50</v>
      </c>
      <c r="I13" s="2">
        <v>50</v>
      </c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600</v>
      </c>
      <c r="C14" s="2">
        <v>50</v>
      </c>
      <c r="D14" s="2">
        <v>50</v>
      </c>
      <c r="E14" s="2">
        <v>50</v>
      </c>
      <c r="F14" s="2">
        <v>50</v>
      </c>
      <c r="G14" s="2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610</v>
      </c>
      <c r="C15" s="2">
        <v>50</v>
      </c>
      <c r="D15" s="2">
        <v>50</v>
      </c>
      <c r="E15" s="2">
        <v>50</v>
      </c>
      <c r="F15" s="2">
        <v>50</v>
      </c>
      <c r="G15" s="2">
        <v>60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600</v>
      </c>
      <c r="C16" s="2">
        <v>50</v>
      </c>
      <c r="D16" s="2">
        <v>50</v>
      </c>
      <c r="E16" s="2">
        <v>50</v>
      </c>
      <c r="F16" s="2">
        <v>50</v>
      </c>
      <c r="G16" s="2">
        <v>50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550</v>
      </c>
      <c r="C17" s="2">
        <v>50</v>
      </c>
      <c r="D17" s="2">
        <v>50</v>
      </c>
      <c r="E17" s="2">
        <v>50</v>
      </c>
      <c r="F17" s="2">
        <v>50</v>
      </c>
      <c r="G17" s="2">
        <v>50</v>
      </c>
      <c r="H17" s="2">
        <v>50</v>
      </c>
      <c r="I17" s="2">
        <v>50</v>
      </c>
      <c r="J17" s="2">
        <v>50</v>
      </c>
      <c r="K17" s="2">
        <v>50</v>
      </c>
      <c r="L17" s="2">
        <v>50</v>
      </c>
      <c r="M17" s="2">
        <v>50</v>
      </c>
      <c r="N17" s="2">
        <v>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1050</v>
      </c>
      <c r="C18" s="2">
        <v>200</v>
      </c>
      <c r="D18" s="2">
        <v>100</v>
      </c>
      <c r="E18" s="2">
        <v>100</v>
      </c>
      <c r="F18" s="2">
        <v>100</v>
      </c>
      <c r="G18" s="2">
        <v>0</v>
      </c>
      <c r="H18" s="2">
        <v>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50</v>
      </c>
      <c r="O18" s="5">
        <v>100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1100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550</v>
      </c>
      <c r="C20" s="2">
        <v>100</v>
      </c>
      <c r="D20" s="2">
        <v>50</v>
      </c>
      <c r="E20" s="2">
        <v>50</v>
      </c>
      <c r="F20" s="2">
        <v>50</v>
      </c>
      <c r="G20" s="2">
        <v>0</v>
      </c>
      <c r="H20" s="2">
        <v>0</v>
      </c>
      <c r="I20" s="2">
        <v>50</v>
      </c>
      <c r="J20" s="2">
        <v>50</v>
      </c>
      <c r="K20" s="2">
        <v>50</v>
      </c>
      <c r="L20" s="2">
        <v>50</v>
      </c>
      <c r="M20" s="2">
        <v>50</v>
      </c>
      <c r="N20" s="2"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1100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4">
        <v>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1125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25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1325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200</v>
      </c>
      <c r="I23" s="2">
        <v>100</v>
      </c>
      <c r="J23" s="2">
        <v>200</v>
      </c>
      <c r="K23" s="2">
        <v>100</v>
      </c>
      <c r="L23" s="2">
        <v>100</v>
      </c>
      <c r="M23" s="2">
        <v>100</v>
      </c>
      <c r="N23" s="2">
        <v>25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1150</v>
      </c>
      <c r="C24" s="2">
        <v>100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50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1200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100</v>
      </c>
      <c r="K25" s="2">
        <v>100</v>
      </c>
      <c r="L25" s="2">
        <v>100</v>
      </c>
      <c r="M25" s="2">
        <v>100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1150</v>
      </c>
      <c r="C26" s="2">
        <v>100</v>
      </c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100</v>
      </c>
      <c r="M26" s="2">
        <v>100</v>
      </c>
      <c r="N26" s="2">
        <v>50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600</v>
      </c>
      <c r="C27" s="2">
        <v>50</v>
      </c>
      <c r="D27" s="2">
        <v>50</v>
      </c>
      <c r="E27" s="2">
        <v>50</v>
      </c>
      <c r="F27" s="2">
        <v>50</v>
      </c>
      <c r="G27" s="2">
        <v>50</v>
      </c>
      <c r="H27" s="2">
        <v>50</v>
      </c>
      <c r="I27" s="2">
        <v>50</v>
      </c>
      <c r="J27" s="2">
        <v>50</v>
      </c>
      <c r="K27" s="2">
        <v>50</v>
      </c>
      <c r="L27" s="2">
        <v>50</v>
      </c>
      <c r="M27" s="2">
        <v>50</v>
      </c>
      <c r="N27" s="2">
        <v>50</v>
      </c>
      <c r="O27" s="5">
        <v>50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600</v>
      </c>
      <c r="C28" s="2">
        <v>50</v>
      </c>
      <c r="D28" s="2">
        <v>50</v>
      </c>
      <c r="E28" s="2">
        <v>50</v>
      </c>
      <c r="F28" s="2">
        <v>50</v>
      </c>
      <c r="G28" s="2">
        <v>50</v>
      </c>
      <c r="H28" s="2">
        <v>50</v>
      </c>
      <c r="I28" s="2">
        <v>50</v>
      </c>
      <c r="J28" s="2">
        <v>50</v>
      </c>
      <c r="K28" s="2">
        <v>50</v>
      </c>
      <c r="L28" s="2">
        <v>50</v>
      </c>
      <c r="M28" s="2">
        <v>50</v>
      </c>
      <c r="N28" s="2">
        <v>50</v>
      </c>
      <c r="O28" s="5">
        <v>50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600</v>
      </c>
      <c r="C29" s="2">
        <v>50</v>
      </c>
      <c r="D29" s="2">
        <v>50</v>
      </c>
      <c r="E29" s="2">
        <v>50</v>
      </c>
      <c r="F29" s="2">
        <v>50</v>
      </c>
      <c r="G29" s="2">
        <v>50</v>
      </c>
      <c r="H29" s="2">
        <v>50</v>
      </c>
      <c r="I29" s="2">
        <v>50</v>
      </c>
      <c r="J29" s="2">
        <v>50</v>
      </c>
      <c r="K29" s="2">
        <v>50</v>
      </c>
      <c r="L29" s="2">
        <v>50</v>
      </c>
      <c r="M29" s="2">
        <v>50</v>
      </c>
      <c r="N29" s="2">
        <v>50</v>
      </c>
      <c r="O29" s="5">
        <v>50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150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25</v>
      </c>
      <c r="I30" s="2">
        <v>25</v>
      </c>
      <c r="J30" s="2">
        <v>25</v>
      </c>
      <c r="K30" s="2">
        <v>50</v>
      </c>
      <c r="L30" s="2">
        <v>25</v>
      </c>
      <c r="M30" s="2">
        <v>0</v>
      </c>
      <c r="N30" s="2"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1700</v>
      </c>
      <c r="C31" s="2">
        <v>200</v>
      </c>
      <c r="D31" s="2">
        <v>200</v>
      </c>
      <c r="E31" s="2">
        <v>200</v>
      </c>
      <c r="F31" s="2">
        <v>200</v>
      </c>
      <c r="G31" s="2">
        <v>200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750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150</v>
      </c>
      <c r="N32" s="2">
        <v>100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100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1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1200</v>
      </c>
      <c r="C34" s="2">
        <v>100</v>
      </c>
      <c r="D34" s="2">
        <v>100</v>
      </c>
      <c r="E34" s="2">
        <v>100</v>
      </c>
      <c r="F34" s="2">
        <v>100</v>
      </c>
      <c r="G34" s="2">
        <v>100</v>
      </c>
      <c r="H34" s="2">
        <v>100</v>
      </c>
      <c r="I34" s="2">
        <v>100</v>
      </c>
      <c r="J34" s="2">
        <v>100</v>
      </c>
      <c r="K34" s="2">
        <v>100</v>
      </c>
      <c r="L34" s="2">
        <v>100</v>
      </c>
      <c r="M34" s="2">
        <v>100</v>
      </c>
      <c r="N34" s="2">
        <v>100</v>
      </c>
      <c r="O34" s="5">
        <v>100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50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1"/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250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1"/>
      <c r="I36" s="2">
        <v>0</v>
      </c>
      <c r="J36" s="2">
        <v>0</v>
      </c>
      <c r="K36" s="2">
        <v>0</v>
      </c>
      <c r="L36" s="2">
        <v>0</v>
      </c>
      <c r="M36" s="2">
        <v>200</v>
      </c>
      <c r="N36" s="2">
        <v>50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250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1"/>
      <c r="I37" s="2">
        <v>0</v>
      </c>
      <c r="J37" s="2">
        <v>0</v>
      </c>
      <c r="K37" s="2">
        <v>0</v>
      </c>
      <c r="L37" s="2">
        <v>0</v>
      </c>
      <c r="M37" s="2">
        <v>200</v>
      </c>
      <c r="N37" s="2">
        <v>50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1200</v>
      </c>
      <c r="C38" s="2">
        <v>100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100</v>
      </c>
      <c r="N38" s="2">
        <v>100</v>
      </c>
      <c r="O38" s="5">
        <v>100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2200</v>
      </c>
      <c r="C39" s="2">
        <v>200</v>
      </c>
      <c r="D39" s="2">
        <v>200</v>
      </c>
      <c r="E39" s="2">
        <v>200</v>
      </c>
      <c r="F39" s="2">
        <v>200</v>
      </c>
      <c r="G39" s="2">
        <v>200</v>
      </c>
      <c r="H39" s="2">
        <v>200</v>
      </c>
      <c r="I39" s="2">
        <v>200</v>
      </c>
      <c r="J39" s="2">
        <v>0</v>
      </c>
      <c r="K39" s="2">
        <v>200</v>
      </c>
      <c r="L39" s="2">
        <v>200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1200</v>
      </c>
      <c r="C40" s="2">
        <v>100</v>
      </c>
      <c r="D40" s="2">
        <v>100</v>
      </c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  <c r="O40" s="5">
        <v>100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1200</v>
      </c>
      <c r="C41" s="2">
        <v>100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  <c r="I41" s="2">
        <v>200</v>
      </c>
      <c r="J41" s="2">
        <v>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600</v>
      </c>
      <c r="C42" s="2">
        <v>50</v>
      </c>
      <c r="D42" s="2">
        <v>50</v>
      </c>
      <c r="E42" s="2">
        <v>50</v>
      </c>
      <c r="F42" s="2">
        <v>50</v>
      </c>
      <c r="G42" s="2">
        <v>50</v>
      </c>
      <c r="H42" s="2">
        <v>50</v>
      </c>
      <c r="I42" s="2">
        <v>100</v>
      </c>
      <c r="J42" s="2">
        <v>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600</v>
      </c>
      <c r="C43" s="2">
        <v>50</v>
      </c>
      <c r="D43" s="2">
        <v>50</v>
      </c>
      <c r="E43" s="2">
        <v>50</v>
      </c>
      <c r="F43" s="2">
        <v>50</v>
      </c>
      <c r="G43" s="2">
        <v>100</v>
      </c>
      <c r="H43" s="2">
        <v>0</v>
      </c>
      <c r="I43" s="2">
        <v>50</v>
      </c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1000</v>
      </c>
      <c r="C44" s="2">
        <v>100</v>
      </c>
      <c r="D44" s="2">
        <v>100</v>
      </c>
      <c r="E44" s="2">
        <v>100</v>
      </c>
      <c r="F44" s="2">
        <v>50</v>
      </c>
      <c r="G44" s="2">
        <v>100</v>
      </c>
      <c r="H44" s="2">
        <v>100</v>
      </c>
      <c r="I44" s="2">
        <v>100</v>
      </c>
      <c r="J44" s="2">
        <v>200</v>
      </c>
      <c r="K44" s="2">
        <v>0</v>
      </c>
      <c r="L44" s="2">
        <v>0</v>
      </c>
      <c r="M44" s="2">
        <v>100</v>
      </c>
      <c r="N44" s="2">
        <v>50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400</v>
      </c>
      <c r="C45" s="2">
        <v>50</v>
      </c>
      <c r="D45" s="2">
        <v>0</v>
      </c>
      <c r="E45" s="2">
        <v>50</v>
      </c>
      <c r="F45" s="2">
        <v>0</v>
      </c>
      <c r="G45" s="2">
        <v>0</v>
      </c>
      <c r="H45" s="2">
        <v>0</v>
      </c>
      <c r="I45" s="2">
        <v>50</v>
      </c>
      <c r="J45" s="2">
        <v>50</v>
      </c>
      <c r="K45" s="2">
        <v>50</v>
      </c>
      <c r="L45" s="2">
        <v>50</v>
      </c>
      <c r="M45" s="2">
        <v>50</v>
      </c>
      <c r="N45" s="2">
        <v>50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1200</v>
      </c>
      <c r="C47" s="2">
        <v>100</v>
      </c>
      <c r="D47" s="2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>
        <v>100</v>
      </c>
      <c r="M47" s="2">
        <v>100</v>
      </c>
      <c r="N47" s="2">
        <v>100</v>
      </c>
      <c r="O47" s="5">
        <v>100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1200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5">
        <v>100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300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100</v>
      </c>
      <c r="L49" s="2">
        <v>100</v>
      </c>
      <c r="M49" s="2">
        <v>100</v>
      </c>
      <c r="N49" s="2">
        <v>0</v>
      </c>
      <c r="O49" s="5">
        <v>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300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100</v>
      </c>
      <c r="L50" s="2">
        <v>100</v>
      </c>
      <c r="M50" s="2">
        <v>100</v>
      </c>
      <c r="N50" s="4">
        <v>0</v>
      </c>
      <c r="O50" s="5">
        <v>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550</v>
      </c>
      <c r="C51" s="2">
        <v>50</v>
      </c>
      <c r="D51" s="2">
        <v>50</v>
      </c>
      <c r="E51" s="2">
        <v>50</v>
      </c>
      <c r="F51" s="2">
        <v>50</v>
      </c>
      <c r="G51" s="2">
        <v>50</v>
      </c>
      <c r="H51" s="2">
        <v>50</v>
      </c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550</v>
      </c>
      <c r="C52" s="2">
        <v>50</v>
      </c>
      <c r="D52" s="2">
        <v>50</v>
      </c>
      <c r="E52" s="2">
        <v>50</v>
      </c>
      <c r="F52" s="2">
        <v>50</v>
      </c>
      <c r="G52" s="2">
        <v>50</v>
      </c>
      <c r="H52" s="2">
        <v>50</v>
      </c>
      <c r="I52" s="2">
        <v>50</v>
      </c>
      <c r="J52" s="2">
        <v>50</v>
      </c>
      <c r="K52" s="2">
        <v>50</v>
      </c>
      <c r="L52" s="2">
        <v>50</v>
      </c>
      <c r="M52" s="2">
        <v>50</v>
      </c>
      <c r="N52" s="4">
        <v>0</v>
      </c>
      <c r="O52" s="5">
        <v>50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550</v>
      </c>
      <c r="C53" s="2">
        <v>50</v>
      </c>
      <c r="D53" s="2">
        <v>50</v>
      </c>
      <c r="E53" s="2">
        <v>50</v>
      </c>
      <c r="F53" s="2">
        <v>50</v>
      </c>
      <c r="G53" s="2">
        <v>50</v>
      </c>
      <c r="H53" s="2">
        <v>50</v>
      </c>
      <c r="I53" s="2">
        <v>50</v>
      </c>
      <c r="J53" s="2">
        <v>50</v>
      </c>
      <c r="K53" s="2">
        <v>50</v>
      </c>
      <c r="L53" s="2">
        <v>50</v>
      </c>
      <c r="M53" s="2">
        <v>50</v>
      </c>
      <c r="N53" s="4">
        <v>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350</v>
      </c>
      <c r="C54" s="2">
        <v>50</v>
      </c>
      <c r="D54" s="2">
        <v>50</v>
      </c>
      <c r="E54" s="2">
        <v>50</v>
      </c>
      <c r="F54" s="2">
        <v>50</v>
      </c>
      <c r="G54" s="2">
        <v>50</v>
      </c>
      <c r="H54" s="2">
        <v>50</v>
      </c>
      <c r="I54" s="2">
        <v>50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550</v>
      </c>
      <c r="C55" s="2">
        <v>50</v>
      </c>
      <c r="D55" s="2">
        <v>50</v>
      </c>
      <c r="E55" s="2">
        <v>50</v>
      </c>
      <c r="F55" s="2">
        <v>50</v>
      </c>
      <c r="G55" s="2">
        <v>50</v>
      </c>
      <c r="H55" s="2">
        <v>50</v>
      </c>
      <c r="I55" s="2">
        <v>50</v>
      </c>
      <c r="J55" s="2">
        <v>50</v>
      </c>
      <c r="K55" s="2">
        <v>50</v>
      </c>
      <c r="L55" s="2">
        <v>50</v>
      </c>
      <c r="M55" s="2">
        <v>50</v>
      </c>
      <c r="N55" s="2">
        <v>0</v>
      </c>
      <c r="O55" s="5">
        <v>50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600</v>
      </c>
      <c r="C56" s="2">
        <v>50</v>
      </c>
      <c r="D56" s="2">
        <v>50</v>
      </c>
      <c r="E56" s="2">
        <v>50</v>
      </c>
      <c r="F56" s="2">
        <v>50</v>
      </c>
      <c r="G56" s="2">
        <v>50</v>
      </c>
      <c r="H56" s="2">
        <v>50</v>
      </c>
      <c r="I56" s="2">
        <v>50</v>
      </c>
      <c r="J56" s="2">
        <v>50</v>
      </c>
      <c r="K56" s="2">
        <v>50</v>
      </c>
      <c r="L56" s="2">
        <v>50</v>
      </c>
      <c r="M56" s="2">
        <v>50</v>
      </c>
      <c r="N56" s="2"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600</v>
      </c>
      <c r="C57" s="2">
        <v>50</v>
      </c>
      <c r="D57" s="2">
        <v>50</v>
      </c>
      <c r="E57" s="2">
        <v>50</v>
      </c>
      <c r="F57" s="2">
        <v>50</v>
      </c>
      <c r="G57" s="2">
        <v>50</v>
      </c>
      <c r="H57" s="2">
        <v>50</v>
      </c>
      <c r="I57" s="2">
        <v>50</v>
      </c>
      <c r="J57" s="2">
        <v>50</v>
      </c>
      <c r="K57" s="2">
        <v>50</v>
      </c>
      <c r="L57" s="2">
        <v>50</v>
      </c>
      <c r="M57" s="2">
        <v>50</v>
      </c>
      <c r="N57" s="2"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700</v>
      </c>
      <c r="C58" s="2">
        <v>50</v>
      </c>
      <c r="D58" s="2">
        <v>50</v>
      </c>
      <c r="E58" s="2">
        <v>50</v>
      </c>
      <c r="F58" s="2">
        <v>50</v>
      </c>
      <c r="G58" s="2">
        <v>0</v>
      </c>
      <c r="H58" s="2">
        <v>0</v>
      </c>
      <c r="I58" s="2">
        <v>0</v>
      </c>
      <c r="J58" s="2">
        <v>200</v>
      </c>
      <c r="K58" s="2">
        <v>0</v>
      </c>
      <c r="L58" s="2">
        <v>100</v>
      </c>
      <c r="M58" s="2">
        <v>100</v>
      </c>
      <c r="N58" s="2">
        <v>100</v>
      </c>
      <c r="O58" s="5">
        <v>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6890</v>
      </c>
      <c r="C59" s="2">
        <v>625</v>
      </c>
      <c r="D59" s="2">
        <v>525</v>
      </c>
      <c r="E59" s="2">
        <v>425</v>
      </c>
      <c r="F59" s="2">
        <v>775</v>
      </c>
      <c r="G59" s="2">
        <v>565</v>
      </c>
      <c r="H59" s="2">
        <v>650</v>
      </c>
      <c r="I59" s="2">
        <v>600</v>
      </c>
      <c r="J59" s="2">
        <v>700</v>
      </c>
      <c r="K59" s="2">
        <v>500</v>
      </c>
      <c r="L59" s="2">
        <v>525</v>
      </c>
      <c r="M59" s="2">
        <v>500</v>
      </c>
      <c r="N59" s="2">
        <v>500</v>
      </c>
      <c r="O59" s="5">
        <v>500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4050</v>
      </c>
      <c r="C60" s="2">
        <v>300</v>
      </c>
      <c r="D60" s="2">
        <v>300</v>
      </c>
      <c r="E60" s="2">
        <v>250</v>
      </c>
      <c r="F60" s="2">
        <v>400</v>
      </c>
      <c r="G60" s="2">
        <v>300</v>
      </c>
      <c r="H60" s="2">
        <v>500</v>
      </c>
      <c r="I60" s="2">
        <v>500</v>
      </c>
      <c r="J60" s="2">
        <v>300</v>
      </c>
      <c r="K60" s="2">
        <v>300</v>
      </c>
      <c r="L60" s="2">
        <v>300</v>
      </c>
      <c r="M60" s="2">
        <v>300</v>
      </c>
      <c r="N60" s="2">
        <v>300</v>
      </c>
      <c r="O60" s="5">
        <v>300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2400</v>
      </c>
      <c r="C61" s="2">
        <v>200</v>
      </c>
      <c r="D61" s="2">
        <v>200</v>
      </c>
      <c r="E61" s="2">
        <v>200</v>
      </c>
      <c r="F61" s="2">
        <v>200</v>
      </c>
      <c r="G61" s="2">
        <v>200</v>
      </c>
      <c r="H61" s="2">
        <v>200</v>
      </c>
      <c r="I61" s="2">
        <v>200</v>
      </c>
      <c r="J61" s="2">
        <v>200</v>
      </c>
      <c r="K61" s="2">
        <v>200</v>
      </c>
      <c r="L61" s="2">
        <v>200</v>
      </c>
      <c r="M61" s="2">
        <v>200</v>
      </c>
      <c r="N61" s="2">
        <v>200</v>
      </c>
      <c r="O61" s="5">
        <v>200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2400</v>
      </c>
      <c r="C62" s="2">
        <v>200</v>
      </c>
      <c r="D62" s="2">
        <v>200</v>
      </c>
      <c r="E62" s="2">
        <v>200</v>
      </c>
      <c r="F62" s="2">
        <v>200</v>
      </c>
      <c r="G62" s="2">
        <v>200</v>
      </c>
      <c r="H62" s="2">
        <v>200</v>
      </c>
      <c r="I62" s="2">
        <v>200</v>
      </c>
      <c r="J62" s="2">
        <v>200</v>
      </c>
      <c r="K62" s="2">
        <v>200</v>
      </c>
      <c r="L62" s="2">
        <v>200</v>
      </c>
      <c r="M62" s="2">
        <v>200</v>
      </c>
      <c r="N62" s="2">
        <v>200</v>
      </c>
      <c r="O62" s="5">
        <v>200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1100</v>
      </c>
      <c r="C63" s="2">
        <v>100</v>
      </c>
      <c r="D63" s="2">
        <v>100</v>
      </c>
      <c r="E63" s="2">
        <v>100</v>
      </c>
      <c r="F63" s="2">
        <v>100</v>
      </c>
      <c r="G63" s="2">
        <v>100</v>
      </c>
      <c r="H63" s="2">
        <v>100</v>
      </c>
      <c r="I63" s="2">
        <v>100</v>
      </c>
      <c r="J63" s="2">
        <v>100</v>
      </c>
      <c r="K63" s="2">
        <v>100</v>
      </c>
      <c r="L63" s="2">
        <v>100</v>
      </c>
      <c r="M63" s="2">
        <v>100</v>
      </c>
      <c r="N63" s="2">
        <v>0</v>
      </c>
      <c r="O63" s="5">
        <v>100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1150</v>
      </c>
      <c r="C64" s="2">
        <v>100</v>
      </c>
      <c r="D64" s="2">
        <v>100</v>
      </c>
      <c r="E64" s="2">
        <v>100</v>
      </c>
      <c r="F64" s="2">
        <v>100</v>
      </c>
      <c r="G64" s="2">
        <v>100</v>
      </c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50</v>
      </c>
      <c r="O64" s="5">
        <v>100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1100</v>
      </c>
      <c r="C65" s="2">
        <v>100</v>
      </c>
      <c r="D65" s="2">
        <v>100</v>
      </c>
      <c r="E65" s="2">
        <v>100</v>
      </c>
      <c r="F65" s="2">
        <v>100</v>
      </c>
      <c r="G65" s="2">
        <v>100</v>
      </c>
      <c r="H65" s="2">
        <v>100</v>
      </c>
      <c r="I65" s="2">
        <v>100</v>
      </c>
      <c r="J65" s="2">
        <v>100</v>
      </c>
      <c r="K65" s="2">
        <v>100</v>
      </c>
      <c r="L65" s="2">
        <v>100</v>
      </c>
      <c r="M65" s="2">
        <v>100</v>
      </c>
      <c r="N65" s="4">
        <v>0</v>
      </c>
      <c r="O65" s="5">
        <v>100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500</v>
      </c>
      <c r="C66" s="2">
        <v>50</v>
      </c>
      <c r="D66" s="2">
        <v>50</v>
      </c>
      <c r="E66" s="2">
        <v>50</v>
      </c>
      <c r="F66" s="2">
        <v>50</v>
      </c>
      <c r="G66" s="2">
        <v>50</v>
      </c>
      <c r="H66" s="2">
        <v>50</v>
      </c>
      <c r="I66" s="2">
        <v>0</v>
      </c>
      <c r="J66" s="2">
        <v>50</v>
      </c>
      <c r="K66" s="2">
        <v>0</v>
      </c>
      <c r="L66" s="2">
        <v>50</v>
      </c>
      <c r="M66" s="2">
        <v>50</v>
      </c>
      <c r="N66" s="2">
        <v>50</v>
      </c>
      <c r="O66" s="5">
        <v>50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500</v>
      </c>
      <c r="C67" s="2">
        <v>50</v>
      </c>
      <c r="D67" s="2">
        <v>50</v>
      </c>
      <c r="E67" s="2">
        <v>50</v>
      </c>
      <c r="F67" s="2">
        <v>50</v>
      </c>
      <c r="G67" s="2">
        <v>50</v>
      </c>
      <c r="H67" s="2">
        <v>50</v>
      </c>
      <c r="I67" s="2">
        <v>0</v>
      </c>
      <c r="J67" s="2">
        <v>50</v>
      </c>
      <c r="K67" s="2">
        <v>0</v>
      </c>
      <c r="L67" s="2">
        <v>50</v>
      </c>
      <c r="M67" s="2">
        <v>50</v>
      </c>
      <c r="N67" s="2">
        <v>50</v>
      </c>
      <c r="O67" s="5">
        <v>50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500</v>
      </c>
      <c r="C68" s="2">
        <v>50</v>
      </c>
      <c r="D68" s="2">
        <v>50</v>
      </c>
      <c r="E68" s="2">
        <v>50</v>
      </c>
      <c r="F68" s="2">
        <v>50</v>
      </c>
      <c r="G68" s="2">
        <v>50</v>
      </c>
      <c r="H68" s="2">
        <v>50</v>
      </c>
      <c r="I68" s="2">
        <v>0</v>
      </c>
      <c r="J68" s="2">
        <v>50</v>
      </c>
      <c r="K68" s="2">
        <v>0</v>
      </c>
      <c r="L68" s="2">
        <v>50</v>
      </c>
      <c r="M68" s="2">
        <v>50</v>
      </c>
      <c r="N68" s="2">
        <v>50</v>
      </c>
      <c r="O68" s="5">
        <v>50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500</v>
      </c>
      <c r="C69" s="2">
        <v>50</v>
      </c>
      <c r="D69" s="2">
        <v>50</v>
      </c>
      <c r="E69" s="2">
        <v>50</v>
      </c>
      <c r="F69" s="2">
        <v>50</v>
      </c>
      <c r="G69" s="2">
        <v>50</v>
      </c>
      <c r="H69" s="2">
        <v>50</v>
      </c>
      <c r="I69" s="2">
        <v>0</v>
      </c>
      <c r="J69" s="2">
        <v>50</v>
      </c>
      <c r="K69" s="2">
        <v>0</v>
      </c>
      <c r="L69" s="2">
        <v>50</v>
      </c>
      <c r="M69" s="2">
        <v>50</v>
      </c>
      <c r="N69" s="2">
        <v>50</v>
      </c>
      <c r="O69" s="5">
        <v>50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600</v>
      </c>
      <c r="C70" s="2">
        <v>50</v>
      </c>
      <c r="D70" s="2">
        <v>50</v>
      </c>
      <c r="E70" s="2">
        <v>50</v>
      </c>
      <c r="F70" s="2">
        <v>50</v>
      </c>
      <c r="G70" s="2">
        <v>50</v>
      </c>
      <c r="H70" s="2">
        <v>50</v>
      </c>
      <c r="I70" s="2">
        <v>50</v>
      </c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600</v>
      </c>
      <c r="C71" s="2">
        <v>50</v>
      </c>
      <c r="D71" s="2">
        <v>50</v>
      </c>
      <c r="E71" s="2">
        <v>50</v>
      </c>
      <c r="F71" s="2">
        <v>50</v>
      </c>
      <c r="G71" s="2">
        <v>50</v>
      </c>
      <c r="H71" s="2">
        <v>50</v>
      </c>
      <c r="I71" s="2">
        <v>50</v>
      </c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600</v>
      </c>
      <c r="C72" s="2">
        <v>50</v>
      </c>
      <c r="D72" s="2">
        <v>50</v>
      </c>
      <c r="E72" s="2">
        <v>50</v>
      </c>
      <c r="F72" s="2">
        <v>50</v>
      </c>
      <c r="G72" s="2">
        <v>50</v>
      </c>
      <c r="H72" s="2">
        <v>50</v>
      </c>
      <c r="I72" s="2">
        <v>50</v>
      </c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600</v>
      </c>
      <c r="C73" s="2">
        <v>50</v>
      </c>
      <c r="D73" s="2">
        <v>50</v>
      </c>
      <c r="E73" s="2">
        <v>50</v>
      </c>
      <c r="F73" s="2">
        <v>50</v>
      </c>
      <c r="G73" s="2">
        <v>50</v>
      </c>
      <c r="H73" s="2">
        <v>50</v>
      </c>
      <c r="I73" s="2">
        <v>50</v>
      </c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600</v>
      </c>
      <c r="C74" s="2">
        <v>50</v>
      </c>
      <c r="D74" s="2">
        <v>50</v>
      </c>
      <c r="E74" s="2">
        <v>50</v>
      </c>
      <c r="F74" s="2">
        <v>50</v>
      </c>
      <c r="G74" s="2">
        <v>50</v>
      </c>
      <c r="H74" s="2">
        <v>50</v>
      </c>
      <c r="I74" s="2">
        <v>50</v>
      </c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600</v>
      </c>
      <c r="C75" s="2">
        <v>50</v>
      </c>
      <c r="D75" s="2">
        <v>50</v>
      </c>
      <c r="E75" s="2">
        <v>50</v>
      </c>
      <c r="F75" s="2">
        <v>50</v>
      </c>
      <c r="G75" s="2">
        <v>50</v>
      </c>
      <c r="H75" s="2">
        <v>50</v>
      </c>
      <c r="I75" s="2">
        <v>50</v>
      </c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1100</v>
      </c>
      <c r="C76" s="2">
        <v>100</v>
      </c>
      <c r="D76" s="2">
        <v>100</v>
      </c>
      <c r="E76" s="2">
        <v>100</v>
      </c>
      <c r="F76" s="2">
        <v>100</v>
      </c>
      <c r="G76" s="2">
        <v>100</v>
      </c>
      <c r="H76" s="2">
        <v>100</v>
      </c>
      <c r="I76" s="2">
        <v>100</v>
      </c>
      <c r="J76" s="2">
        <v>100</v>
      </c>
      <c r="K76" s="2">
        <v>100</v>
      </c>
      <c r="L76" s="2">
        <v>100</v>
      </c>
      <c r="M76" s="2">
        <v>100</v>
      </c>
      <c r="N76" s="4">
        <v>0</v>
      </c>
      <c r="O76" s="5">
        <v>100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1100</v>
      </c>
      <c r="C77" s="2">
        <v>100</v>
      </c>
      <c r="D77" s="2">
        <v>100</v>
      </c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4">
        <v>0</v>
      </c>
      <c r="O77" s="5">
        <v>100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1100</v>
      </c>
      <c r="C78" s="2">
        <v>100</v>
      </c>
      <c r="D78" s="2">
        <v>100</v>
      </c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0</v>
      </c>
      <c r="O78" s="5">
        <v>100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1100</v>
      </c>
      <c r="C79" s="2">
        <v>100</v>
      </c>
      <c r="D79" s="2">
        <v>100</v>
      </c>
      <c r="E79" s="2">
        <v>100</v>
      </c>
      <c r="F79" s="2">
        <v>100</v>
      </c>
      <c r="G79" s="2">
        <v>100</v>
      </c>
      <c r="H79" s="2">
        <v>100</v>
      </c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1100</v>
      </c>
      <c r="C80" s="2">
        <v>100</v>
      </c>
      <c r="D80" s="2">
        <v>100</v>
      </c>
      <c r="E80" s="2">
        <v>100</v>
      </c>
      <c r="F80" s="2">
        <v>100</v>
      </c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1100</v>
      </c>
      <c r="C81" s="2">
        <v>100</v>
      </c>
      <c r="D81" s="2">
        <v>100</v>
      </c>
      <c r="E81" s="2">
        <v>100</v>
      </c>
      <c r="F81" s="2">
        <v>100</v>
      </c>
      <c r="G81" s="2">
        <v>100</v>
      </c>
      <c r="H81" s="2">
        <v>100</v>
      </c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1100</v>
      </c>
      <c r="C82" s="2">
        <v>100</v>
      </c>
      <c r="D82" s="2">
        <v>100</v>
      </c>
      <c r="E82" s="2">
        <v>100</v>
      </c>
      <c r="F82" s="2">
        <v>100</v>
      </c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4">
        <v>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2200</v>
      </c>
      <c r="C83" s="2">
        <v>200</v>
      </c>
      <c r="D83" s="2">
        <v>200</v>
      </c>
      <c r="E83" s="2">
        <v>200</v>
      </c>
      <c r="F83" s="2">
        <v>200</v>
      </c>
      <c r="G83" s="2">
        <v>200</v>
      </c>
      <c r="H83" s="2">
        <v>200</v>
      </c>
      <c r="I83" s="2">
        <v>200</v>
      </c>
      <c r="J83" s="2">
        <v>200</v>
      </c>
      <c r="K83" s="2">
        <v>200</v>
      </c>
      <c r="L83" s="2">
        <v>200</v>
      </c>
      <c r="M83" s="2">
        <v>200</v>
      </c>
      <c r="N83" s="2">
        <v>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1100</v>
      </c>
      <c r="C84" s="2">
        <v>100</v>
      </c>
      <c r="D84" s="2">
        <v>100</v>
      </c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1100</v>
      </c>
      <c r="C85" s="2">
        <v>100</v>
      </c>
      <c r="D85" s="2">
        <v>100</v>
      </c>
      <c r="E85" s="2">
        <v>100</v>
      </c>
      <c r="F85" s="2">
        <v>100</v>
      </c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1100</v>
      </c>
      <c r="C86" s="2">
        <v>100</v>
      </c>
      <c r="D86" s="2">
        <v>100</v>
      </c>
      <c r="E86" s="2">
        <v>100</v>
      </c>
      <c r="F86" s="2">
        <v>100</v>
      </c>
      <c r="G86" s="2">
        <v>100</v>
      </c>
      <c r="H86" s="2">
        <v>100</v>
      </c>
      <c r="I86" s="2">
        <v>100</v>
      </c>
      <c r="J86" s="2">
        <v>100</v>
      </c>
      <c r="K86" s="2">
        <v>100</v>
      </c>
      <c r="L86" s="2">
        <v>100</v>
      </c>
      <c r="M86" s="2">
        <v>100</v>
      </c>
      <c r="N86" s="2">
        <v>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1100</v>
      </c>
      <c r="C87" s="2">
        <v>100</v>
      </c>
      <c r="D87" s="2">
        <v>100</v>
      </c>
      <c r="E87" s="2">
        <v>100</v>
      </c>
      <c r="F87" s="2">
        <v>100</v>
      </c>
      <c r="G87" s="2">
        <v>100</v>
      </c>
      <c r="H87" s="2">
        <v>100</v>
      </c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1100</v>
      </c>
      <c r="C88" s="2">
        <v>100</v>
      </c>
      <c r="D88" s="2">
        <v>100</v>
      </c>
      <c r="E88" s="2">
        <v>100</v>
      </c>
      <c r="F88" s="2">
        <v>100</v>
      </c>
      <c r="G88" s="2">
        <v>100</v>
      </c>
      <c r="H88" s="2">
        <v>100</v>
      </c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1100</v>
      </c>
      <c r="C89" s="2">
        <v>100</v>
      </c>
      <c r="D89" s="2">
        <v>100</v>
      </c>
      <c r="E89" s="2">
        <v>100</v>
      </c>
      <c r="F89" s="2">
        <v>100</v>
      </c>
      <c r="G89" s="2">
        <v>100</v>
      </c>
      <c r="H89" s="2">
        <v>100</v>
      </c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1100</v>
      </c>
      <c r="C90" s="2">
        <v>100</v>
      </c>
      <c r="D90" s="2">
        <v>100</v>
      </c>
      <c r="E90" s="2">
        <v>100</v>
      </c>
      <c r="F90" s="2">
        <v>100</v>
      </c>
      <c r="G90" s="2">
        <v>100</v>
      </c>
      <c r="H90" s="2">
        <v>100</v>
      </c>
      <c r="I90" s="2">
        <v>500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5">
        <v>100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200</v>
      </c>
      <c r="C91" s="2">
        <v>25</v>
      </c>
      <c r="D91" s="2">
        <v>25</v>
      </c>
      <c r="E91" s="2">
        <v>25</v>
      </c>
      <c r="F91" s="2">
        <v>25</v>
      </c>
      <c r="G91" s="2">
        <v>25</v>
      </c>
      <c r="H91" s="2">
        <v>25</v>
      </c>
      <c r="I91" s="2">
        <v>25</v>
      </c>
      <c r="J91" s="2">
        <v>25</v>
      </c>
      <c r="K91" s="2">
        <v>0</v>
      </c>
      <c r="L91" s="2">
        <v>0</v>
      </c>
      <c r="M91" s="2">
        <v>0</v>
      </c>
      <c r="N91" s="2">
        <v>0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200</v>
      </c>
      <c r="C92" s="2">
        <v>25</v>
      </c>
      <c r="D92" s="2">
        <v>25</v>
      </c>
      <c r="E92" s="2">
        <v>25</v>
      </c>
      <c r="F92" s="2">
        <v>25</v>
      </c>
      <c r="G92" s="2">
        <v>25</v>
      </c>
      <c r="H92" s="2">
        <v>25</v>
      </c>
      <c r="I92" s="2">
        <v>25</v>
      </c>
      <c r="J92" s="2">
        <v>25</v>
      </c>
      <c r="K92" s="2">
        <v>0</v>
      </c>
      <c r="L92" s="2">
        <v>0</v>
      </c>
      <c r="M92" s="2">
        <v>0</v>
      </c>
      <c r="N92" s="2">
        <v>0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200</v>
      </c>
      <c r="C93" s="2">
        <v>25</v>
      </c>
      <c r="D93" s="2">
        <v>25</v>
      </c>
      <c r="E93" s="2">
        <v>25</v>
      </c>
      <c r="F93" s="2">
        <v>25</v>
      </c>
      <c r="G93" s="2">
        <v>25</v>
      </c>
      <c r="H93" s="2">
        <v>25</v>
      </c>
      <c r="I93" s="2">
        <v>25</v>
      </c>
      <c r="J93" s="2">
        <v>25</v>
      </c>
      <c r="K93" s="2">
        <v>0</v>
      </c>
      <c r="L93" s="2">
        <v>0</v>
      </c>
      <c r="M93" s="2">
        <v>0</v>
      </c>
      <c r="N93" s="2">
        <v>0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6000</v>
      </c>
      <c r="C94" s="2">
        <v>500</v>
      </c>
      <c r="D94" s="2">
        <v>500</v>
      </c>
      <c r="E94" s="2">
        <v>500</v>
      </c>
      <c r="F94" s="2">
        <v>500</v>
      </c>
      <c r="G94" s="2">
        <v>500</v>
      </c>
      <c r="H94" s="2">
        <v>500</v>
      </c>
      <c r="I94" s="2">
        <v>500</v>
      </c>
      <c r="J94" s="2">
        <v>500</v>
      </c>
      <c r="K94" s="2">
        <v>500</v>
      </c>
      <c r="L94" s="2">
        <v>500</v>
      </c>
      <c r="M94" s="2">
        <v>750</v>
      </c>
      <c r="N94" s="2">
        <v>250</v>
      </c>
      <c r="O94" s="5">
        <v>500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8600</v>
      </c>
      <c r="C95" s="2">
        <v>600</v>
      </c>
      <c r="D95" s="2">
        <v>600</v>
      </c>
      <c r="E95" s="2">
        <v>600</v>
      </c>
      <c r="F95" s="2">
        <v>600</v>
      </c>
      <c r="G95" s="2">
        <v>600</v>
      </c>
      <c r="H95" s="2">
        <v>600</v>
      </c>
      <c r="I95" s="2">
        <v>600</v>
      </c>
      <c r="J95" s="2">
        <v>600</v>
      </c>
      <c r="K95" s="2">
        <v>800</v>
      </c>
      <c r="L95" s="2">
        <v>1000</v>
      </c>
      <c r="M95" s="2">
        <v>1000</v>
      </c>
      <c r="N95" s="2">
        <v>1000</v>
      </c>
      <c r="O95" s="5">
        <v>600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5000</v>
      </c>
      <c r="C96" s="2">
        <v>500</v>
      </c>
      <c r="D96" s="2">
        <v>500</v>
      </c>
      <c r="E96" s="2">
        <v>500</v>
      </c>
      <c r="F96" s="2">
        <v>500</v>
      </c>
      <c r="G96" s="2">
        <v>500</v>
      </c>
      <c r="H96" s="2">
        <v>500</v>
      </c>
      <c r="I96" s="2">
        <v>500</v>
      </c>
      <c r="J96" s="2">
        <v>0</v>
      </c>
      <c r="K96" s="2">
        <v>500</v>
      </c>
      <c r="L96" s="2">
        <v>500</v>
      </c>
      <c r="M96" s="2">
        <v>500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1200</v>
      </c>
      <c r="C97" s="2">
        <v>100</v>
      </c>
      <c r="D97" s="2">
        <v>100</v>
      </c>
      <c r="E97" s="2">
        <v>100</v>
      </c>
      <c r="F97" s="2">
        <v>100</v>
      </c>
      <c r="G97" s="2">
        <v>100</v>
      </c>
      <c r="H97" s="2">
        <v>100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5">
        <v>100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2400</v>
      </c>
      <c r="C98" s="2">
        <v>200</v>
      </c>
      <c r="D98" s="2">
        <v>200</v>
      </c>
      <c r="E98" s="2">
        <v>200</v>
      </c>
      <c r="F98" s="2">
        <v>200</v>
      </c>
      <c r="G98" s="2">
        <v>200</v>
      </c>
      <c r="H98" s="2">
        <v>200</v>
      </c>
      <c r="I98" s="2">
        <v>200</v>
      </c>
      <c r="J98" s="2">
        <v>200</v>
      </c>
      <c r="K98" s="2">
        <v>200</v>
      </c>
      <c r="L98" s="2">
        <v>200</v>
      </c>
      <c r="M98" s="2">
        <v>200</v>
      </c>
      <c r="N98" s="2">
        <v>200</v>
      </c>
      <c r="O98" s="5">
        <v>200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1200</v>
      </c>
      <c r="C99" s="2">
        <v>100</v>
      </c>
      <c r="D99" s="2">
        <v>100</v>
      </c>
      <c r="E99" s="2">
        <v>100</v>
      </c>
      <c r="F99" s="2">
        <v>100</v>
      </c>
      <c r="G99" s="2">
        <v>100</v>
      </c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1450</v>
      </c>
      <c r="C100" s="2">
        <v>150</v>
      </c>
      <c r="D100" s="2">
        <v>150</v>
      </c>
      <c r="E100" s="2">
        <v>150</v>
      </c>
      <c r="F100" s="2">
        <v>150</v>
      </c>
      <c r="G100" s="2">
        <v>150</v>
      </c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  <c r="M100" s="2">
        <v>100</v>
      </c>
      <c r="N100" s="2">
        <v>100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2400</v>
      </c>
      <c r="C101" s="2">
        <v>200</v>
      </c>
      <c r="D101" s="2">
        <v>200</v>
      </c>
      <c r="E101" s="2">
        <v>200</v>
      </c>
      <c r="F101" s="2">
        <v>200</v>
      </c>
      <c r="G101" s="2">
        <v>200</v>
      </c>
      <c r="H101" s="2">
        <v>200</v>
      </c>
      <c r="I101" s="2">
        <v>200</v>
      </c>
      <c r="J101" s="2">
        <v>200</v>
      </c>
      <c r="K101" s="2">
        <v>200</v>
      </c>
      <c r="L101" s="2">
        <v>200</v>
      </c>
      <c r="M101" s="2">
        <v>200</v>
      </c>
      <c r="N101" s="2">
        <v>200</v>
      </c>
      <c r="O101" s="5">
        <v>200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2200</v>
      </c>
      <c r="C102" s="2">
        <v>200</v>
      </c>
      <c r="D102" s="2">
        <v>200</v>
      </c>
      <c r="E102" s="2">
        <v>200</v>
      </c>
      <c r="F102" s="2">
        <v>200</v>
      </c>
      <c r="G102" s="2">
        <v>200</v>
      </c>
      <c r="H102" s="2">
        <v>200</v>
      </c>
      <c r="I102" s="2">
        <v>200</v>
      </c>
      <c r="J102" s="2">
        <v>200</v>
      </c>
      <c r="K102" s="2">
        <v>200</v>
      </c>
      <c r="L102" s="2">
        <v>200</v>
      </c>
      <c r="M102" s="2">
        <v>200</v>
      </c>
      <c r="N102" s="2">
        <v>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1200</v>
      </c>
      <c r="C103" s="2">
        <v>100</v>
      </c>
      <c r="D103" s="2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  <c r="M103" s="2">
        <v>200</v>
      </c>
      <c r="N103" s="2">
        <v>0</v>
      </c>
      <c r="O103" s="5">
        <v>100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2200</v>
      </c>
      <c r="C104" s="2">
        <v>200</v>
      </c>
      <c r="D104" s="2">
        <v>200</v>
      </c>
      <c r="E104" s="2">
        <v>200</v>
      </c>
      <c r="F104" s="2">
        <v>200</v>
      </c>
      <c r="G104" s="2">
        <v>200</v>
      </c>
      <c r="H104" s="2">
        <v>200</v>
      </c>
      <c r="I104" s="2">
        <v>200</v>
      </c>
      <c r="J104" s="2">
        <v>200</v>
      </c>
      <c r="K104" s="2">
        <v>200</v>
      </c>
      <c r="L104" s="2">
        <v>200</v>
      </c>
      <c r="M104" s="2">
        <v>200</v>
      </c>
      <c r="N104" s="2">
        <v>0</v>
      </c>
      <c r="O104" s="5">
        <v>200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3300</v>
      </c>
      <c r="C105" s="2">
        <v>300</v>
      </c>
      <c r="D105" s="2">
        <v>300</v>
      </c>
      <c r="E105" s="2">
        <v>300</v>
      </c>
      <c r="F105" s="2">
        <v>300</v>
      </c>
      <c r="G105" s="2">
        <v>300</v>
      </c>
      <c r="H105" s="2">
        <v>300</v>
      </c>
      <c r="I105" s="2">
        <v>300</v>
      </c>
      <c r="J105" s="2">
        <v>300</v>
      </c>
      <c r="K105" s="2">
        <v>300</v>
      </c>
      <c r="L105" s="2">
        <v>300</v>
      </c>
      <c r="M105" s="2">
        <v>300</v>
      </c>
      <c r="N105" s="2">
        <v>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5">
        <v>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131600</v>
      </c>
      <c r="C115" s="2">
        <f t="shared" ref="C115:N115" si="6">SUM(C4:C107)</f>
        <v>11000</v>
      </c>
      <c r="D115" s="2">
        <f t="shared" si="6"/>
        <v>10700</v>
      </c>
      <c r="E115" s="2">
        <f t="shared" si="6"/>
        <v>10600</v>
      </c>
      <c r="F115" s="2">
        <f t="shared" si="6"/>
        <v>11000</v>
      </c>
      <c r="G115" s="2">
        <f t="shared" si="6"/>
        <v>10700</v>
      </c>
      <c r="H115" s="2">
        <f t="shared" si="6"/>
        <v>10850</v>
      </c>
      <c r="I115" s="2">
        <f t="shared" si="6"/>
        <v>11500</v>
      </c>
      <c r="J115" s="2">
        <f t="shared" si="6"/>
        <v>10400</v>
      </c>
      <c r="K115" s="2">
        <f t="shared" si="6"/>
        <v>11000</v>
      </c>
      <c r="L115" s="2">
        <f t="shared" si="6"/>
        <v>11400</v>
      </c>
      <c r="M115" s="2">
        <f t="shared" si="6"/>
        <v>14950</v>
      </c>
      <c r="N115" s="2">
        <f t="shared" si="6"/>
        <v>7500</v>
      </c>
      <c r="O115" s="8">
        <f>SUM(O4:O110)</f>
        <v>10675</v>
      </c>
      <c r="P115" s="1"/>
      <c r="R115" s="1"/>
    </row>
    <row r="116" spans="1:1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topLeftCell="A4" workbookViewId="0">
      <selection activeCell="B25" sqref="B25"/>
    </sheetView>
  </sheetViews>
  <sheetFormatPr defaultRowHeight="14.4" x14ac:dyDescent="0.3"/>
  <cols>
    <col min="1" max="1" width="7" customWidth="1"/>
    <col min="2" max="2" width="11" bestFit="1" customWidth="1"/>
    <col min="4" max="4" width="13.109375" customWidth="1"/>
    <col min="5" max="5" width="17.6640625" customWidth="1"/>
    <col min="6" max="6" width="13.5546875" customWidth="1"/>
    <col min="7" max="7" width="18" customWidth="1"/>
    <col min="8" max="8" width="20" customWidth="1"/>
    <col min="9" max="9" width="18.6640625" customWidth="1"/>
    <col min="10" max="10" width="21.44140625" customWidth="1"/>
    <col min="11" max="11" width="19.21875" customWidth="1"/>
    <col min="12" max="12" width="10.88671875" customWidth="1"/>
    <col min="13" max="13" width="15.5546875" customWidth="1"/>
  </cols>
  <sheetData>
    <row r="2" spans="2:16" ht="31.2" x14ac:dyDescent="0.6">
      <c r="H2" s="18"/>
    </row>
    <row r="4" spans="2:16" ht="15.6" x14ac:dyDescent="0.3">
      <c r="B4" s="37" t="s">
        <v>136</v>
      </c>
      <c r="C4" s="37" t="s">
        <v>137</v>
      </c>
      <c r="D4" s="37" t="s">
        <v>138</v>
      </c>
      <c r="E4" s="37" t="s">
        <v>139</v>
      </c>
      <c r="F4" s="37" t="s">
        <v>140</v>
      </c>
      <c r="G4" s="37" t="s">
        <v>188</v>
      </c>
      <c r="H4" s="37" t="s">
        <v>141</v>
      </c>
      <c r="I4" s="37" t="s">
        <v>167</v>
      </c>
      <c r="J4" s="37" t="s">
        <v>142</v>
      </c>
      <c r="K4" s="37" t="s">
        <v>143</v>
      </c>
      <c r="L4" s="37" t="s">
        <v>123</v>
      </c>
      <c r="M4" s="37" t="s">
        <v>144</v>
      </c>
    </row>
    <row r="5" spans="2:16" ht="16.2" thickBot="1" x14ac:dyDescent="0.35">
      <c r="B5" s="20" t="s">
        <v>146</v>
      </c>
      <c r="C5" s="21" t="s">
        <v>147</v>
      </c>
      <c r="D5" s="21" t="s">
        <v>148</v>
      </c>
      <c r="E5" s="21" t="s">
        <v>149</v>
      </c>
      <c r="F5" s="21" t="s">
        <v>150</v>
      </c>
      <c r="G5" s="26" t="s">
        <v>157</v>
      </c>
      <c r="H5" s="21" t="s">
        <v>151</v>
      </c>
      <c r="I5" s="21" t="s">
        <v>152</v>
      </c>
      <c r="J5" s="21" t="s">
        <v>153</v>
      </c>
      <c r="K5" s="21" t="s">
        <v>154</v>
      </c>
      <c r="L5" s="21" t="s">
        <v>155</v>
      </c>
      <c r="M5" s="21" t="s">
        <v>156</v>
      </c>
    </row>
    <row r="6" spans="2:16" ht="15.6" x14ac:dyDescent="0.3">
      <c r="B6" t="s">
        <v>168</v>
      </c>
      <c r="C6" s="24">
        <v>1</v>
      </c>
      <c r="D6" s="38">
        <v>62739</v>
      </c>
      <c r="E6" s="24">
        <f>D6*F6</f>
        <v>7277724</v>
      </c>
      <c r="F6" s="39">
        <v>116</v>
      </c>
      <c r="G6" s="26">
        <f>INT(Table115[[#This Row],[Shares  bought]]*0.5)</f>
        <v>58</v>
      </c>
      <c r="H6" s="24">
        <f>Table115[[#This Row],[Shares  bought]]+Table115[[#This Row],[Column1]]</f>
        <v>174</v>
      </c>
      <c r="I6" s="24">
        <v>7277724</v>
      </c>
      <c r="J6" s="24">
        <f>I6/H6</f>
        <v>41826</v>
      </c>
      <c r="K6" s="24">
        <f>H6*D6</f>
        <v>10916586</v>
      </c>
      <c r="L6" s="24">
        <f>K6-I6</f>
        <v>3638862</v>
      </c>
      <c r="M6" s="24">
        <f>100*(K6-I6)/I6</f>
        <v>50</v>
      </c>
    </row>
    <row r="7" spans="2:16" ht="15.6" x14ac:dyDescent="0.3">
      <c r="B7" t="s">
        <v>169</v>
      </c>
      <c r="C7" s="24">
        <v>2</v>
      </c>
      <c r="D7" s="38">
        <v>59436</v>
      </c>
      <c r="E7" s="24">
        <f>D7*F7</f>
        <v>14977872</v>
      </c>
      <c r="F7" s="39">
        <v>252</v>
      </c>
      <c r="G7" s="26">
        <f>INT(Table115[[#This Row],[Shares  bought]]*0.5)</f>
        <v>126</v>
      </c>
      <c r="H7" s="24">
        <f>H6+F7+Table115[[#This Row],[Column1]]</f>
        <v>552</v>
      </c>
      <c r="I7" s="24">
        <f t="shared" ref="I7:I20" si="0">I6+E7</f>
        <v>22255596</v>
      </c>
      <c r="J7" s="24">
        <f t="shared" ref="J7:J20" si="1">I7/H7</f>
        <v>40318.108695652176</v>
      </c>
      <c r="K7" s="24">
        <f t="shared" ref="K7:K20" si="2">H7*D7</f>
        <v>32808672</v>
      </c>
      <c r="L7" s="24">
        <f t="shared" ref="L7:L20" si="3">K7-I7</f>
        <v>10553076</v>
      </c>
      <c r="M7" s="24">
        <f t="shared" ref="M7:M20" si="4">100*(K7-I7)/I7</f>
        <v>47.417629256030708</v>
      </c>
    </row>
    <row r="8" spans="2:16" ht="15.6" x14ac:dyDescent="0.3">
      <c r="B8" t="s">
        <v>170</v>
      </c>
      <c r="C8" s="26">
        <v>3</v>
      </c>
      <c r="D8" s="38">
        <v>31548</v>
      </c>
      <c r="E8" s="24">
        <f>D8*F8</f>
        <v>11704308</v>
      </c>
      <c r="F8" s="26">
        <v>371</v>
      </c>
      <c r="G8" s="26">
        <v>0</v>
      </c>
      <c r="H8" s="24">
        <f>H7+F8+Table115[[#This Row],[Column1]]</f>
        <v>923</v>
      </c>
      <c r="I8" s="24">
        <f t="shared" si="0"/>
        <v>33959904</v>
      </c>
      <c r="J8" s="26">
        <f t="shared" si="1"/>
        <v>36792.962080173347</v>
      </c>
      <c r="K8" s="26">
        <f t="shared" si="2"/>
        <v>29118804</v>
      </c>
      <c r="L8" s="26">
        <f t="shared" si="3"/>
        <v>-4841100</v>
      </c>
      <c r="M8" s="26">
        <f t="shared" si="4"/>
        <v>-14.255340651139649</v>
      </c>
      <c r="N8" s="66" t="s">
        <v>171</v>
      </c>
      <c r="O8" s="66"/>
      <c r="P8" s="66"/>
    </row>
    <row r="9" spans="2:16" ht="15.6" x14ac:dyDescent="0.3">
      <c r="B9" t="s">
        <v>184</v>
      </c>
      <c r="C9" s="26">
        <v>4</v>
      </c>
      <c r="D9" s="38">
        <v>31548</v>
      </c>
      <c r="E9" s="24">
        <v>0</v>
      </c>
      <c r="F9" s="26">
        <f>E9/D9</f>
        <v>0</v>
      </c>
      <c r="G9" s="26">
        <f>INT(Table115[[#This Row],[Shares  bought]]*0.5)</f>
        <v>0</v>
      </c>
      <c r="H9" s="24">
        <f>H8+F9+Table115[[#This Row],[Column1]]</f>
        <v>923</v>
      </c>
      <c r="I9" s="24">
        <f t="shared" si="0"/>
        <v>33959904</v>
      </c>
      <c r="J9" s="26">
        <f>I9/H9</f>
        <v>36792.962080173347</v>
      </c>
      <c r="K9" s="26">
        <f>H9*D9</f>
        <v>29118804</v>
      </c>
      <c r="L9" s="26">
        <f>K9-I9</f>
        <v>-4841100</v>
      </c>
      <c r="M9" s="26">
        <f>100*(K9-I9)/I9</f>
        <v>-14.255340651139649</v>
      </c>
      <c r="N9" s="44"/>
      <c r="O9" s="44"/>
      <c r="P9" s="44"/>
    </row>
    <row r="10" spans="2:16" ht="15.6" x14ac:dyDescent="0.3">
      <c r="B10" t="s">
        <v>172</v>
      </c>
      <c r="C10" s="26">
        <v>5</v>
      </c>
      <c r="D10" s="38">
        <v>32500</v>
      </c>
      <c r="E10" s="24">
        <f t="shared" ref="E10:E17" si="5">D10*F10</f>
        <v>20735000</v>
      </c>
      <c r="F10" s="26">
        <v>638</v>
      </c>
      <c r="G10" s="26">
        <v>0</v>
      </c>
      <c r="H10" s="24">
        <f>H8+F10+Table115[[#This Row],[Column1]]</f>
        <v>1561</v>
      </c>
      <c r="I10" s="24">
        <f>I8+E10</f>
        <v>54694904</v>
      </c>
      <c r="J10" s="26">
        <f t="shared" si="1"/>
        <v>35038.375400384371</v>
      </c>
      <c r="K10" s="26">
        <f t="shared" si="2"/>
        <v>50732500</v>
      </c>
      <c r="L10" s="26">
        <f t="shared" si="3"/>
        <v>-3962404</v>
      </c>
      <c r="M10" s="26">
        <f t="shared" si="4"/>
        <v>-7.2445579207891102</v>
      </c>
      <c r="N10" s="66" t="s">
        <v>173</v>
      </c>
      <c r="O10" s="66"/>
      <c r="P10" s="66"/>
    </row>
    <row r="11" spans="2:16" ht="15.6" x14ac:dyDescent="0.3">
      <c r="B11" t="s">
        <v>174</v>
      </c>
      <c r="C11" s="26">
        <v>6</v>
      </c>
      <c r="D11" s="38">
        <v>36730</v>
      </c>
      <c r="E11" s="24">
        <f t="shared" si="5"/>
        <v>11459760</v>
      </c>
      <c r="F11" s="26">
        <v>312</v>
      </c>
      <c r="G11" s="26">
        <v>0</v>
      </c>
      <c r="H11" s="24">
        <f>H10+F11+Table115[[#This Row],[Column1]]</f>
        <v>1873</v>
      </c>
      <c r="I11" s="24">
        <f t="shared" si="0"/>
        <v>66154664</v>
      </c>
      <c r="J11" s="26">
        <f t="shared" si="1"/>
        <v>35320.162306460224</v>
      </c>
      <c r="K11" s="26">
        <f t="shared" si="2"/>
        <v>68795290</v>
      </c>
      <c r="L11" s="26">
        <f t="shared" si="3"/>
        <v>2640626</v>
      </c>
      <c r="M11" s="26">
        <f t="shared" si="4"/>
        <v>3.9915946062397052</v>
      </c>
    </row>
    <row r="12" spans="2:16" ht="15.6" x14ac:dyDescent="0.3">
      <c r="B12" t="s">
        <v>175</v>
      </c>
      <c r="C12" s="26">
        <v>7</v>
      </c>
      <c r="D12" s="38">
        <v>30759</v>
      </c>
      <c r="E12" s="24">
        <f t="shared" si="5"/>
        <v>10827168</v>
      </c>
      <c r="F12" s="26">
        <v>352</v>
      </c>
      <c r="G12" s="26">
        <v>0</v>
      </c>
      <c r="H12" s="24">
        <f>H11+F12+Table115[[#This Row],[Column1]]</f>
        <v>2225</v>
      </c>
      <c r="I12" s="24">
        <f t="shared" si="0"/>
        <v>76981832</v>
      </c>
      <c r="J12" s="26">
        <f t="shared" si="1"/>
        <v>34598.576179775278</v>
      </c>
      <c r="K12" s="26">
        <f t="shared" si="2"/>
        <v>68438775</v>
      </c>
      <c r="L12" s="26">
        <f t="shared" si="3"/>
        <v>-8543057</v>
      </c>
      <c r="M12" s="26">
        <f t="shared" si="4"/>
        <v>-11.097497653732116</v>
      </c>
    </row>
    <row r="13" spans="2:16" ht="15.6" x14ac:dyDescent="0.3">
      <c r="B13" t="s">
        <v>176</v>
      </c>
      <c r="C13" s="26">
        <v>8</v>
      </c>
      <c r="D13" s="38">
        <v>25090</v>
      </c>
      <c r="E13" s="24">
        <f t="shared" si="5"/>
        <v>10663250</v>
      </c>
      <c r="F13" s="26">
        <v>425</v>
      </c>
      <c r="G13" s="26">
        <v>0</v>
      </c>
      <c r="H13" s="24">
        <f>H12+F13+Table115[[#This Row],[Column1]]</f>
        <v>2650</v>
      </c>
      <c r="I13" s="24">
        <f t="shared" si="0"/>
        <v>87645082</v>
      </c>
      <c r="J13" s="26">
        <f t="shared" si="1"/>
        <v>33073.615849056601</v>
      </c>
      <c r="K13" s="26">
        <f t="shared" si="2"/>
        <v>66488500</v>
      </c>
      <c r="L13" s="26">
        <f t="shared" si="3"/>
        <v>-21156582</v>
      </c>
      <c r="M13" s="26">
        <f t="shared" si="4"/>
        <v>-24.138926585749559</v>
      </c>
    </row>
    <row r="14" spans="2:16" ht="15.6" x14ac:dyDescent="0.3">
      <c r="B14" t="s">
        <v>177</v>
      </c>
      <c r="C14" s="26">
        <v>9</v>
      </c>
      <c r="D14" s="38">
        <v>21050</v>
      </c>
      <c r="E14" s="24">
        <f t="shared" si="5"/>
        <v>10967050</v>
      </c>
      <c r="F14" s="26">
        <v>521</v>
      </c>
      <c r="G14" s="26">
        <v>0</v>
      </c>
      <c r="H14" s="24">
        <f>H13+F14+Table115[[#This Row],[Column1]]</f>
        <v>3171</v>
      </c>
      <c r="I14" s="24">
        <f t="shared" si="0"/>
        <v>98612132</v>
      </c>
      <c r="J14" s="26">
        <f t="shared" si="1"/>
        <v>31098.117943866288</v>
      </c>
      <c r="K14" s="26">
        <f t="shared" si="2"/>
        <v>66749550</v>
      </c>
      <c r="L14" s="26">
        <f t="shared" si="3"/>
        <v>-31862582</v>
      </c>
      <c r="M14" s="26">
        <f t="shared" si="4"/>
        <v>-32.311016255079039</v>
      </c>
    </row>
    <row r="15" spans="2:16" ht="15.6" x14ac:dyDescent="0.3">
      <c r="B15" t="s">
        <v>178</v>
      </c>
      <c r="C15" s="26">
        <v>10</v>
      </c>
      <c r="D15" s="38">
        <v>17580</v>
      </c>
      <c r="E15" s="24">
        <f t="shared" si="5"/>
        <v>10565580</v>
      </c>
      <c r="F15" s="26">
        <v>601</v>
      </c>
      <c r="G15" s="26">
        <v>0</v>
      </c>
      <c r="H15" s="24">
        <f>H14+F15+Table115[[#This Row],[Column1]]</f>
        <v>3772</v>
      </c>
      <c r="I15" s="24">
        <f t="shared" si="0"/>
        <v>109177712</v>
      </c>
      <c r="J15" s="26">
        <f t="shared" si="1"/>
        <v>28944.250265111346</v>
      </c>
      <c r="K15" s="26">
        <f t="shared" si="2"/>
        <v>66311760</v>
      </c>
      <c r="L15" s="26">
        <f t="shared" si="3"/>
        <v>-42865952</v>
      </c>
      <c r="M15" s="26">
        <f t="shared" si="4"/>
        <v>-39.262548385333446</v>
      </c>
    </row>
    <row r="16" spans="2:16" ht="15.6" x14ac:dyDescent="0.3">
      <c r="B16" t="s">
        <v>179</v>
      </c>
      <c r="C16" s="26">
        <v>11</v>
      </c>
      <c r="D16" s="38">
        <v>13510</v>
      </c>
      <c r="E16" s="24">
        <f t="shared" si="5"/>
        <v>10672900</v>
      </c>
      <c r="F16" s="26">
        <v>790</v>
      </c>
      <c r="G16" s="26">
        <v>0</v>
      </c>
      <c r="H16" s="24">
        <f>H15+F16+Table115[[#This Row],[Column1]]</f>
        <v>4562</v>
      </c>
      <c r="I16" s="24">
        <f t="shared" si="0"/>
        <v>119850612</v>
      </c>
      <c r="J16" s="26">
        <f t="shared" si="1"/>
        <v>26271.506356861028</v>
      </c>
      <c r="K16" s="26">
        <f t="shared" si="2"/>
        <v>61632620</v>
      </c>
      <c r="L16" s="26">
        <f t="shared" si="3"/>
        <v>-58217992</v>
      </c>
      <c r="M16" s="26">
        <f t="shared" si="4"/>
        <v>-48.575464929624225</v>
      </c>
    </row>
    <row r="17" spans="2:13" ht="15.6" x14ac:dyDescent="0.3">
      <c r="B17" t="s">
        <v>180</v>
      </c>
      <c r="C17" s="29">
        <v>12</v>
      </c>
      <c r="D17" s="24">
        <v>14100</v>
      </c>
      <c r="E17" s="24">
        <f t="shared" si="5"/>
        <v>10969800</v>
      </c>
      <c r="F17" s="29">
        <v>778</v>
      </c>
      <c r="G17" s="29">
        <v>0</v>
      </c>
      <c r="H17" s="24">
        <f>H16+F17+Table115[[#This Row],[Column1]]</f>
        <v>5340</v>
      </c>
      <c r="I17" s="24">
        <f t="shared" si="0"/>
        <v>130820412</v>
      </c>
      <c r="J17" s="29">
        <f t="shared" si="1"/>
        <v>24498.204494382022</v>
      </c>
      <c r="K17" s="29">
        <f t="shared" si="2"/>
        <v>75294000</v>
      </c>
      <c r="L17" s="29">
        <f t="shared" si="3"/>
        <v>-55526412</v>
      </c>
      <c r="M17" s="29">
        <f t="shared" si="4"/>
        <v>-42.444761601882128</v>
      </c>
    </row>
    <row r="18" spans="2:13" ht="15.6" x14ac:dyDescent="0.3">
      <c r="C18" s="26">
        <v>13</v>
      </c>
      <c r="D18" s="24">
        <v>0</v>
      </c>
      <c r="E18" s="24">
        <v>0</v>
      </c>
      <c r="F18" s="26" t="e">
        <f>E18/D18</f>
        <v>#DIV/0!</v>
      </c>
      <c r="G18" s="26" t="e">
        <f>INT(Table115[[#This Row],[Shares  bought]]*0.5)</f>
        <v>#DIV/0!</v>
      </c>
      <c r="H18" s="24" t="e">
        <f>H17+F18+Table115[[#This Row],[Column1]]</f>
        <v>#DIV/0!</v>
      </c>
      <c r="I18" s="24">
        <f t="shared" si="0"/>
        <v>130820412</v>
      </c>
      <c r="J18" s="26" t="e">
        <f t="shared" si="1"/>
        <v>#DIV/0!</v>
      </c>
      <c r="K18" s="26" t="e">
        <f t="shared" si="2"/>
        <v>#DIV/0!</v>
      </c>
      <c r="L18" s="26" t="e">
        <f t="shared" si="3"/>
        <v>#DIV/0!</v>
      </c>
      <c r="M18" s="26" t="e">
        <f t="shared" si="4"/>
        <v>#DIV/0!</v>
      </c>
    </row>
    <row r="19" spans="2:13" ht="15.6" x14ac:dyDescent="0.3">
      <c r="C19" s="26">
        <v>14</v>
      </c>
      <c r="D19" s="24">
        <v>0</v>
      </c>
      <c r="E19" s="24">
        <v>0</v>
      </c>
      <c r="F19" s="26" t="e">
        <f>E19/D19</f>
        <v>#DIV/0!</v>
      </c>
      <c r="G19" s="26" t="e">
        <f>INT(Table115[[#This Row],[Shares  bought]]*0.5)</f>
        <v>#DIV/0!</v>
      </c>
      <c r="H19" s="24" t="e">
        <f>H18+F19+Table115[[#This Row],[Column1]]</f>
        <v>#DIV/0!</v>
      </c>
      <c r="I19" s="24">
        <f t="shared" si="0"/>
        <v>130820412</v>
      </c>
      <c r="J19" s="26" t="e">
        <f t="shared" si="1"/>
        <v>#DIV/0!</v>
      </c>
      <c r="K19" s="26" t="e">
        <f t="shared" si="2"/>
        <v>#DIV/0!</v>
      </c>
      <c r="L19" s="26" t="e">
        <f t="shared" si="3"/>
        <v>#DIV/0!</v>
      </c>
      <c r="M19" s="26" t="e">
        <f t="shared" si="4"/>
        <v>#DIV/0!</v>
      </c>
    </row>
    <row r="20" spans="2:13" ht="15.6" x14ac:dyDescent="0.3">
      <c r="C20" s="26">
        <v>15</v>
      </c>
      <c r="D20" s="24">
        <v>0</v>
      </c>
      <c r="E20" s="24">
        <v>0</v>
      </c>
      <c r="F20" s="26" t="e">
        <f>E20/D20</f>
        <v>#DIV/0!</v>
      </c>
      <c r="G20" s="26" t="e">
        <f>INT(Table115[[#This Row],[Shares  bought]]*0.5)</f>
        <v>#DIV/0!</v>
      </c>
      <c r="H20" s="24" t="e">
        <f>H19+F20+Table115[[#This Row],[Column1]]</f>
        <v>#DIV/0!</v>
      </c>
      <c r="I20" s="24">
        <f t="shared" si="0"/>
        <v>130820412</v>
      </c>
      <c r="J20" s="26" t="e">
        <f t="shared" si="1"/>
        <v>#DIV/0!</v>
      </c>
      <c r="K20" s="26" t="e">
        <f t="shared" si="2"/>
        <v>#DIV/0!</v>
      </c>
      <c r="L20" s="26" t="e">
        <f t="shared" si="3"/>
        <v>#DIV/0!</v>
      </c>
      <c r="M20" s="26" t="e">
        <f t="shared" si="4"/>
        <v>#DIV/0!</v>
      </c>
    </row>
  </sheetData>
  <mergeCells count="2">
    <mergeCell ref="N8:P8"/>
    <mergeCell ref="N10:P10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>
      <selection activeCell="H24" sqref="H24"/>
    </sheetView>
  </sheetViews>
  <sheetFormatPr defaultRowHeight="14.4" x14ac:dyDescent="0.3"/>
  <cols>
    <col min="2" max="2" width="14.6640625" bestFit="1" customWidth="1"/>
    <col min="4" max="5" width="13.109375" customWidth="1"/>
    <col min="6" max="6" width="12" customWidth="1"/>
    <col min="7" max="7" width="16" customWidth="1"/>
    <col min="8" max="8" width="16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2" spans="2:14" ht="31.2" x14ac:dyDescent="0.6">
      <c r="H2" s="18"/>
    </row>
    <row r="4" spans="2:14" ht="15.6" x14ac:dyDescent="0.3">
      <c r="B4" s="19" t="s">
        <v>136</v>
      </c>
      <c r="C4" s="19" t="s">
        <v>137</v>
      </c>
      <c r="D4" s="19" t="s">
        <v>138</v>
      </c>
      <c r="E4" s="19" t="s">
        <v>139</v>
      </c>
      <c r="F4" s="19" t="s">
        <v>140</v>
      </c>
      <c r="G4" s="19" t="s">
        <v>188</v>
      </c>
      <c r="H4" s="19" t="s">
        <v>141</v>
      </c>
      <c r="I4" s="19" t="s">
        <v>122</v>
      </c>
      <c r="J4" s="19" t="s">
        <v>142</v>
      </c>
      <c r="K4" s="19" t="s">
        <v>143</v>
      </c>
      <c r="L4" s="19" t="s">
        <v>123</v>
      </c>
      <c r="M4" s="19" t="s">
        <v>144</v>
      </c>
    </row>
    <row r="5" spans="2:14" ht="16.2" thickBot="1" x14ac:dyDescent="0.35">
      <c r="B5" s="20" t="s">
        <v>146</v>
      </c>
      <c r="C5" s="21" t="s">
        <v>147</v>
      </c>
      <c r="D5" s="21" t="s">
        <v>148</v>
      </c>
      <c r="E5" s="21" t="s">
        <v>149</v>
      </c>
      <c r="F5" s="21" t="s">
        <v>150</v>
      </c>
      <c r="G5" s="21" t="s">
        <v>157</v>
      </c>
      <c r="H5" s="21" t="s">
        <v>151</v>
      </c>
      <c r="I5" s="21" t="s">
        <v>152</v>
      </c>
      <c r="J5" s="21" t="s">
        <v>153</v>
      </c>
      <c r="K5" s="21" t="s">
        <v>154</v>
      </c>
      <c r="L5" s="21" t="s">
        <v>155</v>
      </c>
      <c r="M5" s="21" t="s">
        <v>156</v>
      </c>
    </row>
    <row r="6" spans="2:14" ht="15.6" x14ac:dyDescent="0.3">
      <c r="B6" t="s">
        <v>168</v>
      </c>
      <c r="C6" s="24">
        <v>1</v>
      </c>
      <c r="D6" s="38">
        <v>90490</v>
      </c>
      <c r="E6" s="24">
        <f>D6*F6</f>
        <v>7691650</v>
      </c>
      <c r="F6" s="24">
        <v>85</v>
      </c>
      <c r="G6" s="24">
        <f>INT(Table114[[#This Row],[Shares  bought]]*0.5)</f>
        <v>42</v>
      </c>
      <c r="H6" s="24">
        <f>Table114[[#This Row],[Shares  bought]]+Table114[[#This Row],[Column1]]</f>
        <v>127</v>
      </c>
      <c r="I6" s="24">
        <v>7691650</v>
      </c>
      <c r="J6" s="24">
        <f>I6/H6</f>
        <v>60564.173228346459</v>
      </c>
      <c r="K6" s="24">
        <f>H6*D6</f>
        <v>11492230</v>
      </c>
      <c r="L6" s="24">
        <f>K6-I6</f>
        <v>3800580</v>
      </c>
      <c r="M6" s="24">
        <f>100*(K6-I6)/I6</f>
        <v>49.411764705882355</v>
      </c>
    </row>
    <row r="7" spans="2:14" ht="15.6" x14ac:dyDescent="0.3">
      <c r="B7" t="s">
        <v>169</v>
      </c>
      <c r="C7" s="24">
        <v>2</v>
      </c>
      <c r="D7" s="38">
        <v>83490</v>
      </c>
      <c r="E7" s="24">
        <f>D7*F7</f>
        <v>14861220</v>
      </c>
      <c r="F7" s="24">
        <v>178</v>
      </c>
      <c r="G7" s="24">
        <f>INT(Table114[[#This Row],[Shares  bought]]*0.5)</f>
        <v>89</v>
      </c>
      <c r="H7" s="24">
        <f>H6+F7+Table114[[#This Row],[Column1]]</f>
        <v>394</v>
      </c>
      <c r="I7" s="24">
        <f t="shared" ref="I7:I19" si="0">I6+E7</f>
        <v>22552870</v>
      </c>
      <c r="J7" s="24">
        <f t="shared" ref="J7:J19" si="1">I7/H7</f>
        <v>57240.78680203046</v>
      </c>
      <c r="K7" s="24">
        <f t="shared" ref="K7:K19" si="2">H7*D7</f>
        <v>32895060</v>
      </c>
      <c r="L7" s="24">
        <f t="shared" ref="L7:L19" si="3">K7-I7</f>
        <v>10342190</v>
      </c>
      <c r="M7" s="24">
        <f t="shared" ref="M7:M19" si="4">100*(K7-I7)/I7</f>
        <v>45.857533874846084</v>
      </c>
    </row>
    <row r="8" spans="2:14" ht="15.6" x14ac:dyDescent="0.3">
      <c r="B8" t="s">
        <v>183</v>
      </c>
      <c r="C8" s="26">
        <v>3</v>
      </c>
      <c r="D8" s="38">
        <v>76810</v>
      </c>
      <c r="E8" s="24">
        <f>D8*F8</f>
        <v>11367880</v>
      </c>
      <c r="F8" s="26">
        <v>148</v>
      </c>
      <c r="G8" s="24">
        <f>INT(Table114[[#This Row],[Shares  bought]]*0.5)</f>
        <v>74</v>
      </c>
      <c r="H8" s="24">
        <f>H7+F8+Table114[[#This Row],[Column1]]</f>
        <v>616</v>
      </c>
      <c r="I8" s="24">
        <f t="shared" si="0"/>
        <v>33920750</v>
      </c>
      <c r="J8" s="26">
        <f t="shared" si="1"/>
        <v>55066.152597402601</v>
      </c>
      <c r="K8" s="26">
        <f t="shared" si="2"/>
        <v>47314960</v>
      </c>
      <c r="L8" s="26">
        <f t="shared" si="3"/>
        <v>13394210</v>
      </c>
      <c r="M8" s="26">
        <f t="shared" si="4"/>
        <v>39.486774319553668</v>
      </c>
    </row>
    <row r="9" spans="2:14" ht="15.6" x14ac:dyDescent="0.3">
      <c r="B9" t="s">
        <v>184</v>
      </c>
      <c r="C9" s="26">
        <v>4</v>
      </c>
      <c r="D9" s="38">
        <v>85549</v>
      </c>
      <c r="E9" s="24">
        <f>D9*F9</f>
        <v>10950272</v>
      </c>
      <c r="F9" s="26">
        <v>128</v>
      </c>
      <c r="G9" s="24">
        <f>INT(Table114[[#This Row],[Shares  bought]]*0.5)</f>
        <v>64</v>
      </c>
      <c r="H9" s="24">
        <f>H8+F9+Table114[[#This Row],[Column1]]</f>
        <v>808</v>
      </c>
      <c r="I9" s="24">
        <f t="shared" si="0"/>
        <v>44871022</v>
      </c>
      <c r="J9" s="26">
        <f t="shared" si="1"/>
        <v>55533.44306930693</v>
      </c>
      <c r="K9" s="26">
        <f t="shared" si="2"/>
        <v>69123592</v>
      </c>
      <c r="L9" s="26">
        <f t="shared" si="3"/>
        <v>24252570</v>
      </c>
      <c r="M9" s="26">
        <f t="shared" si="4"/>
        <v>54.04951552028389</v>
      </c>
    </row>
    <row r="10" spans="2:14" ht="15.6" x14ac:dyDescent="0.3">
      <c r="B10" t="s">
        <v>172</v>
      </c>
      <c r="C10" s="26">
        <v>5</v>
      </c>
      <c r="D10" s="38">
        <v>90270</v>
      </c>
      <c r="E10" s="24">
        <f t="shared" ref="E10:E17" si="5">D10*F10</f>
        <v>10381050</v>
      </c>
      <c r="F10" s="26">
        <v>115</v>
      </c>
      <c r="G10" s="24">
        <f>INT(Table114[[#This Row],[Shares  bought]]*0.5)</f>
        <v>57</v>
      </c>
      <c r="H10" s="24">
        <f>H9+F10+Table114[[#This Row],[Column1]]</f>
        <v>980</v>
      </c>
      <c r="I10" s="24">
        <f t="shared" si="0"/>
        <v>55252072</v>
      </c>
      <c r="J10" s="26">
        <f t="shared" si="1"/>
        <v>56379.66530612245</v>
      </c>
      <c r="K10" s="26">
        <f t="shared" si="2"/>
        <v>88464600</v>
      </c>
      <c r="L10" s="26">
        <f t="shared" si="3"/>
        <v>33212528</v>
      </c>
      <c r="M10" s="26">
        <f t="shared" si="4"/>
        <v>60.110918555235358</v>
      </c>
    </row>
    <row r="11" spans="2:14" ht="15.6" x14ac:dyDescent="0.3">
      <c r="B11" t="s">
        <v>174</v>
      </c>
      <c r="C11" s="26">
        <v>6</v>
      </c>
      <c r="D11" s="38">
        <v>117260</v>
      </c>
      <c r="E11" s="24">
        <f t="shared" si="5"/>
        <v>11491480</v>
      </c>
      <c r="F11" s="26">
        <v>98</v>
      </c>
      <c r="G11" s="24">
        <f>INT(Table114[[#This Row],[Shares  bought]]*0.5)</f>
        <v>49</v>
      </c>
      <c r="H11" s="24">
        <f>H10+F11+Table114[[#This Row],[Column1]]</f>
        <v>1127</v>
      </c>
      <c r="I11" s="24">
        <f t="shared" si="0"/>
        <v>66743552</v>
      </c>
      <c r="J11" s="26">
        <f t="shared" si="1"/>
        <v>59222.317657497784</v>
      </c>
      <c r="K11" s="26">
        <f t="shared" si="2"/>
        <v>132152020</v>
      </c>
      <c r="L11" s="26">
        <f t="shared" si="3"/>
        <v>65408468</v>
      </c>
      <c r="M11" s="26">
        <f t="shared" si="4"/>
        <v>97.999680927979384</v>
      </c>
    </row>
    <row r="12" spans="2:14" ht="15.6" x14ac:dyDescent="0.3">
      <c r="B12" t="s">
        <v>175</v>
      </c>
      <c r="C12" s="26">
        <v>7</v>
      </c>
      <c r="D12" s="38">
        <v>108100</v>
      </c>
      <c r="E12" s="24">
        <f t="shared" si="5"/>
        <v>10918100</v>
      </c>
      <c r="F12" s="26">
        <v>101</v>
      </c>
      <c r="G12" s="24">
        <f>INT(Table114[[#This Row],[Shares  bought]]*0.5)</f>
        <v>50</v>
      </c>
      <c r="H12" s="24">
        <f>H11+F12+Table114[[#This Row],[Column1]]</f>
        <v>1278</v>
      </c>
      <c r="I12" s="24">
        <f t="shared" si="0"/>
        <v>77661652</v>
      </c>
      <c r="J12" s="26">
        <f t="shared" si="1"/>
        <v>60768.115805946793</v>
      </c>
      <c r="K12" s="26">
        <f t="shared" si="2"/>
        <v>138151800</v>
      </c>
      <c r="L12" s="26">
        <f t="shared" si="3"/>
        <v>60490148</v>
      </c>
      <c r="M12" s="26">
        <f t="shared" si="4"/>
        <v>77.889339773508809</v>
      </c>
    </row>
    <row r="13" spans="2:14" ht="15.6" x14ac:dyDescent="0.3">
      <c r="B13" t="s">
        <v>176</v>
      </c>
      <c r="C13" s="26">
        <v>8</v>
      </c>
      <c r="D13" s="38">
        <v>108250</v>
      </c>
      <c r="E13" s="24">
        <f t="shared" si="5"/>
        <v>10716750</v>
      </c>
      <c r="F13" s="26">
        <v>99</v>
      </c>
      <c r="G13" s="24">
        <f>INT(Table114[[#This Row],[Shares  bought]]*0.5)</f>
        <v>49</v>
      </c>
      <c r="H13" s="24">
        <f>H12+F13+Table114[[#This Row],[Column1]]</f>
        <v>1426</v>
      </c>
      <c r="I13" s="24">
        <f t="shared" si="0"/>
        <v>88378402</v>
      </c>
      <c r="J13" s="26">
        <f t="shared" si="1"/>
        <v>61976.438990182331</v>
      </c>
      <c r="K13" s="26">
        <f t="shared" si="2"/>
        <v>154364500</v>
      </c>
      <c r="L13" s="26">
        <f t="shared" si="3"/>
        <v>65986098</v>
      </c>
      <c r="M13" s="26">
        <f t="shared" si="4"/>
        <v>74.663149034987072</v>
      </c>
    </row>
    <row r="14" spans="2:14" ht="15.6" x14ac:dyDescent="0.3">
      <c r="B14" t="s">
        <v>177</v>
      </c>
      <c r="C14" s="26">
        <v>9</v>
      </c>
      <c r="D14" s="38">
        <v>113000</v>
      </c>
      <c r="E14" s="24">
        <f t="shared" si="5"/>
        <v>10961000</v>
      </c>
      <c r="F14" s="26">
        <v>97</v>
      </c>
      <c r="G14" s="24">
        <f>INT(Table114[[#This Row],[Shares  bought]]*0.5)</f>
        <v>48</v>
      </c>
      <c r="H14" s="24">
        <f>H13+F14+Table114[[#This Row],[Column1]]</f>
        <v>1571</v>
      </c>
      <c r="I14" s="24">
        <f t="shared" si="0"/>
        <v>99339402</v>
      </c>
      <c r="J14" s="26">
        <f t="shared" si="1"/>
        <v>63233.228516868236</v>
      </c>
      <c r="K14" s="26">
        <f t="shared" si="2"/>
        <v>177523000</v>
      </c>
      <c r="L14" s="26">
        <f t="shared" si="3"/>
        <v>78183598</v>
      </c>
      <c r="M14" s="26">
        <f t="shared" si="4"/>
        <v>78.703511825046021</v>
      </c>
    </row>
    <row r="15" spans="2:14" ht="15.6" x14ac:dyDescent="0.3">
      <c r="B15" t="s">
        <v>178</v>
      </c>
      <c r="C15" s="26">
        <v>10</v>
      </c>
      <c r="D15" s="38">
        <v>110800</v>
      </c>
      <c r="E15" s="24">
        <f t="shared" si="5"/>
        <v>10636800</v>
      </c>
      <c r="F15" s="26">
        <v>96</v>
      </c>
      <c r="G15" s="24">
        <f>INT(Table114[[#This Row],[Shares  bought]]*0.5)</f>
        <v>48</v>
      </c>
      <c r="H15" s="24">
        <f>H14+F15+Table114[[#This Row],[Column1]]</f>
        <v>1715</v>
      </c>
      <c r="I15" s="24">
        <f t="shared" si="0"/>
        <v>109976202</v>
      </c>
      <c r="J15" s="26">
        <f t="shared" si="1"/>
        <v>64126.065306122451</v>
      </c>
      <c r="K15" s="26">
        <f t="shared" si="2"/>
        <v>190022000</v>
      </c>
      <c r="L15" s="26">
        <f t="shared" si="3"/>
        <v>80045798</v>
      </c>
      <c r="M15" s="26">
        <f t="shared" si="4"/>
        <v>72.784653901759583</v>
      </c>
    </row>
    <row r="16" spans="2:14" ht="15.6" x14ac:dyDescent="0.3">
      <c r="B16" s="40" t="s">
        <v>185</v>
      </c>
      <c r="C16" s="41">
        <v>11</v>
      </c>
      <c r="D16" s="42">
        <v>69500</v>
      </c>
      <c r="E16" s="39">
        <f t="shared" si="5"/>
        <v>10633500</v>
      </c>
      <c r="F16" s="41">
        <v>153</v>
      </c>
      <c r="G16" s="41">
        <v>0</v>
      </c>
      <c r="H16" s="24">
        <f>H15+F16+Table114[[#This Row],[Column1]]</f>
        <v>1868</v>
      </c>
      <c r="I16" s="39">
        <f t="shared" si="0"/>
        <v>120609702</v>
      </c>
      <c r="J16" s="41">
        <f t="shared" si="1"/>
        <v>64566.221627408995</v>
      </c>
      <c r="K16" s="41">
        <f t="shared" si="2"/>
        <v>129826000</v>
      </c>
      <c r="L16" s="41">
        <f t="shared" si="3"/>
        <v>9216298</v>
      </c>
      <c r="M16" s="41">
        <f t="shared" si="4"/>
        <v>7.641423407214786</v>
      </c>
      <c r="N16" s="40"/>
    </row>
    <row r="17" spans="2:13" ht="15.6" x14ac:dyDescent="0.3">
      <c r="B17" t="s">
        <v>180</v>
      </c>
      <c r="C17" s="26">
        <v>12</v>
      </c>
      <c r="D17" s="38">
        <v>71050</v>
      </c>
      <c r="E17" s="39">
        <f t="shared" si="5"/>
        <v>11012750</v>
      </c>
      <c r="F17" s="26">
        <v>155</v>
      </c>
      <c r="G17" s="26">
        <v>0</v>
      </c>
      <c r="H17" s="24">
        <f>H16+F17+Table114[[#This Row],[Column1]]</f>
        <v>2023</v>
      </c>
      <c r="I17" s="24">
        <f t="shared" si="0"/>
        <v>131622452</v>
      </c>
      <c r="J17" s="26">
        <f t="shared" si="1"/>
        <v>65063.001482946122</v>
      </c>
      <c r="K17" s="26">
        <f t="shared" si="2"/>
        <v>143734150</v>
      </c>
      <c r="L17" s="26">
        <f t="shared" si="3"/>
        <v>12111698</v>
      </c>
      <c r="M17" s="26">
        <f t="shared" si="4"/>
        <v>9.2018480251378385</v>
      </c>
    </row>
    <row r="18" spans="2:13" ht="15.6" x14ac:dyDescent="0.3">
      <c r="C18" s="26">
        <v>13</v>
      </c>
      <c r="D18" s="24">
        <v>0</v>
      </c>
      <c r="E18" s="24">
        <v>0</v>
      </c>
      <c r="F18" s="26" t="e">
        <f>E18/D18</f>
        <v>#DIV/0!</v>
      </c>
      <c r="G18" s="26">
        <v>0</v>
      </c>
      <c r="H18" s="24" t="e">
        <f>H17+F18+Table114[[#This Row],[Column1]]</f>
        <v>#DIV/0!</v>
      </c>
      <c r="I18" s="24">
        <f t="shared" si="0"/>
        <v>131622452</v>
      </c>
      <c r="J18" s="26" t="e">
        <f t="shared" si="1"/>
        <v>#DIV/0!</v>
      </c>
      <c r="K18" s="26" t="e">
        <f t="shared" si="2"/>
        <v>#DIV/0!</v>
      </c>
      <c r="L18" s="26" t="e">
        <f t="shared" si="3"/>
        <v>#DIV/0!</v>
      </c>
      <c r="M18" s="26" t="e">
        <f t="shared" si="4"/>
        <v>#DIV/0!</v>
      </c>
    </row>
    <row r="19" spans="2:13" ht="15.6" x14ac:dyDescent="0.3">
      <c r="C19" s="26">
        <v>14</v>
      </c>
      <c r="D19" s="24">
        <v>0</v>
      </c>
      <c r="E19" s="24">
        <v>0</v>
      </c>
      <c r="F19" s="26" t="e">
        <f>E19/D19</f>
        <v>#DIV/0!</v>
      </c>
      <c r="G19" s="26">
        <v>0</v>
      </c>
      <c r="H19" s="24" t="e">
        <f>H18+F19+Table114[[#This Row],[Column1]]</f>
        <v>#DIV/0!</v>
      </c>
      <c r="I19" s="24">
        <f t="shared" si="0"/>
        <v>131622452</v>
      </c>
      <c r="J19" s="26" t="e">
        <f t="shared" si="1"/>
        <v>#DIV/0!</v>
      </c>
      <c r="K19" s="26" t="e">
        <f t="shared" si="2"/>
        <v>#DIV/0!</v>
      </c>
      <c r="L19" s="26" t="e">
        <f t="shared" si="3"/>
        <v>#DIV/0!</v>
      </c>
      <c r="M19" s="26" t="e">
        <f t="shared" si="4"/>
        <v>#DIV/0!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zoomScale="90" zoomScaleNormal="90" workbookViewId="0">
      <selection activeCell="I9" sqref="I9:I10"/>
    </sheetView>
  </sheetViews>
  <sheetFormatPr defaultRowHeight="14.4" x14ac:dyDescent="0.3"/>
  <cols>
    <col min="2" max="2" width="14.6640625" bestFit="1" customWidth="1"/>
    <col min="4" max="5" width="13.109375" customWidth="1"/>
    <col min="6" max="7" width="15.33203125" customWidth="1"/>
    <col min="8" max="8" width="18.6640625" bestFit="1" customWidth="1"/>
    <col min="9" max="9" width="22.21875" customWidth="1"/>
    <col min="10" max="10" width="25.109375" customWidth="1"/>
    <col min="11" max="11" width="19.21875" customWidth="1"/>
    <col min="12" max="12" width="17.6640625" customWidth="1"/>
    <col min="13" max="14" width="15.88671875" customWidth="1"/>
  </cols>
  <sheetData>
    <row r="2" spans="1:14" ht="31.2" x14ac:dyDescent="0.6">
      <c r="H2" s="18"/>
    </row>
    <row r="4" spans="1:14" ht="15.6" x14ac:dyDescent="0.3">
      <c r="B4" s="19" t="s">
        <v>136</v>
      </c>
      <c r="C4" s="19" t="s">
        <v>137</v>
      </c>
      <c r="D4" s="19" t="s">
        <v>138</v>
      </c>
      <c r="E4" s="19" t="s">
        <v>139</v>
      </c>
      <c r="F4" s="19" t="s">
        <v>140</v>
      </c>
      <c r="G4" s="19" t="s">
        <v>188</v>
      </c>
      <c r="H4" s="19" t="s">
        <v>141</v>
      </c>
      <c r="I4" s="19" t="s">
        <v>122</v>
      </c>
      <c r="J4" s="19" t="s">
        <v>142</v>
      </c>
      <c r="K4" s="19" t="s">
        <v>143</v>
      </c>
      <c r="L4" s="19" t="s">
        <v>123</v>
      </c>
      <c r="M4" s="19" t="s">
        <v>144</v>
      </c>
    </row>
    <row r="5" spans="1:14" ht="16.2" thickBot="1" x14ac:dyDescent="0.35">
      <c r="B5" s="20" t="s">
        <v>146</v>
      </c>
      <c r="C5" s="21" t="s">
        <v>147</v>
      </c>
      <c r="D5" s="21" t="s">
        <v>148</v>
      </c>
      <c r="E5" s="21" t="s">
        <v>149</v>
      </c>
      <c r="F5" s="21" t="s">
        <v>150</v>
      </c>
      <c r="G5" s="21" t="s">
        <v>157</v>
      </c>
      <c r="H5" s="21" t="s">
        <v>151</v>
      </c>
      <c r="I5" s="21" t="s">
        <v>152</v>
      </c>
      <c r="J5" s="21" t="s">
        <v>153</v>
      </c>
      <c r="K5" s="21" t="s">
        <v>154</v>
      </c>
      <c r="L5" s="21" t="s">
        <v>155</v>
      </c>
      <c r="M5" s="21" t="s">
        <v>156</v>
      </c>
    </row>
    <row r="6" spans="1:14" ht="15.6" x14ac:dyDescent="0.3">
      <c r="B6" t="s">
        <v>168</v>
      </c>
      <c r="C6" s="24">
        <v>1</v>
      </c>
      <c r="D6" s="38">
        <v>12970</v>
      </c>
      <c r="E6" s="24">
        <f t="shared" ref="E6:E17" si="0">D6*F6</f>
        <v>7561510</v>
      </c>
      <c r="F6" s="24">
        <v>583</v>
      </c>
      <c r="G6" s="24">
        <f>INT(Table113[[#This Row],[Shares  bought]]*1)</f>
        <v>583</v>
      </c>
      <c r="H6" s="24">
        <f>Table113[[#This Row],[Shares  bought]]+Table113[[#This Row],[Column1]]</f>
        <v>1166</v>
      </c>
      <c r="I6" s="24">
        <v>7561510</v>
      </c>
      <c r="J6" s="24">
        <f>I6/H6</f>
        <v>6485</v>
      </c>
      <c r="K6" s="24">
        <f>H6*D6</f>
        <v>15123020</v>
      </c>
      <c r="L6" s="24">
        <f>K6-I6</f>
        <v>7561510</v>
      </c>
      <c r="M6" s="24">
        <f>100*(K6-I6)/I6</f>
        <v>100</v>
      </c>
    </row>
    <row r="7" spans="1:14" ht="15.6" x14ac:dyDescent="0.3">
      <c r="B7" t="s">
        <v>169</v>
      </c>
      <c r="C7" s="24">
        <v>2</v>
      </c>
      <c r="D7" s="38">
        <v>11020</v>
      </c>
      <c r="E7" s="24">
        <f t="shared" si="0"/>
        <v>14932100</v>
      </c>
      <c r="F7" s="24">
        <v>1355</v>
      </c>
      <c r="G7" s="24">
        <f>INT(Table113[[#This Row],[Shares  bought]]*1)</f>
        <v>1355</v>
      </c>
      <c r="H7" s="24">
        <f>H6+F7+Table113[[#This Row],[Column1]]</f>
        <v>3876</v>
      </c>
      <c r="I7" s="24">
        <f t="shared" ref="I7:I20" si="1">I6+E7</f>
        <v>22493610</v>
      </c>
      <c r="J7" s="24">
        <f t="shared" ref="J7:J20" si="2">I7/H7</f>
        <v>5803.3049535603714</v>
      </c>
      <c r="K7" s="24">
        <f t="shared" ref="K7:K20" si="3">H7*D7</f>
        <v>42713520</v>
      </c>
      <c r="L7" s="24">
        <f t="shared" ref="L7:L20" si="4">K7-I7</f>
        <v>20219910</v>
      </c>
      <c r="M7" s="24">
        <f t="shared" ref="M7:M20" si="5">100*(K7-I7)/I7</f>
        <v>89.891795936712697</v>
      </c>
    </row>
    <row r="8" spans="1:14" ht="15.6" x14ac:dyDescent="0.3">
      <c r="A8" s="43"/>
      <c r="B8" t="s">
        <v>183</v>
      </c>
      <c r="C8" s="26">
        <v>3</v>
      </c>
      <c r="D8" s="38">
        <v>11760</v>
      </c>
      <c r="E8" s="24">
        <f t="shared" si="0"/>
        <v>11336640</v>
      </c>
      <c r="F8" s="26">
        <v>964</v>
      </c>
      <c r="G8" s="24">
        <f>INT(Table113[[#This Row],[Shares  bought]]*1)</f>
        <v>964</v>
      </c>
      <c r="H8" s="24">
        <f>H7+F8+Table113[[#This Row],[Column1]]</f>
        <v>5804</v>
      </c>
      <c r="I8" s="24">
        <f t="shared" si="1"/>
        <v>33830250</v>
      </c>
      <c r="J8" s="26">
        <f t="shared" si="2"/>
        <v>5828.781874569263</v>
      </c>
      <c r="K8" s="26">
        <f t="shared" si="3"/>
        <v>68255040</v>
      </c>
      <c r="L8" s="26">
        <f t="shared" si="4"/>
        <v>34424790</v>
      </c>
      <c r="M8" s="26">
        <f t="shared" si="5"/>
        <v>101.75742124282262</v>
      </c>
    </row>
    <row r="9" spans="1:14" ht="15.6" x14ac:dyDescent="0.3">
      <c r="A9" s="43"/>
      <c r="B9" t="s">
        <v>184</v>
      </c>
      <c r="C9" s="26">
        <v>4</v>
      </c>
      <c r="D9" s="24">
        <v>12520</v>
      </c>
      <c r="E9" s="24">
        <f t="shared" si="0"/>
        <v>21935040</v>
      </c>
      <c r="F9" s="35">
        <v>1752</v>
      </c>
      <c r="G9" s="24">
        <f>INT(Table113[[#This Row],[Shares  bought]]*1)</f>
        <v>1752</v>
      </c>
      <c r="H9" s="24">
        <f>H8+F9+Table113[[#This Row],[Column1]]</f>
        <v>9308</v>
      </c>
      <c r="I9" s="24">
        <f>I8+E9</f>
        <v>55765290</v>
      </c>
      <c r="J9" s="26">
        <f t="shared" si="2"/>
        <v>5991.1140954018047</v>
      </c>
      <c r="K9" s="26">
        <f t="shared" si="3"/>
        <v>116536160</v>
      </c>
      <c r="L9" s="26">
        <f t="shared" si="4"/>
        <v>60770870</v>
      </c>
      <c r="M9" s="26">
        <f t="shared" si="5"/>
        <v>108.97615703244796</v>
      </c>
    </row>
    <row r="10" spans="1:14" ht="15.6" x14ac:dyDescent="0.3">
      <c r="A10" s="43"/>
      <c r="B10" t="s">
        <v>172</v>
      </c>
      <c r="C10" s="26">
        <v>5</v>
      </c>
      <c r="D10" s="24">
        <v>12520</v>
      </c>
      <c r="E10" s="24">
        <v>0</v>
      </c>
      <c r="F10" s="26">
        <f>E10/D10</f>
        <v>0</v>
      </c>
      <c r="G10" s="24">
        <f>INT(Table113[[#This Row],[Shares  bought]]*1)</f>
        <v>0</v>
      </c>
      <c r="H10" s="24">
        <f>H9+F10+Table113[[#This Row],[Column1]]</f>
        <v>9308</v>
      </c>
      <c r="I10" s="24">
        <f>I9+E10</f>
        <v>55765290</v>
      </c>
      <c r="J10" s="26">
        <f>I10/H10</f>
        <v>5991.1140954018047</v>
      </c>
      <c r="K10" s="26">
        <f>H10*D10</f>
        <v>116536160</v>
      </c>
      <c r="L10" s="26">
        <f>K10-I10</f>
        <v>60770870</v>
      </c>
      <c r="M10" s="26">
        <f>100*(K10-I10)/I10</f>
        <v>108.97615703244796</v>
      </c>
    </row>
    <row r="11" spans="1:14" ht="15.6" x14ac:dyDescent="0.3">
      <c r="B11" t="s">
        <v>174</v>
      </c>
      <c r="C11" s="26">
        <v>6</v>
      </c>
      <c r="D11" s="38">
        <v>14500</v>
      </c>
      <c r="E11" s="24">
        <f t="shared" si="0"/>
        <v>11469500</v>
      </c>
      <c r="F11" s="26">
        <v>791</v>
      </c>
      <c r="G11" s="24">
        <f>INT(Table113[[#This Row],[Shares  bought]]*1)</f>
        <v>791</v>
      </c>
      <c r="H11" s="24">
        <f>H9+F11+Table113[[#This Row],[Column1]]</f>
        <v>10890</v>
      </c>
      <c r="I11" s="24">
        <f>I9+E11</f>
        <v>67234790</v>
      </c>
      <c r="J11" s="26">
        <f t="shared" si="2"/>
        <v>6173.9935720844815</v>
      </c>
      <c r="K11" s="26">
        <f t="shared" si="3"/>
        <v>157905000</v>
      </c>
      <c r="L11" s="26">
        <f t="shared" si="4"/>
        <v>90670210</v>
      </c>
      <c r="M11" s="26">
        <f t="shared" si="5"/>
        <v>134.85609161566504</v>
      </c>
    </row>
    <row r="12" spans="1:14" ht="15.6" x14ac:dyDescent="0.3">
      <c r="B12" t="s">
        <v>175</v>
      </c>
      <c r="C12" s="26">
        <v>7</v>
      </c>
      <c r="D12" s="38">
        <v>13060</v>
      </c>
      <c r="E12" s="24">
        <f t="shared" si="0"/>
        <v>10813680</v>
      </c>
      <c r="F12" s="26">
        <v>828</v>
      </c>
      <c r="G12" s="24">
        <f>INT(Table113[[#This Row],[Shares  bought]]*1)</f>
        <v>828</v>
      </c>
      <c r="H12" s="24">
        <f>H11+F12+Table113[[#This Row],[Column1]]</f>
        <v>12546</v>
      </c>
      <c r="I12" s="24">
        <f t="shared" si="1"/>
        <v>78048470</v>
      </c>
      <c r="J12" s="26">
        <f t="shared" si="2"/>
        <v>6220.984377490834</v>
      </c>
      <c r="K12" s="26">
        <f t="shared" si="3"/>
        <v>163850760</v>
      </c>
      <c r="L12" s="26">
        <f t="shared" si="4"/>
        <v>85802290</v>
      </c>
      <c r="M12" s="26">
        <f t="shared" si="5"/>
        <v>109.93462139616574</v>
      </c>
    </row>
    <row r="13" spans="1:14" ht="15.6" x14ac:dyDescent="0.3">
      <c r="B13" t="s">
        <v>176</v>
      </c>
      <c r="C13" s="26">
        <v>8</v>
      </c>
      <c r="D13" s="38">
        <v>13250</v>
      </c>
      <c r="E13" s="24">
        <f t="shared" si="0"/>
        <v>10666250</v>
      </c>
      <c r="F13" s="26">
        <v>805</v>
      </c>
      <c r="G13" s="24">
        <f>INT(Table113[[#This Row],[Shares  bought]]*1)</f>
        <v>805</v>
      </c>
      <c r="H13" s="24">
        <f>H12+F13+Table113[[#This Row],[Column1]]</f>
        <v>14156</v>
      </c>
      <c r="I13" s="24">
        <f t="shared" si="1"/>
        <v>88714720</v>
      </c>
      <c r="J13" s="26">
        <f t="shared" si="2"/>
        <v>6266.9341621927097</v>
      </c>
      <c r="K13" s="26">
        <f t="shared" si="3"/>
        <v>187567000</v>
      </c>
      <c r="L13" s="26">
        <f t="shared" si="4"/>
        <v>98852280</v>
      </c>
      <c r="M13" s="26">
        <f t="shared" si="5"/>
        <v>111.42714534859604</v>
      </c>
    </row>
    <row r="14" spans="1:14" ht="15.6" x14ac:dyDescent="0.3">
      <c r="B14" s="40" t="s">
        <v>187</v>
      </c>
      <c r="C14" s="44">
        <v>9</v>
      </c>
      <c r="D14" s="39">
        <v>6380</v>
      </c>
      <c r="E14" s="39">
        <f t="shared" si="0"/>
        <v>10979980</v>
      </c>
      <c r="F14" s="45">
        <v>1721</v>
      </c>
      <c r="G14" s="45">
        <v>0</v>
      </c>
      <c r="H14" s="24">
        <f>H13+F14+Table113[[#This Row],[Column1]]</f>
        <v>15877</v>
      </c>
      <c r="I14" s="39">
        <f t="shared" si="1"/>
        <v>99694700</v>
      </c>
      <c r="J14" s="44">
        <f t="shared" si="2"/>
        <v>6279.1900233041506</v>
      </c>
      <c r="K14" s="44">
        <f t="shared" si="3"/>
        <v>101295260</v>
      </c>
      <c r="L14" s="44">
        <f t="shared" si="4"/>
        <v>1600560</v>
      </c>
      <c r="M14" s="44">
        <f t="shared" si="5"/>
        <v>1.6054614738797548</v>
      </c>
      <c r="N14" s="40" t="s">
        <v>188</v>
      </c>
    </row>
    <row r="15" spans="1:14" ht="15.6" x14ac:dyDescent="0.3">
      <c r="B15" t="s">
        <v>178</v>
      </c>
      <c r="C15" s="26">
        <v>10</v>
      </c>
      <c r="D15" s="38">
        <v>6960</v>
      </c>
      <c r="E15" s="24">
        <f t="shared" si="0"/>
        <v>10565280</v>
      </c>
      <c r="F15" s="26">
        <v>1518</v>
      </c>
      <c r="G15" s="26">
        <v>0</v>
      </c>
      <c r="H15" s="24">
        <f>H14+F15+Table113[[#This Row],[Column1]]</f>
        <v>17395</v>
      </c>
      <c r="I15" s="24">
        <f t="shared" si="1"/>
        <v>110259980</v>
      </c>
      <c r="J15" s="26">
        <f t="shared" si="2"/>
        <v>6338.6018970968671</v>
      </c>
      <c r="K15" s="26">
        <f t="shared" si="3"/>
        <v>121069200</v>
      </c>
      <c r="L15" s="26">
        <f t="shared" si="4"/>
        <v>10809220</v>
      </c>
      <c r="M15" s="26">
        <f t="shared" si="5"/>
        <v>9.8033937608187482</v>
      </c>
    </row>
    <row r="16" spans="1:14" ht="15.6" x14ac:dyDescent="0.3">
      <c r="B16" t="s">
        <v>179</v>
      </c>
      <c r="C16" s="26">
        <v>11</v>
      </c>
      <c r="D16" s="24">
        <v>6350</v>
      </c>
      <c r="E16" s="24">
        <f t="shared" si="0"/>
        <v>10661650</v>
      </c>
      <c r="F16" s="26">
        <v>1679</v>
      </c>
      <c r="G16" s="26">
        <v>0</v>
      </c>
      <c r="H16" s="24">
        <f>H15+F16+Table113[[#This Row],[Column1]]</f>
        <v>19074</v>
      </c>
      <c r="I16" s="24">
        <f t="shared" si="1"/>
        <v>120921630</v>
      </c>
      <c r="J16" s="26">
        <f t="shared" si="2"/>
        <v>6339.6052217678516</v>
      </c>
      <c r="K16" s="26">
        <f t="shared" si="3"/>
        <v>121119900</v>
      </c>
      <c r="L16" s="26">
        <f t="shared" si="4"/>
        <v>198270</v>
      </c>
      <c r="M16" s="26">
        <f t="shared" si="5"/>
        <v>0.1639657024140346</v>
      </c>
    </row>
    <row r="17" spans="2:13" ht="15.6" x14ac:dyDescent="0.3">
      <c r="B17" t="s">
        <v>180</v>
      </c>
      <c r="C17" s="29">
        <v>12</v>
      </c>
      <c r="D17" s="24">
        <v>7040</v>
      </c>
      <c r="E17" s="24">
        <f t="shared" si="0"/>
        <v>10961280</v>
      </c>
      <c r="F17" s="36">
        <v>1557</v>
      </c>
      <c r="G17" s="36">
        <v>0</v>
      </c>
      <c r="H17" s="24">
        <f>H16+F17+Table113[[#This Row],[Column1]]</f>
        <v>20631</v>
      </c>
      <c r="I17" s="24">
        <f t="shared" si="1"/>
        <v>131882910</v>
      </c>
      <c r="J17" s="29">
        <f t="shared" si="2"/>
        <v>6392.4632834084632</v>
      </c>
      <c r="K17" s="29">
        <f t="shared" si="3"/>
        <v>145242240</v>
      </c>
      <c r="L17" s="29">
        <f t="shared" si="4"/>
        <v>13359330</v>
      </c>
      <c r="M17" s="29">
        <f t="shared" si="5"/>
        <v>10.129690040961334</v>
      </c>
    </row>
    <row r="18" spans="2:13" ht="15.6" x14ac:dyDescent="0.3">
      <c r="C18" s="26">
        <v>13</v>
      </c>
      <c r="D18" s="24">
        <v>0</v>
      </c>
      <c r="E18" s="24">
        <v>0</v>
      </c>
      <c r="F18" s="26" t="e">
        <f>E18/D18</f>
        <v>#DIV/0!</v>
      </c>
      <c r="G18" s="26" t="e">
        <f>INT(Table113[[#This Row],[Shares  bought]]*1)</f>
        <v>#DIV/0!</v>
      </c>
      <c r="H18" s="24" t="e">
        <f t="shared" ref="H18:H20" si="6">H17+F18</f>
        <v>#DIV/0!</v>
      </c>
      <c r="I18" s="24">
        <f t="shared" si="1"/>
        <v>131882910</v>
      </c>
      <c r="J18" s="26" t="e">
        <f t="shared" si="2"/>
        <v>#DIV/0!</v>
      </c>
      <c r="K18" s="26" t="e">
        <f t="shared" si="3"/>
        <v>#DIV/0!</v>
      </c>
      <c r="L18" s="26" t="e">
        <f t="shared" si="4"/>
        <v>#DIV/0!</v>
      </c>
      <c r="M18" s="26" t="e">
        <f t="shared" si="5"/>
        <v>#DIV/0!</v>
      </c>
    </row>
    <row r="19" spans="2:13" ht="15.6" x14ac:dyDescent="0.3">
      <c r="C19" s="26">
        <v>14</v>
      </c>
      <c r="D19" s="24">
        <v>0</v>
      </c>
      <c r="E19" s="24">
        <v>0</v>
      </c>
      <c r="F19" s="26" t="e">
        <f>E19/D19</f>
        <v>#DIV/0!</v>
      </c>
      <c r="G19" s="26" t="e">
        <f>INT(Table113[[#This Row],[Shares  bought]]*1)</f>
        <v>#DIV/0!</v>
      </c>
      <c r="H19" s="24" t="e">
        <f t="shared" si="6"/>
        <v>#DIV/0!</v>
      </c>
      <c r="I19" s="24">
        <f t="shared" si="1"/>
        <v>131882910</v>
      </c>
      <c r="J19" s="26" t="e">
        <f t="shared" si="2"/>
        <v>#DIV/0!</v>
      </c>
      <c r="K19" s="26" t="e">
        <f t="shared" si="3"/>
        <v>#DIV/0!</v>
      </c>
      <c r="L19" s="26" t="e">
        <f t="shared" si="4"/>
        <v>#DIV/0!</v>
      </c>
      <c r="M19" s="26" t="e">
        <f t="shared" si="5"/>
        <v>#DIV/0!</v>
      </c>
    </row>
    <row r="20" spans="2:13" ht="15.6" x14ac:dyDescent="0.3">
      <c r="C20" s="26">
        <v>15</v>
      </c>
      <c r="D20" s="24">
        <v>0</v>
      </c>
      <c r="E20" s="24">
        <v>0</v>
      </c>
      <c r="F20" s="26" t="e">
        <f>E20/D20</f>
        <v>#DIV/0!</v>
      </c>
      <c r="G20" s="26" t="e">
        <f>INT(Table113[[#This Row],[Shares  bought]]*1)</f>
        <v>#DIV/0!</v>
      </c>
      <c r="H20" s="24" t="e">
        <f t="shared" si="6"/>
        <v>#DIV/0!</v>
      </c>
      <c r="I20" s="24">
        <f t="shared" si="1"/>
        <v>131882910</v>
      </c>
      <c r="J20" s="26" t="e">
        <f t="shared" si="2"/>
        <v>#DIV/0!</v>
      </c>
      <c r="K20" s="26" t="e">
        <f t="shared" si="3"/>
        <v>#DIV/0!</v>
      </c>
      <c r="L20" s="26" t="e">
        <f t="shared" si="4"/>
        <v>#DIV/0!</v>
      </c>
      <c r="M20" s="26" t="e">
        <f t="shared" si="5"/>
        <v>#DIV/0!</v>
      </c>
    </row>
    <row r="23" spans="2:13" x14ac:dyDescent="0.3">
      <c r="J23" t="s">
        <v>189</v>
      </c>
    </row>
    <row r="24" spans="2:13" x14ac:dyDescent="0.3">
      <c r="J24" t="s">
        <v>181</v>
      </c>
    </row>
    <row r="25" spans="2:13" ht="15.6" x14ac:dyDescent="0.3">
      <c r="I25" s="30">
        <v>583</v>
      </c>
      <c r="J25">
        <f>I25*2</f>
        <v>1166</v>
      </c>
      <c r="K25" t="s">
        <v>182</v>
      </c>
    </row>
    <row r="26" spans="2:13" ht="15.6" x14ac:dyDescent="0.3">
      <c r="I26" s="31">
        <v>1355</v>
      </c>
      <c r="J26">
        <f t="shared" ref="J26:J27" si="7">I26*2</f>
        <v>2710</v>
      </c>
      <c r="K26" t="s">
        <v>51</v>
      </c>
    </row>
    <row r="27" spans="2:13" ht="15.6" x14ac:dyDescent="0.3">
      <c r="I27" s="29">
        <v>964</v>
      </c>
      <c r="J27">
        <f t="shared" si="7"/>
        <v>1928</v>
      </c>
      <c r="K27" t="s">
        <v>52</v>
      </c>
    </row>
    <row r="28" spans="2:13" ht="15.6" x14ac:dyDescent="0.3">
      <c r="H28" t="s">
        <v>190</v>
      </c>
      <c r="I28" s="46">
        <v>1752</v>
      </c>
      <c r="J28">
        <f>I28*2</f>
        <v>3504</v>
      </c>
      <c r="K28" t="s">
        <v>53</v>
      </c>
    </row>
    <row r="29" spans="2:13" ht="15.6" x14ac:dyDescent="0.3">
      <c r="I29" s="29">
        <v>791</v>
      </c>
      <c r="J29">
        <f>I29*2</f>
        <v>1582</v>
      </c>
      <c r="K29" t="s">
        <v>55</v>
      </c>
    </row>
    <row r="30" spans="2:13" ht="15.6" x14ac:dyDescent="0.3">
      <c r="I30" s="32">
        <v>828</v>
      </c>
      <c r="J30">
        <f>I30*2</f>
        <v>1656</v>
      </c>
      <c r="K30" t="s">
        <v>56</v>
      </c>
    </row>
    <row r="31" spans="2:13" ht="15.6" x14ac:dyDescent="0.3">
      <c r="I31" s="29">
        <v>805</v>
      </c>
      <c r="J31">
        <f>I31*2</f>
        <v>1610</v>
      </c>
      <c r="K31" t="s">
        <v>57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opLeftCell="A4" workbookViewId="0">
      <selection activeCell="I24" sqref="I24"/>
    </sheetView>
  </sheetViews>
  <sheetFormatPr defaultRowHeight="14.4" x14ac:dyDescent="0.3"/>
  <cols>
    <col min="2" max="2" width="14.6640625" bestFit="1" customWidth="1"/>
    <col min="4" max="4" width="13.109375" customWidth="1"/>
    <col min="5" max="5" width="19.44140625" customWidth="1"/>
    <col min="6" max="7" width="14.33203125" customWidth="1"/>
    <col min="8" max="8" width="17.5546875" customWidth="1"/>
    <col min="9" max="9" width="14" customWidth="1"/>
    <col min="10" max="10" width="30.109375" customWidth="1"/>
    <col min="11" max="11" width="19.21875" customWidth="1"/>
    <col min="12" max="12" width="14.88671875" customWidth="1"/>
    <col min="13" max="13" width="14" bestFit="1" customWidth="1"/>
    <col min="14" max="14" width="13.6640625" customWidth="1"/>
  </cols>
  <sheetData>
    <row r="2" spans="1:14" ht="31.2" x14ac:dyDescent="0.6">
      <c r="A2" s="3"/>
      <c r="B2" s="3"/>
      <c r="C2" s="3"/>
      <c r="D2" s="3"/>
      <c r="E2" s="3"/>
      <c r="F2" s="3"/>
      <c r="G2" s="3"/>
      <c r="H2" s="47"/>
      <c r="I2" s="3"/>
      <c r="J2" s="3"/>
      <c r="K2" s="3"/>
      <c r="L2" s="3"/>
      <c r="M2" s="3"/>
    </row>
    <row r="3" spans="1:14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ht="15.6" x14ac:dyDescent="0.3">
      <c r="A4" s="3"/>
      <c r="B4" s="37" t="s">
        <v>136</v>
      </c>
      <c r="C4" s="37" t="s">
        <v>137</v>
      </c>
      <c r="D4" s="37" t="s">
        <v>138</v>
      </c>
      <c r="E4" s="37" t="s">
        <v>139</v>
      </c>
      <c r="F4" s="37" t="s">
        <v>140</v>
      </c>
      <c r="G4" s="37" t="s">
        <v>188</v>
      </c>
      <c r="H4" s="37" t="s">
        <v>141</v>
      </c>
      <c r="I4" s="37" t="s">
        <v>122</v>
      </c>
      <c r="J4" s="37" t="s">
        <v>142</v>
      </c>
      <c r="K4" s="37" t="s">
        <v>143</v>
      </c>
      <c r="L4" s="37" t="s">
        <v>123</v>
      </c>
      <c r="M4" s="37" t="s">
        <v>144</v>
      </c>
    </row>
    <row r="5" spans="1:14" ht="16.2" thickBot="1" x14ac:dyDescent="0.35">
      <c r="B5" s="20" t="s">
        <v>146</v>
      </c>
      <c r="C5" s="21" t="s">
        <v>147</v>
      </c>
      <c r="D5" s="21" t="s">
        <v>148</v>
      </c>
      <c r="E5" s="21" t="s">
        <v>149</v>
      </c>
      <c r="F5" s="21" t="s">
        <v>150</v>
      </c>
      <c r="G5" s="21" t="s">
        <v>157</v>
      </c>
      <c r="H5" s="21" t="s">
        <v>151</v>
      </c>
      <c r="I5" s="21" t="s">
        <v>152</v>
      </c>
      <c r="J5" s="21" t="s">
        <v>153</v>
      </c>
      <c r="K5" s="21" t="s">
        <v>154</v>
      </c>
      <c r="L5" s="21" t="s">
        <v>155</v>
      </c>
      <c r="M5" s="21" t="s">
        <v>156</v>
      </c>
    </row>
    <row r="6" spans="1:14" ht="15.6" x14ac:dyDescent="0.3">
      <c r="B6" t="s">
        <v>168</v>
      </c>
      <c r="C6" s="24">
        <v>1</v>
      </c>
      <c r="D6" s="38">
        <v>11490</v>
      </c>
      <c r="E6" s="24">
        <f t="shared" ref="E6:E17" si="0">D6*F6</f>
        <v>7640850</v>
      </c>
      <c r="F6" s="24">
        <v>665</v>
      </c>
      <c r="G6" s="24">
        <f>INT(Table112[[#This Row],[Shares  bought]]*10.52)</f>
        <v>6995</v>
      </c>
      <c r="H6" s="24">
        <f>Table112[[#This Row],[Column1]]+Table112[[#This Row],[Shares  bought]]</f>
        <v>7660</v>
      </c>
      <c r="I6" s="24">
        <v>7640850</v>
      </c>
      <c r="J6" s="24">
        <f>I6/H6</f>
        <v>997.5</v>
      </c>
      <c r="K6" s="24">
        <f>H6*D6</f>
        <v>88013400</v>
      </c>
      <c r="L6" s="24">
        <f>K6-I6</f>
        <v>80372550</v>
      </c>
      <c r="M6" s="24">
        <f>100*(K6-I6)/I6</f>
        <v>1051.8796992481202</v>
      </c>
    </row>
    <row r="7" spans="1:14" ht="15.6" x14ac:dyDescent="0.3">
      <c r="B7" t="s">
        <v>169</v>
      </c>
      <c r="C7" s="24">
        <v>2</v>
      </c>
      <c r="D7" s="38">
        <v>11080</v>
      </c>
      <c r="E7" s="24">
        <f t="shared" si="0"/>
        <v>14924760</v>
      </c>
      <c r="F7" s="24">
        <v>1347</v>
      </c>
      <c r="G7" s="24">
        <f>INT(Table112[[#This Row],[Shares  bought]]*10.52)</f>
        <v>14170</v>
      </c>
      <c r="H7" s="24">
        <f>H6+F7+Table112[[#This Row],[Column1]]</f>
        <v>23177</v>
      </c>
      <c r="I7" s="24">
        <f t="shared" ref="I7:I19" si="1">I6+E7</f>
        <v>22565610</v>
      </c>
      <c r="J7" s="24">
        <f t="shared" ref="J7:J19" si="2">I7/H7</f>
        <v>973.62083099624624</v>
      </c>
      <c r="K7" s="24">
        <f t="shared" ref="K7:K19" si="3">H7*D7</f>
        <v>256801160</v>
      </c>
      <c r="L7" s="24">
        <f t="shared" ref="L7:L19" si="4">K7-I7</f>
        <v>234235550</v>
      </c>
      <c r="M7" s="24">
        <f t="shared" ref="M7:M19" si="5">100*(K7-I7)/I7</f>
        <v>1038.0200225032693</v>
      </c>
    </row>
    <row r="8" spans="1:14" ht="15.6" x14ac:dyDescent="0.3">
      <c r="B8" t="s">
        <v>183</v>
      </c>
      <c r="C8" s="26">
        <v>3</v>
      </c>
      <c r="D8" s="38">
        <v>9650</v>
      </c>
      <c r="E8" s="24">
        <f t="shared" si="0"/>
        <v>11251900</v>
      </c>
      <c r="F8" s="26">
        <v>1166</v>
      </c>
      <c r="G8" s="24">
        <f>INT(Table112[[#This Row],[Shares  bought]]*10.52)</f>
        <v>12266</v>
      </c>
      <c r="H8" s="24">
        <f>H7+F8+Table112[[#This Row],[Column1]]</f>
        <v>36609</v>
      </c>
      <c r="I8" s="24">
        <f t="shared" si="1"/>
        <v>33817510</v>
      </c>
      <c r="J8" s="26">
        <f t="shared" si="2"/>
        <v>923.74853178180228</v>
      </c>
      <c r="K8" s="26">
        <f t="shared" si="3"/>
        <v>353276850</v>
      </c>
      <c r="L8" s="26">
        <f t="shared" si="4"/>
        <v>319459340</v>
      </c>
      <c r="M8" s="26">
        <f t="shared" si="5"/>
        <v>944.65659949535018</v>
      </c>
    </row>
    <row r="9" spans="1:14" ht="15.6" x14ac:dyDescent="0.3">
      <c r="B9" t="s">
        <v>184</v>
      </c>
      <c r="C9" s="26">
        <v>4</v>
      </c>
      <c r="D9" s="38">
        <v>12510</v>
      </c>
      <c r="E9" s="24">
        <f t="shared" si="0"/>
        <v>10971270</v>
      </c>
      <c r="F9" s="26">
        <v>877</v>
      </c>
      <c r="G9" s="24">
        <f>INT(Table112[[#This Row],[Shares  bought]]*10.52)</f>
        <v>9226</v>
      </c>
      <c r="H9" s="24">
        <f>H8+F9+Table112[[#This Row],[Column1]]</f>
        <v>46712</v>
      </c>
      <c r="I9" s="24">
        <f t="shared" si="1"/>
        <v>44788780</v>
      </c>
      <c r="J9" s="26">
        <f t="shared" si="2"/>
        <v>958.82813837985952</v>
      </c>
      <c r="K9" s="26">
        <f t="shared" si="3"/>
        <v>584367120</v>
      </c>
      <c r="L9" s="26">
        <f t="shared" si="4"/>
        <v>539578340</v>
      </c>
      <c r="M9" s="26">
        <f t="shared" si="5"/>
        <v>1204.717654734065</v>
      </c>
    </row>
    <row r="10" spans="1:14" ht="15.6" x14ac:dyDescent="0.3">
      <c r="B10" t="s">
        <v>172</v>
      </c>
      <c r="C10" s="26">
        <v>5</v>
      </c>
      <c r="D10" s="24">
        <v>12720</v>
      </c>
      <c r="E10" s="24">
        <f t="shared" si="0"/>
        <v>10366800</v>
      </c>
      <c r="F10" s="26">
        <v>815</v>
      </c>
      <c r="G10" s="24">
        <f>INT(Table112[[#This Row],[Shares  bought]]*10.52)</f>
        <v>8573</v>
      </c>
      <c r="H10" s="24">
        <f>H9+F10+Table112[[#This Row],[Column1]]</f>
        <v>56100</v>
      </c>
      <c r="I10" s="24">
        <f t="shared" si="1"/>
        <v>55155580</v>
      </c>
      <c r="J10" s="26">
        <f t="shared" si="2"/>
        <v>983.16541889483062</v>
      </c>
      <c r="K10" s="26">
        <f t="shared" si="3"/>
        <v>713592000</v>
      </c>
      <c r="L10" s="26">
        <f t="shared" si="4"/>
        <v>658436420</v>
      </c>
      <c r="M10" s="26">
        <f t="shared" si="5"/>
        <v>1193.7802485260784</v>
      </c>
    </row>
    <row r="11" spans="1:14" ht="15.6" x14ac:dyDescent="0.3">
      <c r="B11" t="s">
        <v>174</v>
      </c>
      <c r="C11" s="26">
        <v>6</v>
      </c>
      <c r="D11" s="38">
        <v>14560</v>
      </c>
      <c r="E11" s="24">
        <f t="shared" si="0"/>
        <v>11458720</v>
      </c>
      <c r="F11" s="26">
        <v>787</v>
      </c>
      <c r="G11" s="24">
        <f>INT(Table112[[#This Row],[Shares  bought]]*10.52)</f>
        <v>8279</v>
      </c>
      <c r="H11" s="24">
        <f>H10+F11+Table112[[#This Row],[Column1]]</f>
        <v>65166</v>
      </c>
      <c r="I11" s="24">
        <f t="shared" si="1"/>
        <v>66614300</v>
      </c>
      <c r="J11" s="26">
        <f t="shared" si="2"/>
        <v>1022.2247797931436</v>
      </c>
      <c r="K11" s="26">
        <f t="shared" si="3"/>
        <v>948816960</v>
      </c>
      <c r="L11" s="26">
        <f t="shared" si="4"/>
        <v>882202660</v>
      </c>
      <c r="M11" s="26">
        <f t="shared" si="5"/>
        <v>1324.3442624181293</v>
      </c>
    </row>
    <row r="12" spans="1:14" ht="15.6" x14ac:dyDescent="0.3">
      <c r="B12" t="s">
        <v>175</v>
      </c>
      <c r="C12" s="26">
        <v>7</v>
      </c>
      <c r="D12" s="38">
        <v>12620</v>
      </c>
      <c r="E12" s="24">
        <f t="shared" si="0"/>
        <v>10676520</v>
      </c>
      <c r="F12" s="26">
        <v>846</v>
      </c>
      <c r="G12" s="24">
        <f>INT(Table112[[#This Row],[Shares  bought]]*10.52)</f>
        <v>8899</v>
      </c>
      <c r="H12" s="24">
        <f>H11+F12+Table112[[#This Row],[Column1]]</f>
        <v>74911</v>
      </c>
      <c r="I12" s="24">
        <f t="shared" si="1"/>
        <v>77290820</v>
      </c>
      <c r="J12" s="26">
        <f t="shared" si="2"/>
        <v>1031.7686321101039</v>
      </c>
      <c r="K12" s="26">
        <f t="shared" si="3"/>
        <v>945376820</v>
      </c>
      <c r="L12" s="26">
        <f t="shared" si="4"/>
        <v>868086000</v>
      </c>
      <c r="M12" s="26">
        <f t="shared" si="5"/>
        <v>1123.1424378729582</v>
      </c>
    </row>
    <row r="13" spans="1:14" ht="15.6" x14ac:dyDescent="0.3">
      <c r="B13" t="s">
        <v>191</v>
      </c>
      <c r="C13" s="26">
        <v>8</v>
      </c>
      <c r="D13" s="38">
        <v>12530</v>
      </c>
      <c r="E13" s="24">
        <f t="shared" si="0"/>
        <v>10550260</v>
      </c>
      <c r="F13" s="26">
        <v>842</v>
      </c>
      <c r="G13" s="24">
        <f>INT(Table112[[#This Row],[Shares  bought]]*10.52)</f>
        <v>8857</v>
      </c>
      <c r="H13" s="24">
        <f>H12+F13+Table112[[#This Row],[Column1]]</f>
        <v>84610</v>
      </c>
      <c r="I13" s="24">
        <f t="shared" si="1"/>
        <v>87841080</v>
      </c>
      <c r="J13" s="26">
        <f t="shared" si="2"/>
        <v>1038.1879210495213</v>
      </c>
      <c r="K13" s="26">
        <f t="shared" si="3"/>
        <v>1060163300</v>
      </c>
      <c r="L13" s="26">
        <f t="shared" si="4"/>
        <v>972322220</v>
      </c>
      <c r="M13" s="26">
        <f t="shared" si="5"/>
        <v>1106.9105935400612</v>
      </c>
    </row>
    <row r="14" spans="1:14" ht="15.6" x14ac:dyDescent="0.3">
      <c r="B14" t="s">
        <v>177</v>
      </c>
      <c r="C14" s="26">
        <v>9</v>
      </c>
      <c r="D14" s="38">
        <v>11070</v>
      </c>
      <c r="E14" s="24">
        <f t="shared" si="0"/>
        <v>10948230</v>
      </c>
      <c r="F14" s="26">
        <v>989</v>
      </c>
      <c r="G14" s="24">
        <f>INT(Table112[[#This Row],[Shares  bought]]*10.52)</f>
        <v>10404</v>
      </c>
      <c r="H14" s="24">
        <f>H13+F14+Table112[[#This Row],[Column1]]</f>
        <v>96003</v>
      </c>
      <c r="I14" s="24">
        <f t="shared" si="1"/>
        <v>98789310</v>
      </c>
      <c r="J14" s="26">
        <f t="shared" si="2"/>
        <v>1029.0231555263897</v>
      </c>
      <c r="K14" s="26">
        <f t="shared" si="3"/>
        <v>1062753210</v>
      </c>
      <c r="L14" s="26">
        <f t="shared" si="4"/>
        <v>963963900</v>
      </c>
      <c r="M14" s="26">
        <f t="shared" si="5"/>
        <v>975.77754111249487</v>
      </c>
    </row>
    <row r="15" spans="1:14" ht="15.6" x14ac:dyDescent="0.3">
      <c r="A15" s="40"/>
      <c r="B15" s="40" t="s">
        <v>178</v>
      </c>
      <c r="C15" s="44">
        <v>10</v>
      </c>
      <c r="D15" s="42">
        <v>11090</v>
      </c>
      <c r="E15" s="39">
        <f t="shared" si="0"/>
        <v>10557680</v>
      </c>
      <c r="F15" s="44">
        <v>952</v>
      </c>
      <c r="G15" s="24">
        <f>INT(Table112[[#This Row],[Shares  bought]]*10.52)</f>
        <v>10015</v>
      </c>
      <c r="H15" s="24">
        <f>H14+F15+Table112[[#This Row],[Column1]]</f>
        <v>106970</v>
      </c>
      <c r="I15" s="39">
        <f t="shared" si="1"/>
        <v>109346990</v>
      </c>
      <c r="J15" s="44">
        <f t="shared" si="2"/>
        <v>1022.2210900252408</v>
      </c>
      <c r="K15" s="44">
        <f t="shared" si="3"/>
        <v>1186297300</v>
      </c>
      <c r="L15" s="44">
        <f t="shared" si="4"/>
        <v>1076950310</v>
      </c>
      <c r="M15" s="44">
        <f t="shared" si="5"/>
        <v>984.89250595741134</v>
      </c>
      <c r="N15" s="40" t="s">
        <v>188</v>
      </c>
    </row>
    <row r="16" spans="1:14" ht="15.6" x14ac:dyDescent="0.3">
      <c r="A16" s="67" t="s">
        <v>192</v>
      </c>
      <c r="B16" t="s">
        <v>179</v>
      </c>
      <c r="C16" s="29">
        <v>11</v>
      </c>
      <c r="D16" s="24">
        <v>952</v>
      </c>
      <c r="E16" s="39">
        <f t="shared" si="0"/>
        <v>10610992</v>
      </c>
      <c r="F16" s="29">
        <v>11146</v>
      </c>
      <c r="G16" s="29">
        <v>0</v>
      </c>
      <c r="H16" s="24">
        <f>H15+F16+Table112[[#This Row],[Column1]]</f>
        <v>118116</v>
      </c>
      <c r="I16" s="24">
        <f t="shared" si="1"/>
        <v>119957982</v>
      </c>
      <c r="J16" s="29">
        <f t="shared" si="2"/>
        <v>1015.5946865792949</v>
      </c>
      <c r="K16" s="29">
        <f t="shared" si="3"/>
        <v>112446432</v>
      </c>
      <c r="L16" s="29">
        <f t="shared" si="4"/>
        <v>-7511550</v>
      </c>
      <c r="M16" s="29">
        <f t="shared" si="5"/>
        <v>-6.2618175754240344</v>
      </c>
    </row>
    <row r="17" spans="1:13" ht="15.6" x14ac:dyDescent="0.3">
      <c r="A17" s="67"/>
      <c r="B17" t="s">
        <v>180</v>
      </c>
      <c r="C17" s="26">
        <v>12</v>
      </c>
      <c r="D17" s="24">
        <v>952</v>
      </c>
      <c r="E17" s="39">
        <f t="shared" si="0"/>
        <v>10908968</v>
      </c>
      <c r="F17" s="26">
        <v>11459</v>
      </c>
      <c r="G17" s="26">
        <v>0</v>
      </c>
      <c r="H17" s="24">
        <f>H16+F17+Table112[[#This Row],[Column1]]</f>
        <v>129575</v>
      </c>
      <c r="I17" s="24">
        <f t="shared" si="1"/>
        <v>130866950</v>
      </c>
      <c r="J17" s="26">
        <f t="shared" si="2"/>
        <v>1009.9706733551997</v>
      </c>
      <c r="K17" s="26">
        <f t="shared" si="3"/>
        <v>123355400</v>
      </c>
      <c r="L17" s="26">
        <f t="shared" si="4"/>
        <v>-7511550</v>
      </c>
      <c r="M17" s="26">
        <f t="shared" si="5"/>
        <v>-5.7398372927618473</v>
      </c>
    </row>
    <row r="18" spans="1:13" ht="15.6" x14ac:dyDescent="0.3">
      <c r="C18" s="26">
        <v>13</v>
      </c>
      <c r="D18" s="24">
        <v>0</v>
      </c>
      <c r="E18" s="24">
        <v>0</v>
      </c>
      <c r="F18" s="26" t="e">
        <f>E18/D18</f>
        <v>#DIV/0!</v>
      </c>
      <c r="G18" s="26">
        <v>0</v>
      </c>
      <c r="H18" s="24" t="e">
        <f>H17+F18+Table112[[#This Row],[Column1]]</f>
        <v>#DIV/0!</v>
      </c>
      <c r="I18" s="24">
        <f t="shared" si="1"/>
        <v>130866950</v>
      </c>
      <c r="J18" s="26" t="e">
        <f t="shared" si="2"/>
        <v>#DIV/0!</v>
      </c>
      <c r="K18" s="26" t="e">
        <f t="shared" si="3"/>
        <v>#DIV/0!</v>
      </c>
      <c r="L18" s="26" t="e">
        <f t="shared" si="4"/>
        <v>#DIV/0!</v>
      </c>
      <c r="M18" s="26" t="e">
        <f t="shared" si="5"/>
        <v>#DIV/0!</v>
      </c>
    </row>
    <row r="19" spans="1:13" ht="15.6" x14ac:dyDescent="0.3">
      <c r="C19" s="26">
        <v>14</v>
      </c>
      <c r="D19" s="24">
        <v>0</v>
      </c>
      <c r="E19" s="24">
        <v>0</v>
      </c>
      <c r="F19" s="26" t="e">
        <f>E19/D19</f>
        <v>#DIV/0!</v>
      </c>
      <c r="G19" s="26">
        <v>0</v>
      </c>
      <c r="H19" s="24" t="e">
        <f>H18+F19+Table112[[#This Row],[Column1]]</f>
        <v>#DIV/0!</v>
      </c>
      <c r="I19" s="24">
        <f t="shared" si="1"/>
        <v>130866950</v>
      </c>
      <c r="J19" s="26" t="e">
        <f t="shared" si="2"/>
        <v>#DIV/0!</v>
      </c>
      <c r="K19" s="26" t="e">
        <f t="shared" si="3"/>
        <v>#DIV/0!</v>
      </c>
      <c r="L19" s="26" t="e">
        <f t="shared" si="4"/>
        <v>#DIV/0!</v>
      </c>
      <c r="M19" s="26" t="e">
        <f t="shared" si="5"/>
        <v>#DIV/0!</v>
      </c>
    </row>
  </sheetData>
  <mergeCells count="1">
    <mergeCell ref="A16:A17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workbookViewId="0">
      <selection activeCell="J6" sqref="J6"/>
    </sheetView>
  </sheetViews>
  <sheetFormatPr defaultRowHeight="14.4" x14ac:dyDescent="0.3"/>
  <cols>
    <col min="2" max="2" width="14.6640625" bestFit="1" customWidth="1"/>
    <col min="4" max="5" width="13.109375" customWidth="1"/>
    <col min="6" max="7" width="14" customWidth="1"/>
    <col min="8" max="8" width="22.6640625" customWidth="1"/>
    <col min="9" max="9" width="17.33203125" customWidth="1"/>
    <col min="10" max="10" width="17.77734375" customWidth="1"/>
    <col min="11" max="11" width="19.21875" customWidth="1"/>
    <col min="12" max="12" width="16.109375" customWidth="1"/>
    <col min="13" max="13" width="15.33203125" customWidth="1"/>
  </cols>
  <sheetData>
    <row r="2" spans="1:15" ht="31.2" x14ac:dyDescent="0.6">
      <c r="H2" s="18"/>
    </row>
    <row r="4" spans="1:15" ht="15.6" x14ac:dyDescent="0.3">
      <c r="B4" s="19" t="s">
        <v>136</v>
      </c>
      <c r="C4" s="19" t="s">
        <v>137</v>
      </c>
      <c r="D4" s="19" t="s">
        <v>138</v>
      </c>
      <c r="E4" s="19" t="s">
        <v>139</v>
      </c>
      <c r="F4" s="19" t="s">
        <v>140</v>
      </c>
      <c r="G4" s="19" t="s">
        <v>188</v>
      </c>
      <c r="H4" s="19" t="s">
        <v>141</v>
      </c>
      <c r="I4" s="19" t="s">
        <v>122</v>
      </c>
      <c r="J4" s="19" t="s">
        <v>142</v>
      </c>
      <c r="K4" s="19" t="s">
        <v>143</v>
      </c>
      <c r="L4" s="19" t="s">
        <v>123</v>
      </c>
      <c r="M4" s="19" t="s">
        <v>144</v>
      </c>
      <c r="N4" s="19" t="s">
        <v>195</v>
      </c>
    </row>
    <row r="5" spans="1:15" ht="16.2" thickBot="1" x14ac:dyDescent="0.35">
      <c r="B5" s="20" t="s">
        <v>146</v>
      </c>
      <c r="C5" s="21" t="s">
        <v>147</v>
      </c>
      <c r="D5" s="21" t="s">
        <v>148</v>
      </c>
      <c r="E5" s="21" t="s">
        <v>149</v>
      </c>
      <c r="F5" s="21" t="s">
        <v>150</v>
      </c>
      <c r="G5" s="21" t="s">
        <v>217</v>
      </c>
      <c r="H5" s="21" t="s">
        <v>151</v>
      </c>
      <c r="I5" s="21" t="s">
        <v>152</v>
      </c>
      <c r="J5" s="21" t="s">
        <v>153</v>
      </c>
      <c r="K5" s="21" t="s">
        <v>154</v>
      </c>
      <c r="L5" s="21" t="s">
        <v>155</v>
      </c>
      <c r="M5" s="21" t="s">
        <v>156</v>
      </c>
      <c r="N5" s="22" t="s">
        <v>157</v>
      </c>
    </row>
    <row r="6" spans="1:15" ht="15.6" x14ac:dyDescent="0.3">
      <c r="B6" t="s">
        <v>168</v>
      </c>
      <c r="C6" s="24">
        <v>1</v>
      </c>
      <c r="D6" s="38">
        <v>23770</v>
      </c>
      <c r="E6" s="24">
        <f t="shared" ref="E6:E17" si="0">D6*F6</f>
        <v>7606400</v>
      </c>
      <c r="F6" s="24">
        <v>320</v>
      </c>
      <c r="G6" s="24">
        <f>INT(Table111[[#This Row],[Shares  bought]]*1.14)</f>
        <v>364</v>
      </c>
      <c r="H6" s="24">
        <f>Table111[[#This Row],[Column2]]+Table111[[#This Row],[Shares  bought]]</f>
        <v>684</v>
      </c>
      <c r="I6" s="24">
        <v>7606400</v>
      </c>
      <c r="J6" s="24">
        <f>I6/H6</f>
        <v>11120.46783625731</v>
      </c>
      <c r="K6" s="24">
        <f>H6*D6</f>
        <v>16258680</v>
      </c>
      <c r="L6" s="24">
        <f>K6-I6</f>
        <v>8652280</v>
      </c>
      <c r="M6" s="24">
        <f>100*(K6-I6)/I6</f>
        <v>113.75</v>
      </c>
      <c r="N6" s="26" t="e">
        <f t="shared" ref="N6:N11" si="1">_xlfn.STDEV.S(D1:D6)</f>
        <v>#DIV/0!</v>
      </c>
    </row>
    <row r="7" spans="1:15" ht="15.6" x14ac:dyDescent="0.3">
      <c r="B7" t="s">
        <v>169</v>
      </c>
      <c r="C7" s="24">
        <v>2</v>
      </c>
      <c r="D7" s="38">
        <v>21590</v>
      </c>
      <c r="E7" s="24">
        <f t="shared" si="0"/>
        <v>14940280</v>
      </c>
      <c r="F7" s="24">
        <v>692</v>
      </c>
      <c r="G7" s="24">
        <f>INT(Table111[[#This Row],[Shares  bought]]*1.14)</f>
        <v>788</v>
      </c>
      <c r="H7" s="24">
        <f>H6+F7+Table111[[#This Row],[Column2]]</f>
        <v>2164</v>
      </c>
      <c r="I7" s="24">
        <f t="shared" ref="I7:I19" si="2">I6+E7</f>
        <v>22546680</v>
      </c>
      <c r="J7" s="24">
        <f t="shared" ref="J7:J19" si="3">I7/H7</f>
        <v>10418.98336414048</v>
      </c>
      <c r="K7" s="24">
        <f t="shared" ref="K7:K19" si="4">H7*D7</f>
        <v>46720760</v>
      </c>
      <c r="L7" s="24">
        <f t="shared" ref="L7:L19" si="5">K7-I7</f>
        <v>24174080</v>
      </c>
      <c r="M7" s="24">
        <f t="shared" ref="M7:M19" si="6">100*(K7-I7)/I7</f>
        <v>107.21791412305492</v>
      </c>
      <c r="N7" s="26">
        <f t="shared" si="1"/>
        <v>1541.4927829866735</v>
      </c>
    </row>
    <row r="8" spans="1:15" ht="15.6" x14ac:dyDescent="0.3">
      <c r="B8" t="s">
        <v>183</v>
      </c>
      <c r="C8" s="26">
        <v>3</v>
      </c>
      <c r="D8" s="38">
        <v>22380</v>
      </c>
      <c r="E8" s="24">
        <f t="shared" si="0"/>
        <v>11324280</v>
      </c>
      <c r="F8" s="26">
        <v>506</v>
      </c>
      <c r="G8" s="24">
        <f>INT(Table111[[#This Row],[Shares  bought]]*1.14)</f>
        <v>576</v>
      </c>
      <c r="H8" s="24">
        <f>H7+F8+Table111[[#This Row],[Column2]]</f>
        <v>3246</v>
      </c>
      <c r="I8" s="24">
        <f t="shared" si="2"/>
        <v>33870960</v>
      </c>
      <c r="J8" s="26">
        <f t="shared" si="3"/>
        <v>10434.676524953789</v>
      </c>
      <c r="K8" s="26">
        <f t="shared" si="4"/>
        <v>72645480</v>
      </c>
      <c r="L8" s="26">
        <f t="shared" si="5"/>
        <v>38774520</v>
      </c>
      <c r="M8" s="26">
        <f t="shared" si="6"/>
        <v>114.47718045192696</v>
      </c>
      <c r="N8" s="26">
        <f t="shared" si="1"/>
        <v>1103.6756769993619</v>
      </c>
    </row>
    <row r="9" spans="1:15" ht="15.6" x14ac:dyDescent="0.3">
      <c r="B9" t="s">
        <v>184</v>
      </c>
      <c r="C9" s="26">
        <v>4</v>
      </c>
      <c r="D9" s="38">
        <v>24910</v>
      </c>
      <c r="E9" s="24">
        <f t="shared" si="0"/>
        <v>10985310</v>
      </c>
      <c r="F9" s="26">
        <v>441</v>
      </c>
      <c r="G9" s="24">
        <f>INT(Table111[[#This Row],[Shares  bought]]*1.14)</f>
        <v>502</v>
      </c>
      <c r="H9" s="24">
        <f>H8+F9+Table111[[#This Row],[Column2]]</f>
        <v>4189</v>
      </c>
      <c r="I9" s="24">
        <f t="shared" si="2"/>
        <v>44856270</v>
      </c>
      <c r="J9" s="26">
        <f t="shared" si="3"/>
        <v>10708.109333969922</v>
      </c>
      <c r="K9" s="26">
        <f>H9*D9</f>
        <v>104347990</v>
      </c>
      <c r="L9" s="26">
        <f t="shared" si="5"/>
        <v>59491720</v>
      </c>
      <c r="M9" s="26">
        <f t="shared" si="6"/>
        <v>132.62743424720782</v>
      </c>
      <c r="N9" s="26">
        <f t="shared" si="1"/>
        <v>1472.8515426432721</v>
      </c>
    </row>
    <row r="10" spans="1:15" ht="15.6" x14ac:dyDescent="0.3">
      <c r="B10" t="s">
        <v>172</v>
      </c>
      <c r="C10" s="26">
        <v>5</v>
      </c>
      <c r="D10" s="38">
        <v>27800</v>
      </c>
      <c r="E10" s="24">
        <f t="shared" si="0"/>
        <v>10369400</v>
      </c>
      <c r="F10" s="26">
        <v>373</v>
      </c>
      <c r="G10" s="24">
        <f>INT(Table111[[#This Row],[Shares  bought]]*1.14)</f>
        <v>425</v>
      </c>
      <c r="H10" s="24">
        <f>H9+F10+Table111[[#This Row],[Column2]]</f>
        <v>4987</v>
      </c>
      <c r="I10" s="24">
        <f t="shared" si="2"/>
        <v>55225670</v>
      </c>
      <c r="J10" s="26">
        <f t="shared" si="3"/>
        <v>11073.926208141167</v>
      </c>
      <c r="K10" s="26">
        <f t="shared" si="4"/>
        <v>138638600</v>
      </c>
      <c r="L10" s="26">
        <f t="shared" si="5"/>
        <v>83412930</v>
      </c>
      <c r="M10" s="26">
        <f t="shared" si="6"/>
        <v>151.04014129661078</v>
      </c>
      <c r="N10" s="26">
        <f t="shared" si="1"/>
        <v>2434.7997864300874</v>
      </c>
    </row>
    <row r="11" spans="1:15" ht="15.6" x14ac:dyDescent="0.3">
      <c r="B11" t="s">
        <v>174</v>
      </c>
      <c r="C11" s="26">
        <v>6</v>
      </c>
      <c r="D11" s="38">
        <v>30840</v>
      </c>
      <c r="E11" s="24">
        <f t="shared" si="0"/>
        <v>11472480</v>
      </c>
      <c r="F11" s="26">
        <v>372</v>
      </c>
      <c r="G11" s="24">
        <f>INT(Table111[[#This Row],[Shares  bought]]*1.14)</f>
        <v>424</v>
      </c>
      <c r="H11" s="24">
        <f>H10+F11+Table111[[#This Row],[Column2]]</f>
        <v>5783</v>
      </c>
      <c r="I11" s="24">
        <f t="shared" si="2"/>
        <v>66698150</v>
      </c>
      <c r="J11" s="26">
        <f t="shared" si="3"/>
        <v>11533.486079889331</v>
      </c>
      <c r="K11" s="26">
        <f t="shared" si="4"/>
        <v>178347720</v>
      </c>
      <c r="L11" s="26">
        <f t="shared" si="5"/>
        <v>111649570</v>
      </c>
      <c r="M11" s="26">
        <f t="shared" si="6"/>
        <v>167.3953025683621</v>
      </c>
      <c r="N11" s="26">
        <f t="shared" si="1"/>
        <v>3512.3140520175584</v>
      </c>
    </row>
    <row r="12" spans="1:15" ht="15.6" x14ac:dyDescent="0.3">
      <c r="B12" t="s">
        <v>175</v>
      </c>
      <c r="C12" s="26">
        <v>7</v>
      </c>
      <c r="D12" s="38">
        <v>27220</v>
      </c>
      <c r="E12" s="24">
        <f t="shared" si="0"/>
        <v>10833560</v>
      </c>
      <c r="F12" s="26">
        <v>398</v>
      </c>
      <c r="G12" s="24">
        <f>INT(Table111[[#This Row],[Shares  bought]]*1.14)</f>
        <v>453</v>
      </c>
      <c r="H12" s="24">
        <f>H11+F12+Table111[[#This Row],[Column2]]</f>
        <v>6634</v>
      </c>
      <c r="I12" s="24">
        <f t="shared" si="2"/>
        <v>77531710</v>
      </c>
      <c r="J12" s="26">
        <f t="shared" si="3"/>
        <v>11687.022912270124</v>
      </c>
      <c r="K12" s="26">
        <f t="shared" si="4"/>
        <v>180577480</v>
      </c>
      <c r="L12" s="26">
        <f t="shared" si="5"/>
        <v>103045770</v>
      </c>
      <c r="M12" s="26">
        <f t="shared" si="6"/>
        <v>132.90790310184053</v>
      </c>
      <c r="N12" s="26">
        <f>_xlfn.STDEV.S(D6:D12)</f>
        <v>3294.6291069528565</v>
      </c>
    </row>
    <row r="13" spans="1:15" ht="15.6" x14ac:dyDescent="0.3">
      <c r="B13" t="s">
        <v>176</v>
      </c>
      <c r="C13" s="26">
        <v>8</v>
      </c>
      <c r="D13" s="38">
        <v>28200</v>
      </c>
      <c r="E13" s="24">
        <f t="shared" si="0"/>
        <v>10687800</v>
      </c>
      <c r="F13" s="26">
        <v>379</v>
      </c>
      <c r="G13" s="24">
        <f>INT(Table111[[#This Row],[Shares  bought]]*1.14)</f>
        <v>432</v>
      </c>
      <c r="H13" s="24">
        <f>H12+F13+Table111[[#This Row],[Column2]]</f>
        <v>7445</v>
      </c>
      <c r="I13" s="24">
        <f t="shared" si="2"/>
        <v>88219510</v>
      </c>
      <c r="J13" s="26">
        <f t="shared" si="3"/>
        <v>11849.497649429148</v>
      </c>
      <c r="K13" s="26">
        <f t="shared" si="4"/>
        <v>209949000</v>
      </c>
      <c r="L13" s="26">
        <f t="shared" si="5"/>
        <v>121729490</v>
      </c>
      <c r="M13" s="26">
        <f t="shared" si="6"/>
        <v>137.98477230263464</v>
      </c>
      <c r="N13" s="26">
        <f>_xlfn.STDEV.S(D6:D13)</f>
        <v>3195.9681631705907</v>
      </c>
    </row>
    <row r="14" spans="1:15" ht="15.6" x14ac:dyDescent="0.3">
      <c r="B14" t="s">
        <v>177</v>
      </c>
      <c r="C14" s="26">
        <v>9</v>
      </c>
      <c r="D14" s="38">
        <v>27780</v>
      </c>
      <c r="E14" s="24">
        <f t="shared" si="0"/>
        <v>10973100</v>
      </c>
      <c r="F14" s="26">
        <v>395</v>
      </c>
      <c r="G14" s="24">
        <f>INT(Table111[[#This Row],[Shares  bought]]*1.14)</f>
        <v>450</v>
      </c>
      <c r="H14" s="24">
        <f>H13+F14+Table111[[#This Row],[Column2]]</f>
        <v>8290</v>
      </c>
      <c r="I14" s="24">
        <f>I13+D14</f>
        <v>88247290</v>
      </c>
      <c r="J14" s="26">
        <f t="shared" si="3"/>
        <v>10645.028950542823</v>
      </c>
      <c r="K14" s="26">
        <f t="shared" si="4"/>
        <v>230296200</v>
      </c>
      <c r="L14" s="26">
        <f t="shared" si="5"/>
        <v>142048910</v>
      </c>
      <c r="M14" s="26">
        <f t="shared" si="6"/>
        <v>160.96688068268159</v>
      </c>
      <c r="N14" s="26">
        <f>_xlfn.STDEV.S(D6:D14)</f>
        <v>3058.7828915726909</v>
      </c>
    </row>
    <row r="15" spans="1:15" ht="15.6" x14ac:dyDescent="0.3">
      <c r="B15" t="s">
        <v>178</v>
      </c>
      <c r="C15" s="26">
        <v>10</v>
      </c>
      <c r="D15" s="38">
        <v>29890</v>
      </c>
      <c r="E15" s="24">
        <f t="shared" si="0"/>
        <v>10461500</v>
      </c>
      <c r="F15" s="26">
        <v>350</v>
      </c>
      <c r="G15" s="24">
        <f>INT(Table111[[#This Row],[Shares  bought]]*1.14)</f>
        <v>399</v>
      </c>
      <c r="H15" s="24">
        <f>H14+F15+Table111[[#This Row],[Column2]]</f>
        <v>9039</v>
      </c>
      <c r="I15" s="24">
        <f t="shared" si="2"/>
        <v>98708790</v>
      </c>
      <c r="J15" s="26">
        <f t="shared" si="3"/>
        <v>10920.321938267507</v>
      </c>
      <c r="K15" s="26">
        <f t="shared" si="4"/>
        <v>270175710</v>
      </c>
      <c r="L15" s="26">
        <f t="shared" si="5"/>
        <v>171466920</v>
      </c>
      <c r="M15" s="26">
        <f t="shared" si="6"/>
        <v>173.70987933293478</v>
      </c>
      <c r="N15" s="26">
        <f>_xlfn.STDEV.S(D6:D15)</f>
        <v>3128.5346232523762</v>
      </c>
    </row>
    <row r="16" spans="1:15" ht="15.6" x14ac:dyDescent="0.3">
      <c r="A16" s="40"/>
      <c r="B16" s="40" t="s">
        <v>179</v>
      </c>
      <c r="C16" s="41">
        <v>11</v>
      </c>
      <c r="D16" s="42">
        <v>27490</v>
      </c>
      <c r="E16" s="39">
        <f t="shared" si="0"/>
        <v>10666120</v>
      </c>
      <c r="F16" s="41">
        <v>388</v>
      </c>
      <c r="G16" s="24">
        <f>INT(Table111[[#This Row],[Shares  bought]]*1.14)</f>
        <v>442</v>
      </c>
      <c r="H16" s="24">
        <f>H15+F16+Table111[[#This Row],[Column2]]</f>
        <v>9869</v>
      </c>
      <c r="I16" s="39">
        <f t="shared" si="2"/>
        <v>109374910</v>
      </c>
      <c r="J16" s="41">
        <f t="shared" si="3"/>
        <v>11082.674029790252</v>
      </c>
      <c r="K16" s="41">
        <f t="shared" si="4"/>
        <v>271298810</v>
      </c>
      <c r="L16" s="41">
        <f t="shared" si="5"/>
        <v>161923900</v>
      </c>
      <c r="M16" s="41">
        <f t="shared" si="6"/>
        <v>148.04483039117471</v>
      </c>
      <c r="N16" s="44">
        <f>_xlfn.STDEV.S(D6:D16)</f>
        <v>2984.8895213299766</v>
      </c>
      <c r="O16" s="40" t="s">
        <v>188</v>
      </c>
    </row>
    <row r="17" spans="2:14" ht="15.6" x14ac:dyDescent="0.3">
      <c r="B17" t="s">
        <v>196</v>
      </c>
      <c r="C17" s="26">
        <v>12</v>
      </c>
      <c r="D17" s="24">
        <v>14500</v>
      </c>
      <c r="E17" s="24">
        <f t="shared" si="0"/>
        <v>10962000</v>
      </c>
      <c r="F17" s="26">
        <v>756</v>
      </c>
      <c r="G17" s="26">
        <v>0</v>
      </c>
      <c r="H17" s="24">
        <f>H16+F17+Table111[[#This Row],[Column2]]</f>
        <v>10625</v>
      </c>
      <c r="I17" s="24">
        <f t="shared" si="2"/>
        <v>120336910</v>
      </c>
      <c r="J17" s="26">
        <f t="shared" si="3"/>
        <v>11325.826823529413</v>
      </c>
      <c r="K17" s="26">
        <f t="shared" si="4"/>
        <v>154062500</v>
      </c>
      <c r="L17" s="26">
        <f t="shared" si="5"/>
        <v>33725590</v>
      </c>
      <c r="M17" s="26">
        <f t="shared" si="6"/>
        <v>28.02597307841792</v>
      </c>
      <c r="N17" s="26">
        <f>_xlfn.STDEV.S(D6:D17)</f>
        <v>4490.7651875484426</v>
      </c>
    </row>
    <row r="18" spans="2:14" ht="15.6" x14ac:dyDescent="0.3">
      <c r="C18" s="26">
        <v>13</v>
      </c>
      <c r="D18" s="24">
        <v>0</v>
      </c>
      <c r="E18" s="24">
        <v>0</v>
      </c>
      <c r="F18" s="26" t="e">
        <f>E18/D18</f>
        <v>#DIV/0!</v>
      </c>
      <c r="G18" s="26" t="e">
        <f>INT(Table111[[#This Row],[Shares  bought]]*1.14)</f>
        <v>#DIV/0!</v>
      </c>
      <c r="H18" s="24" t="e">
        <f t="shared" ref="H18:H19" si="7">H17+F18</f>
        <v>#DIV/0!</v>
      </c>
      <c r="I18" s="24">
        <f t="shared" si="2"/>
        <v>120336910</v>
      </c>
      <c r="J18" s="26" t="e">
        <f t="shared" si="3"/>
        <v>#DIV/0!</v>
      </c>
      <c r="K18" s="26" t="e">
        <f t="shared" si="4"/>
        <v>#DIV/0!</v>
      </c>
      <c r="L18" s="26" t="e">
        <f t="shared" si="5"/>
        <v>#DIV/0!</v>
      </c>
      <c r="M18" s="26" t="e">
        <f t="shared" si="6"/>
        <v>#DIV/0!</v>
      </c>
      <c r="N18" s="26">
        <f>_xlfn.STDEV.S(D6:D18)</f>
        <v>8284.1207385127109</v>
      </c>
    </row>
    <row r="19" spans="2:14" ht="15.6" x14ac:dyDescent="0.3">
      <c r="C19" s="26">
        <v>14</v>
      </c>
      <c r="D19" s="24">
        <v>0</v>
      </c>
      <c r="E19" s="24">
        <v>0</v>
      </c>
      <c r="F19" s="26" t="e">
        <f>E19/D19</f>
        <v>#DIV/0!</v>
      </c>
      <c r="G19" s="26" t="e">
        <f>INT(Table111[[#This Row],[Shares  bought]]*1.14)</f>
        <v>#DIV/0!</v>
      </c>
      <c r="H19" s="24" t="e">
        <f t="shared" si="7"/>
        <v>#DIV/0!</v>
      </c>
      <c r="I19" s="24">
        <f t="shared" si="2"/>
        <v>120336910</v>
      </c>
      <c r="J19" s="26" t="e">
        <f t="shared" si="3"/>
        <v>#DIV/0!</v>
      </c>
      <c r="K19" s="26" t="e">
        <f t="shared" si="4"/>
        <v>#DIV/0!</v>
      </c>
      <c r="L19" s="26" t="e">
        <f t="shared" si="5"/>
        <v>#DIV/0!</v>
      </c>
      <c r="M19" s="26" t="e">
        <f t="shared" si="6"/>
        <v>#DIV/0!</v>
      </c>
      <c r="N19" s="26">
        <f>_xlfn.STDEV.S(D6:D19)</f>
        <v>10149.832592134298</v>
      </c>
    </row>
    <row r="23" spans="2:14" x14ac:dyDescent="0.3">
      <c r="E23" t="s">
        <v>197</v>
      </c>
      <c r="F23" t="s">
        <v>193</v>
      </c>
    </row>
    <row r="24" spans="2:14" x14ac:dyDescent="0.3">
      <c r="E24">
        <v>9694</v>
      </c>
      <c r="F24">
        <v>8473</v>
      </c>
    </row>
    <row r="25" spans="2:14" x14ac:dyDescent="0.3">
      <c r="E25">
        <v>5260</v>
      </c>
      <c r="F25">
        <v>4614</v>
      </c>
    </row>
    <row r="26" spans="2:14" x14ac:dyDescent="0.3">
      <c r="E26" t="s">
        <v>198</v>
      </c>
      <c r="F26" t="s">
        <v>194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C6" sqref="C6"/>
    </sheetView>
  </sheetViews>
  <sheetFormatPr defaultRowHeight="14.4" x14ac:dyDescent="0.3"/>
  <cols>
    <col min="7" max="7" width="17" customWidth="1"/>
    <col min="8" max="8" width="16.77734375" customWidth="1"/>
    <col min="9" max="9" width="24" customWidth="1"/>
    <col min="10" max="10" width="19.21875" customWidth="1"/>
    <col min="11" max="11" width="12.88671875" customWidth="1"/>
    <col min="12" max="12" width="13.5546875" customWidth="1"/>
    <col min="13" max="13" width="12" customWidth="1"/>
    <col min="14" max="14" width="16.109375" customWidth="1"/>
  </cols>
  <sheetData>
    <row r="4" spans="6:14" ht="21" x14ac:dyDescent="0.6">
      <c r="F4" s="11" t="s">
        <v>118</v>
      </c>
      <c r="G4" s="11" t="s">
        <v>119</v>
      </c>
      <c r="H4" s="11" t="s">
        <v>120</v>
      </c>
      <c r="I4" s="11" t="s">
        <v>121</v>
      </c>
      <c r="J4" s="11" t="s">
        <v>122</v>
      </c>
      <c r="K4" s="11" t="s">
        <v>123</v>
      </c>
      <c r="L4" s="11" t="s">
        <v>124</v>
      </c>
      <c r="M4" s="17"/>
      <c r="N4" s="17"/>
    </row>
    <row r="5" spans="6:14" ht="18" x14ac:dyDescent="0.35">
      <c r="F5" s="12" t="s">
        <v>125</v>
      </c>
      <c r="G5" s="14">
        <v>14500</v>
      </c>
      <c r="H5" s="14">
        <v>10649</v>
      </c>
      <c r="I5" s="14">
        <f>H5*G5</f>
        <v>154410500</v>
      </c>
      <c r="J5" s="14">
        <v>109374910</v>
      </c>
      <c r="K5" s="17">
        <f>I5-J5</f>
        <v>45035590</v>
      </c>
      <c r="L5" s="14">
        <f>100*(I5-J5)/J5</f>
        <v>41.175430452925632</v>
      </c>
    </row>
    <row r="6" spans="6:14" ht="18" x14ac:dyDescent="0.35">
      <c r="F6" s="12" t="s">
        <v>126</v>
      </c>
      <c r="G6" s="14">
        <v>952</v>
      </c>
      <c r="H6" s="14">
        <v>129591</v>
      </c>
      <c r="I6" s="14">
        <f t="shared" ref="I6:I12" si="0">H6*G6</f>
        <v>123370632</v>
      </c>
      <c r="J6" s="14">
        <v>109346990</v>
      </c>
      <c r="K6" s="17">
        <f t="shared" ref="K6:K13" si="1">I6-J6</f>
        <v>14023642</v>
      </c>
      <c r="L6" s="14">
        <f t="shared" ref="L6:L13" si="2">100*(I6-J6)/J6</f>
        <v>12.824899889791205</v>
      </c>
    </row>
    <row r="7" spans="6:14" ht="18" x14ac:dyDescent="0.35">
      <c r="F7" s="12" t="s">
        <v>127</v>
      </c>
      <c r="G7" s="14">
        <v>7040</v>
      </c>
      <c r="H7" s="14">
        <v>20631</v>
      </c>
      <c r="I7" s="14">
        <f t="shared" si="0"/>
        <v>145242240</v>
      </c>
      <c r="J7" s="14">
        <v>131882910</v>
      </c>
      <c r="K7" s="17">
        <f t="shared" si="1"/>
        <v>13359330</v>
      </c>
      <c r="L7" s="14">
        <f t="shared" si="2"/>
        <v>10.129690040961334</v>
      </c>
    </row>
    <row r="8" spans="6:14" ht="18" x14ac:dyDescent="0.35">
      <c r="F8" s="12" t="s">
        <v>128</v>
      </c>
      <c r="G8" s="14">
        <v>71050</v>
      </c>
      <c r="H8" s="14">
        <v>2025</v>
      </c>
      <c r="I8" s="14">
        <f t="shared" si="0"/>
        <v>143876250</v>
      </c>
      <c r="J8" s="14">
        <v>131622452</v>
      </c>
      <c r="K8" s="17">
        <f t="shared" si="1"/>
        <v>12253798</v>
      </c>
      <c r="L8" s="14">
        <f t="shared" si="2"/>
        <v>9.3098083296609602</v>
      </c>
    </row>
    <row r="9" spans="6:14" ht="18" x14ac:dyDescent="0.35">
      <c r="F9" s="12" t="s">
        <v>129</v>
      </c>
      <c r="G9" s="14">
        <v>14100</v>
      </c>
      <c r="H9" s="14">
        <v>5340</v>
      </c>
      <c r="I9" s="14">
        <f t="shared" si="0"/>
        <v>75294000</v>
      </c>
      <c r="J9" s="14">
        <v>130820412</v>
      </c>
      <c r="K9" s="17">
        <f t="shared" si="1"/>
        <v>-55526412</v>
      </c>
      <c r="L9" s="14">
        <f t="shared" si="2"/>
        <v>-42.444761601882128</v>
      </c>
    </row>
    <row r="10" spans="6:14" ht="18" x14ac:dyDescent="0.35">
      <c r="F10" s="12" t="s">
        <v>130</v>
      </c>
      <c r="G10" s="14">
        <v>498764000</v>
      </c>
      <c r="H10" s="14">
        <v>0.151784</v>
      </c>
      <c r="I10" s="14">
        <f t="shared" si="0"/>
        <v>75704394.975999996</v>
      </c>
      <c r="J10" s="14">
        <v>68862979.174497962</v>
      </c>
      <c r="K10" s="17">
        <f t="shared" si="1"/>
        <v>6841415.8015020341</v>
      </c>
      <c r="L10" s="14">
        <f t="shared" si="2"/>
        <v>9.9348240281123612</v>
      </c>
    </row>
    <row r="11" spans="6:14" ht="18" x14ac:dyDescent="0.35">
      <c r="F11" s="12" t="s">
        <v>131</v>
      </c>
      <c r="G11" s="15">
        <v>263200</v>
      </c>
      <c r="H11" s="14">
        <v>686.26789999999994</v>
      </c>
      <c r="I11" s="14">
        <f t="shared" si="0"/>
        <v>180625711.27999997</v>
      </c>
      <c r="J11" s="14">
        <v>187596227.86024123</v>
      </c>
      <c r="K11" s="17">
        <f t="shared" si="1"/>
        <v>-6970516.5802412629</v>
      </c>
      <c r="L11" s="14">
        <f t="shared" si="2"/>
        <v>-3.7157018879048476</v>
      </c>
    </row>
    <row r="12" spans="6:14" ht="18" x14ac:dyDescent="0.35">
      <c r="F12" s="12" t="s">
        <v>132</v>
      </c>
      <c r="G12" s="15">
        <v>767356960</v>
      </c>
      <c r="H12" s="14">
        <v>0.25002596471052635</v>
      </c>
      <c r="I12" s="14">
        <f t="shared" si="0"/>
        <v>191859164.20133677</v>
      </c>
      <c r="J12" s="14">
        <v>185725535.11929095</v>
      </c>
      <c r="K12" s="17">
        <f t="shared" si="1"/>
        <v>6133629.0820458233</v>
      </c>
      <c r="L12" s="14">
        <f t="shared" si="2"/>
        <v>3.3025233057512593</v>
      </c>
    </row>
    <row r="13" spans="6:14" ht="18" x14ac:dyDescent="0.35">
      <c r="F13" s="12" t="s">
        <v>133</v>
      </c>
      <c r="G13" s="14">
        <v>11406377360</v>
      </c>
      <c r="H13" s="14">
        <v>1.8112451979434167E-2</v>
      </c>
      <c r="I13" s="14">
        <f>H13*G13</f>
        <v>206597462.19230506</v>
      </c>
      <c r="J13" s="14">
        <v>213561379.65607548</v>
      </c>
      <c r="K13" s="17">
        <f t="shared" si="1"/>
        <v>-6963917.4637704194</v>
      </c>
      <c r="L13" s="14">
        <f t="shared" si="2"/>
        <v>-3.2608505690426255</v>
      </c>
    </row>
    <row r="14" spans="6:14" ht="18" x14ac:dyDescent="0.35">
      <c r="F14" s="13" t="s">
        <v>134</v>
      </c>
      <c r="G14" s="16"/>
      <c r="H14" s="16"/>
      <c r="I14" s="13">
        <f>SUM(I5:I13)</f>
        <v>1296980354.6496418</v>
      </c>
      <c r="J14" s="13">
        <f>SUM(J5:J13)</f>
        <v>1268793795.8101058</v>
      </c>
      <c r="K14" s="13">
        <f>SUM(K5:K13)</f>
        <v>28186558.839536175</v>
      </c>
      <c r="L14" s="13">
        <f>100*(I14-J14)/J14</f>
        <v>2.221524012224481</v>
      </c>
    </row>
    <row r="20" spans="7:7" x14ac:dyDescent="0.3">
      <c r="G20" s="4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21"/>
  <sheetViews>
    <sheetView topLeftCell="A8" workbookViewId="0">
      <selection activeCell="D17" sqref="D17"/>
    </sheetView>
  </sheetViews>
  <sheetFormatPr defaultRowHeight="14.4" x14ac:dyDescent="0.3"/>
  <cols>
    <col min="4" max="4" width="15" customWidth="1"/>
    <col min="5" max="5" width="13.21875" customWidth="1"/>
    <col min="6" max="6" width="14.44140625" customWidth="1"/>
    <col min="7" max="7" width="18.88671875" customWidth="1"/>
    <col min="8" max="8" width="16.5546875" customWidth="1"/>
    <col min="9" max="9" width="21.109375" customWidth="1"/>
    <col min="10" max="10" width="18.33203125" customWidth="1"/>
    <col min="11" max="11" width="12.88671875" customWidth="1"/>
    <col min="12" max="12" width="10" customWidth="1"/>
    <col min="13" max="13" width="12" customWidth="1"/>
    <col min="14" max="14" width="16.109375" customWidth="1"/>
  </cols>
  <sheetData>
    <row r="7" spans="3:12" x14ac:dyDescent="0.3">
      <c r="I7" t="s">
        <v>199</v>
      </c>
    </row>
    <row r="8" spans="3:12" x14ac:dyDescent="0.3">
      <c r="G8" t="s">
        <v>200</v>
      </c>
    </row>
    <row r="9" spans="3:12" ht="20.399999999999999" x14ac:dyDescent="0.65">
      <c r="C9" s="49"/>
      <c r="D9" s="50" t="s">
        <v>144</v>
      </c>
      <c r="E9" s="50" t="s">
        <v>201</v>
      </c>
      <c r="F9" s="50" t="s">
        <v>202</v>
      </c>
      <c r="G9" s="50" t="s">
        <v>203</v>
      </c>
      <c r="H9" s="50" t="s">
        <v>204</v>
      </c>
      <c r="I9" s="50" t="s">
        <v>205</v>
      </c>
      <c r="J9" s="50" t="s">
        <v>206</v>
      </c>
      <c r="K9" s="50" t="s">
        <v>207</v>
      </c>
      <c r="L9" s="50" t="s">
        <v>208</v>
      </c>
    </row>
    <row r="10" spans="3:12" ht="23.4" x14ac:dyDescent="0.75">
      <c r="D10" s="51">
        <f>100*E10/J10</f>
        <v>-0.14241921042469388</v>
      </c>
      <c r="E10" s="51">
        <f>F10-J10</f>
        <v>-220037.8339188993</v>
      </c>
      <c r="F10" s="51">
        <f>G10+H10</f>
        <v>154280070.1660811</v>
      </c>
      <c r="G10" s="51">
        <v>74779962.166081101</v>
      </c>
      <c r="H10" s="51">
        <f>J10-I10</f>
        <v>79500108</v>
      </c>
      <c r="I10" s="51">
        <v>75000000</v>
      </c>
      <c r="J10" s="51">
        <v>154500108</v>
      </c>
      <c r="K10" s="52" t="s">
        <v>182</v>
      </c>
      <c r="L10" s="68">
        <v>1400</v>
      </c>
    </row>
    <row r="11" spans="3:12" ht="23.4" x14ac:dyDescent="0.75">
      <c r="D11" s="51">
        <f t="shared" ref="D11:D21" si="0">100*E11/J11</f>
        <v>-1.9285975216455777</v>
      </c>
      <c r="E11" s="51">
        <f t="shared" ref="E11:E21" si="1">F11-J11</f>
        <v>-5159000.4532872438</v>
      </c>
      <c r="F11" s="51">
        <f t="shared" ref="F11:F16" si="2">G11+H11</f>
        <v>262341107.54671276</v>
      </c>
      <c r="G11" s="51">
        <v>219340999.54671276</v>
      </c>
      <c r="H11" s="51">
        <f t="shared" ref="H11:H14" si="3">J11-I11</f>
        <v>43000108</v>
      </c>
      <c r="I11" s="51">
        <f>149500000+I10</f>
        <v>224500000</v>
      </c>
      <c r="J11" s="51">
        <v>267500108</v>
      </c>
      <c r="K11" s="52" t="s">
        <v>51</v>
      </c>
      <c r="L11" s="69"/>
    </row>
    <row r="12" spans="3:12" ht="23.4" x14ac:dyDescent="0.75">
      <c r="D12" s="51">
        <f t="shared" si="0"/>
        <v>-3.6094534864740706</v>
      </c>
      <c r="E12" s="51">
        <f t="shared" si="1"/>
        <v>-13300839.995866716</v>
      </c>
      <c r="F12" s="51">
        <f t="shared" si="2"/>
        <v>355199268.00413328</v>
      </c>
      <c r="G12" s="51">
        <v>325199160.00413328</v>
      </c>
      <c r="H12" s="51">
        <f t="shared" si="3"/>
        <v>30000108</v>
      </c>
      <c r="I12" s="51">
        <f>114000000+I11</f>
        <v>338500000</v>
      </c>
      <c r="J12" s="51">
        <v>368500108</v>
      </c>
      <c r="K12" s="52" t="s">
        <v>52</v>
      </c>
      <c r="L12" s="69"/>
    </row>
    <row r="13" spans="3:12" ht="23.4" x14ac:dyDescent="0.75">
      <c r="D13" s="51">
        <f t="shared" si="0"/>
        <v>-3.9664913007865721</v>
      </c>
      <c r="E13" s="51">
        <f t="shared" si="1"/>
        <v>-18622680.941003561</v>
      </c>
      <c r="F13" s="51">
        <f t="shared" si="2"/>
        <v>450877427.05899644</v>
      </c>
      <c r="G13" s="51">
        <v>429877319.05899644</v>
      </c>
      <c r="H13" s="51">
        <f t="shared" si="3"/>
        <v>21000108</v>
      </c>
      <c r="I13" s="51">
        <f>110000000+I12</f>
        <v>448500000</v>
      </c>
      <c r="J13" s="51">
        <v>469500108</v>
      </c>
      <c r="K13" s="52" t="s">
        <v>209</v>
      </c>
      <c r="L13" s="69"/>
    </row>
    <row r="14" spans="3:12" ht="23.4" x14ac:dyDescent="0.75">
      <c r="D14" s="51">
        <f t="shared" si="0"/>
        <v>3.3471033939588408</v>
      </c>
      <c r="E14" s="51">
        <f t="shared" si="1"/>
        <v>18944605.209807038</v>
      </c>
      <c r="F14" s="51">
        <f t="shared" si="2"/>
        <v>584944605.20980704</v>
      </c>
      <c r="G14" s="53">
        <v>571444605.20980704</v>
      </c>
      <c r="H14" s="51">
        <f t="shared" si="3"/>
        <v>13500000</v>
      </c>
      <c r="I14" s="51">
        <f>104000000+I13</f>
        <v>552500000</v>
      </c>
      <c r="J14" s="53">
        <v>566000000</v>
      </c>
      <c r="K14" s="52" t="s">
        <v>54</v>
      </c>
      <c r="L14" s="69"/>
    </row>
    <row r="15" spans="3:12" ht="23.4" x14ac:dyDescent="0.75">
      <c r="D15" s="51">
        <f t="shared" si="0"/>
        <v>21.936187183145876</v>
      </c>
      <c r="E15" s="51">
        <f t="shared" si="1"/>
        <v>148727349.10172904</v>
      </c>
      <c r="F15" s="51">
        <f t="shared" si="2"/>
        <v>826727349.10172904</v>
      </c>
      <c r="G15" s="53">
        <v>816227349.10172904</v>
      </c>
      <c r="H15" s="53">
        <v>10500000</v>
      </c>
      <c r="I15" s="53">
        <f>I14+115000000</f>
        <v>667500000</v>
      </c>
      <c r="J15" s="53">
        <v>678000000</v>
      </c>
      <c r="K15" s="52" t="s">
        <v>55</v>
      </c>
      <c r="L15" s="69"/>
    </row>
    <row r="16" spans="3:12" ht="23.4" x14ac:dyDescent="0.75">
      <c r="D16" s="51">
        <f t="shared" si="0"/>
        <v>9.9955172324848167</v>
      </c>
      <c r="E16" s="51">
        <f t="shared" si="1"/>
        <v>78214922.344193697</v>
      </c>
      <c r="F16" s="51">
        <f t="shared" si="2"/>
        <v>860714922.3441937</v>
      </c>
      <c r="G16" s="53">
        <v>854214922.3441937</v>
      </c>
      <c r="H16" s="53">
        <v>6500000</v>
      </c>
      <c r="I16" s="53">
        <f>I15+108500000</f>
        <v>776000000</v>
      </c>
      <c r="J16" s="53">
        <v>782500000</v>
      </c>
      <c r="K16" s="52" t="s">
        <v>56</v>
      </c>
      <c r="L16" s="69"/>
    </row>
    <row r="17" spans="4:12" ht="23.4" x14ac:dyDescent="0.75">
      <c r="D17" s="51">
        <f t="shared" si="0"/>
        <v>18.065892568099141</v>
      </c>
      <c r="E17" s="51">
        <f t="shared" si="1"/>
        <v>161689738.4844873</v>
      </c>
      <c r="F17" s="51">
        <f>G17+H17</f>
        <v>1056689738.4844873</v>
      </c>
      <c r="G17" s="53">
        <v>1044689738.4844873</v>
      </c>
      <c r="H17" s="53">
        <f>12000000</f>
        <v>12000000</v>
      </c>
      <c r="I17" s="53">
        <f>I16+107000000</f>
        <v>883000000</v>
      </c>
      <c r="J17" s="53">
        <v>895000000</v>
      </c>
      <c r="K17" s="52" t="s">
        <v>57</v>
      </c>
      <c r="L17" s="69"/>
    </row>
    <row r="18" spans="4:12" ht="23.4" x14ac:dyDescent="0.75">
      <c r="D18" s="51">
        <f t="shared" si="0"/>
        <v>15.869715645203216</v>
      </c>
      <c r="E18" s="51">
        <f t="shared" si="1"/>
        <v>158776505.03025818</v>
      </c>
      <c r="F18" s="51">
        <f>G18+H18</f>
        <v>1159276505.0302582</v>
      </c>
      <c r="G18" s="53">
        <v>1151776505.0302582</v>
      </c>
      <c r="H18" s="53">
        <f>Table5[[#This Row],[کل واریزی صندوق]]-I18</f>
        <v>7500000</v>
      </c>
      <c r="I18" s="53">
        <f>I17+110000000</f>
        <v>993000000</v>
      </c>
      <c r="J18" s="53">
        <v>1000500000</v>
      </c>
      <c r="K18" s="52" t="s">
        <v>58</v>
      </c>
      <c r="L18" s="69"/>
    </row>
    <row r="19" spans="4:12" ht="23.4" x14ac:dyDescent="0.75">
      <c r="D19" s="51">
        <f t="shared" si="0"/>
        <v>13.781620227285602</v>
      </c>
      <c r="E19" s="51">
        <f t="shared" si="1"/>
        <v>152493627.81491518</v>
      </c>
      <c r="F19" s="51">
        <f>G19+H19</f>
        <v>1258993627.8149152</v>
      </c>
      <c r="G19" s="53">
        <v>1249993627.8149152</v>
      </c>
      <c r="H19" s="53">
        <v>9000000</v>
      </c>
      <c r="I19" s="53">
        <f>I18+106000000</f>
        <v>1099000000</v>
      </c>
      <c r="J19" s="53">
        <v>1106500000</v>
      </c>
      <c r="K19" s="52" t="s">
        <v>186</v>
      </c>
      <c r="L19" s="69"/>
    </row>
    <row r="20" spans="4:12" ht="23.4" x14ac:dyDescent="0.75">
      <c r="D20" s="51">
        <f t="shared" si="0"/>
        <v>-6.3183542597186957</v>
      </c>
      <c r="E20" s="51">
        <f t="shared" si="1"/>
        <v>-76594249.513439894</v>
      </c>
      <c r="F20" s="51">
        <f>G20+H20</f>
        <v>1135655750.4865601</v>
      </c>
      <c r="G20" s="53">
        <f>1118705750.48656+10700000</f>
        <v>1129405750.4865601</v>
      </c>
      <c r="H20" s="53">
        <v>6250000</v>
      </c>
      <c r="I20" s="53">
        <f>I19+107000000</f>
        <v>1206000000</v>
      </c>
      <c r="J20" s="53">
        <v>1212250000</v>
      </c>
      <c r="K20" s="52" t="s">
        <v>48</v>
      </c>
      <c r="L20" s="69"/>
    </row>
    <row r="21" spans="4:12" ht="23.4" x14ac:dyDescent="0.75">
      <c r="D21" s="51">
        <f t="shared" si="0"/>
        <v>-1.4452618047384687</v>
      </c>
      <c r="E21" s="51">
        <f t="shared" si="1"/>
        <v>-19019645.350358248</v>
      </c>
      <c r="F21" s="51">
        <f>G21+H21</f>
        <v>1296980354.6496418</v>
      </c>
      <c r="G21" s="53">
        <v>1296980354.6496418</v>
      </c>
      <c r="H21" s="53">
        <v>0</v>
      </c>
      <c r="I21" s="53">
        <f>110000000+I20</f>
        <v>1316000000</v>
      </c>
      <c r="J21" s="53">
        <v>1316000000</v>
      </c>
      <c r="K21" s="52" t="s">
        <v>47</v>
      </c>
      <c r="L21" s="69"/>
    </row>
  </sheetData>
  <mergeCells count="1">
    <mergeCell ref="L10:L2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A109" workbookViewId="0">
      <selection activeCell="E130" sqref="E130"/>
    </sheetView>
  </sheetViews>
  <sheetFormatPr defaultRowHeight="14.4" x14ac:dyDescent="0.3"/>
  <cols>
    <col min="2" max="2" width="12.77734375" bestFit="1" customWidth="1"/>
    <col min="13" max="13" width="10.33203125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1" spans="1:19" x14ac:dyDescent="0.3">
      <c r="C1">
        <f t="shared" ref="C1:L1" si="0">1+D1</f>
        <v>11</v>
      </c>
      <c r="D1">
        <f t="shared" si="0"/>
        <v>10</v>
      </c>
      <c r="E1">
        <f t="shared" si="0"/>
        <v>9</v>
      </c>
      <c r="F1">
        <f t="shared" si="0"/>
        <v>8</v>
      </c>
      <c r="G1">
        <f t="shared" si="0"/>
        <v>7</v>
      </c>
      <c r="H1">
        <f t="shared" si="0"/>
        <v>6</v>
      </c>
      <c r="I1">
        <f t="shared" si="0"/>
        <v>5</v>
      </c>
      <c r="J1">
        <f t="shared" si="0"/>
        <v>4</v>
      </c>
      <c r="K1">
        <f t="shared" si="0"/>
        <v>3</v>
      </c>
      <c r="L1">
        <f t="shared" si="0"/>
        <v>2</v>
      </c>
      <c r="M1">
        <f>1+N1</f>
        <v>1</v>
      </c>
      <c r="N1" s="3">
        <v>0</v>
      </c>
    </row>
    <row r="2" spans="1:19" x14ac:dyDescent="0.3">
      <c r="C2" s="3">
        <f t="shared" ref="C2:M2" si="1">0.2/12</f>
        <v>1.6666666666666666E-2</v>
      </c>
      <c r="D2" s="3">
        <f t="shared" si="1"/>
        <v>1.6666666666666666E-2</v>
      </c>
      <c r="E2" s="3">
        <f t="shared" si="1"/>
        <v>1.6666666666666666E-2</v>
      </c>
      <c r="F2" s="3">
        <f t="shared" si="1"/>
        <v>1.6666666666666666E-2</v>
      </c>
      <c r="G2" s="3">
        <f t="shared" si="1"/>
        <v>1.6666666666666666E-2</v>
      </c>
      <c r="H2" s="3">
        <f t="shared" si="1"/>
        <v>1.6666666666666666E-2</v>
      </c>
      <c r="I2" s="3">
        <f t="shared" si="1"/>
        <v>1.6666666666666666E-2</v>
      </c>
      <c r="J2" s="3">
        <f t="shared" si="1"/>
        <v>1.6666666666666666E-2</v>
      </c>
      <c r="K2" s="3">
        <f t="shared" si="1"/>
        <v>1.6666666666666666E-2</v>
      </c>
      <c r="L2" s="3">
        <f t="shared" si="1"/>
        <v>1.6666666666666666E-2</v>
      </c>
      <c r="M2" s="3">
        <f t="shared" si="1"/>
        <v>1.6666666666666666E-2</v>
      </c>
      <c r="N2" s="3">
        <f>0.2/12</f>
        <v>1.6666666666666666E-2</v>
      </c>
    </row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67" si="2">SUM(C4:N4)</f>
        <v>3292.5096004599523</v>
      </c>
      <c r="C4" s="2">
        <f>'1400'!C4/((1+C$2)^C$1)</f>
        <v>250.1248399923343</v>
      </c>
      <c r="D4" s="2">
        <f>'1400'!D4/((1+D$2)^D$1)</f>
        <v>254.29358732553982</v>
      </c>
      <c r="E4" s="2">
        <f>'1400'!E4/((1+E$2)^E$1)</f>
        <v>258.53181378096548</v>
      </c>
      <c r="F4" s="2">
        <f>'1400'!F4/((1+F$2)^F$1)</f>
        <v>262.84067734398155</v>
      </c>
      <c r="G4" s="2">
        <f>'1400'!G4/((1+G$2)^G$1)</f>
        <v>267.22135529971456</v>
      </c>
      <c r="H4" s="2">
        <f>'1400'!H4/((1+H$2)^H$1)</f>
        <v>271.67504455470976</v>
      </c>
      <c r="I4" s="2">
        <f>'1400'!I4/((1+I$2)^I$1)</f>
        <v>276.20296196395492</v>
      </c>
      <c r="J4" s="2">
        <f>'1400'!J4/((1+J$2)^J$1)</f>
        <v>280.8063446633542</v>
      </c>
      <c r="K4" s="2">
        <f>'1400'!K4/((1+K$2)^K$1)</f>
        <v>285.48645040774346</v>
      </c>
      <c r="L4" s="2">
        <f>'1400'!L4/((1+L$2)^L$1)</f>
        <v>290.24455791453914</v>
      </c>
      <c r="M4" s="2">
        <f>'1400'!M4/((1+M$2)^M$1)</f>
        <v>295.08196721311475</v>
      </c>
      <c r="N4" s="2">
        <f>'1400'!N4/((1+N$2)^N$1)</f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2"/>
        <v>2019.1580414668481</v>
      </c>
      <c r="C5" s="2">
        <f>'1400'!C5/((1+C$2)^C$1)</f>
        <v>41.687473332055717</v>
      </c>
      <c r="D5" s="2">
        <f>'1400'!D5/((1+D$2)^D$1)</f>
        <v>42.382264554256636</v>
      </c>
      <c r="E5" s="2">
        <f>'1400'!E5/((1+E$2)^E$1)</f>
        <v>43.088635630160908</v>
      </c>
      <c r="F5" s="2">
        <f>'1400'!F5/((1+F$2)^F$1)</f>
        <v>43.806779557330259</v>
      </c>
      <c r="G5" s="2">
        <f>'1400'!G5/((1+G$2)^G$1)</f>
        <v>133.61067764985728</v>
      </c>
      <c r="H5" s="2">
        <f>'1400'!H5/((1+H$2)^H$1)</f>
        <v>226.39587046225813</v>
      </c>
      <c r="I5" s="2">
        <f>'1400'!I5/((1+I$2)^I$1)</f>
        <v>230.16913496996244</v>
      </c>
      <c r="J5" s="2">
        <f>'1400'!J5/((1+J$2)^J$1)</f>
        <v>187.20422977556944</v>
      </c>
      <c r="K5" s="2">
        <f>'1400'!K5/((1+K$2)^K$1)</f>
        <v>285.48645040774346</v>
      </c>
      <c r="L5" s="2">
        <f>'1400'!L5/((1+L$2)^L$1)</f>
        <v>290.24455791453914</v>
      </c>
      <c r="M5" s="2">
        <f>'1400'!M5/((1+M$2)^M$1)</f>
        <v>295.08196721311475</v>
      </c>
      <c r="N5" s="2">
        <f>'1400'!N5/((1+N$2)^N$1)</f>
        <v>200</v>
      </c>
      <c r="O5" s="5">
        <v>50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2"/>
        <v>743.88709599922481</v>
      </c>
      <c r="C6" s="2">
        <f>'1400'!C6/((1+C$2)^C$1)</f>
        <v>41.687473332055717</v>
      </c>
      <c r="D6" s="2">
        <f>'1400'!D6/((1+D$2)^D$1)</f>
        <v>42.382264554256636</v>
      </c>
      <c r="E6" s="2">
        <f>'1400'!E6/((1+E$2)^E$1)</f>
        <v>43.088635630160908</v>
      </c>
      <c r="F6" s="2">
        <f>'1400'!F6/((1+F$2)^F$1)</f>
        <v>43.806779557330259</v>
      </c>
      <c r="G6" s="2">
        <f>'1400'!G6/((1+G$2)^G$1)</f>
        <v>44.536892549952434</v>
      </c>
      <c r="H6" s="2">
        <f>'1400'!H6/((1+H$2)^H$1)</f>
        <v>45.279174092451626</v>
      </c>
      <c r="I6" s="2">
        <f>'1400'!I6/((1+I$2)^I$1)</f>
        <v>46.033826993992484</v>
      </c>
      <c r="J6" s="2">
        <f>'1400'!J6/((1+J$2)^J$1)</f>
        <v>46.801057443892361</v>
      </c>
      <c r="K6" s="2">
        <f>'1400'!K6/((1+K$2)^K$1)</f>
        <v>95.162150135914487</v>
      </c>
      <c r="L6" s="2">
        <f>'1400'!L6/((1+L$2)^L$1)</f>
        <v>96.748185971513038</v>
      </c>
      <c r="M6" s="2">
        <f>'1400'!M6/((1+M$2)^M$1)</f>
        <v>98.360655737704917</v>
      </c>
      <c r="N6" s="2">
        <f>'1400'!N6/((1+N$2)^N$1)</f>
        <v>100</v>
      </c>
      <c r="O6" s="5">
        <v>50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2"/>
        <v>743.88709599922481</v>
      </c>
      <c r="C7" s="2">
        <f>'1400'!C7/((1+C$2)^C$1)</f>
        <v>41.687473332055717</v>
      </c>
      <c r="D7" s="2">
        <f>'1400'!D7/((1+D$2)^D$1)</f>
        <v>42.382264554256636</v>
      </c>
      <c r="E7" s="2">
        <f>'1400'!E7/((1+E$2)^E$1)</f>
        <v>43.088635630160908</v>
      </c>
      <c r="F7" s="2">
        <f>'1400'!F7/((1+F$2)^F$1)</f>
        <v>43.806779557330259</v>
      </c>
      <c r="G7" s="2">
        <f>'1400'!G7/((1+G$2)^G$1)</f>
        <v>44.536892549952434</v>
      </c>
      <c r="H7" s="2">
        <f>'1400'!H7/((1+H$2)^H$1)</f>
        <v>45.279174092451626</v>
      </c>
      <c r="I7" s="2">
        <f>'1400'!I7/((1+I$2)^I$1)</f>
        <v>46.033826993992484</v>
      </c>
      <c r="J7" s="2">
        <f>'1400'!J7/((1+J$2)^J$1)</f>
        <v>46.801057443892361</v>
      </c>
      <c r="K7" s="2">
        <f>'1400'!K7/((1+K$2)^K$1)</f>
        <v>95.162150135914487</v>
      </c>
      <c r="L7" s="2">
        <f>'1400'!L7/((1+L$2)^L$1)</f>
        <v>96.748185971513038</v>
      </c>
      <c r="M7" s="2">
        <f>'1400'!M7/((1+M$2)^M$1)</f>
        <v>98.360655737704917</v>
      </c>
      <c r="N7" s="2">
        <f>'1400'!N7/((1+N$2)^N$1)</f>
        <v>100</v>
      </c>
      <c r="O7" s="5">
        <v>50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2"/>
        <v>3063.1571535679204</v>
      </c>
      <c r="C8" s="2">
        <f>'1400'!C8/((1+C$2)^C$1)</f>
        <v>83.374946664111434</v>
      </c>
      <c r="D8" s="2">
        <f>'1400'!D8/((1+D$2)^D$1)</f>
        <v>84.764529108513273</v>
      </c>
      <c r="E8" s="2">
        <f>'1400'!E8/((1+E$2)^E$1)</f>
        <v>86.177271260321817</v>
      </c>
      <c r="F8" s="2">
        <f>'1400'!F8/((1+F$2)^F$1)</f>
        <v>87.613559114660518</v>
      </c>
      <c r="G8" s="2">
        <f>'1400'!G8/((1+G$2)^G$1)</f>
        <v>89.073785099904867</v>
      </c>
      <c r="H8" s="2">
        <f>'1400'!H8/((1+H$2)^H$1)</f>
        <v>90.558348184903252</v>
      </c>
      <c r="I8" s="2">
        <f>'1400'!I8/((1+I$2)^I$1)</f>
        <v>92.067653987984968</v>
      </c>
      <c r="J8" s="2">
        <f>'1400'!J8/((1+J$2)^J$1)</f>
        <v>93.602114887784722</v>
      </c>
      <c r="K8" s="2">
        <f>'1400'!K8/((1+K$2)^K$1)</f>
        <v>190.32430027182897</v>
      </c>
      <c r="L8" s="2">
        <f>'1400'!L8/((1+L$2)^L$1)</f>
        <v>96.748185971513038</v>
      </c>
      <c r="M8" s="2">
        <f>'1400'!M8/((1+M$2)^M$1)</f>
        <v>1868.8524590163936</v>
      </c>
      <c r="N8" s="2">
        <f>'1400'!N8/((1+N$2)^N$1)</f>
        <v>200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2"/>
        <v>2195.006400306635</v>
      </c>
      <c r="C9" s="2">
        <f>'1400'!C9/((1+C$2)^C$1)</f>
        <v>166.74989332822287</v>
      </c>
      <c r="D9" s="2">
        <f>'1400'!D9/((1+D$2)^D$1)</f>
        <v>169.52905821702655</v>
      </c>
      <c r="E9" s="2">
        <f>'1400'!E9/((1+E$2)^E$1)</f>
        <v>172.35454252064363</v>
      </c>
      <c r="F9" s="2">
        <f>'1400'!F9/((1+F$2)^F$1)</f>
        <v>175.22711822932104</v>
      </c>
      <c r="G9" s="2">
        <f>'1400'!G9/((1+G$2)^G$1)</f>
        <v>178.14757019980973</v>
      </c>
      <c r="H9" s="2">
        <f>'1400'!H9/((1+H$2)^H$1)</f>
        <v>181.1166963698065</v>
      </c>
      <c r="I9" s="2">
        <f>'1400'!I9/((1+I$2)^I$1)</f>
        <v>184.13530797596994</v>
      </c>
      <c r="J9" s="2">
        <f>'1400'!J9/((1+J$2)^J$1)</f>
        <v>187.20422977556944</v>
      </c>
      <c r="K9" s="2">
        <f>'1400'!K9/((1+K$2)^K$1)</f>
        <v>190.32430027182897</v>
      </c>
      <c r="L9" s="2">
        <f>'1400'!L9/((1+L$2)^L$1)</f>
        <v>193.49637194302608</v>
      </c>
      <c r="M9" s="2">
        <f>'1400'!M9/((1+M$2)^M$1)</f>
        <v>196.72131147540983</v>
      </c>
      <c r="N9" s="2">
        <f>'1400'!N9/((1+N$2)^N$1)</f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2"/>
        <v>1982.7491017926618</v>
      </c>
      <c r="C10" s="2">
        <f>'1400'!C10/((1+C$2)^C$1)</f>
        <v>83.374946664111434</v>
      </c>
      <c r="D10" s="2">
        <f>'1400'!D10/((1+D$2)^D$1)</f>
        <v>84.764529108513273</v>
      </c>
      <c r="E10" s="2">
        <f>'1400'!E10/((1+E$2)^E$1)</f>
        <v>86.177271260321817</v>
      </c>
      <c r="F10" s="2">
        <f>'1400'!F10/((1+F$2)^F$1)</f>
        <v>87.613559114660518</v>
      </c>
      <c r="G10" s="2">
        <f>'1400'!G10/((1+G$2)^G$1)</f>
        <v>89.073785099904867</v>
      </c>
      <c r="H10" s="2">
        <f>'1400'!H10/((1+H$2)^H$1)</f>
        <v>90.558348184903252</v>
      </c>
      <c r="I10" s="2">
        <f>'1400'!I10/((1+I$2)^I$1)</f>
        <v>92.067653987984968</v>
      </c>
      <c r="J10" s="2">
        <f>'1400'!J10/((1+J$2)^J$1)</f>
        <v>93.602114887784722</v>
      </c>
      <c r="K10" s="2">
        <f>'1400'!K10/((1+K$2)^K$1)</f>
        <v>95.162150135914487</v>
      </c>
      <c r="L10" s="2">
        <f>'1400'!L10/((1+L$2)^L$1)</f>
        <v>96.748185971513038</v>
      </c>
      <c r="M10" s="2">
        <f>'1400'!M10/((1+M$2)^M$1)</f>
        <v>983.60655737704928</v>
      </c>
      <c r="N10" s="2">
        <f>'1400'!N10/((1+N$2)^N$1)</f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2"/>
        <v>548.75160007665875</v>
      </c>
      <c r="C11" s="2">
        <f>'1400'!C11/((1+C$2)^C$1)</f>
        <v>41.687473332055717</v>
      </c>
      <c r="D11" s="2">
        <f>'1400'!D11/((1+D$2)^D$1)</f>
        <v>42.382264554256636</v>
      </c>
      <c r="E11" s="2">
        <f>'1400'!E11/((1+E$2)^E$1)</f>
        <v>43.088635630160908</v>
      </c>
      <c r="F11" s="2">
        <f>'1400'!F11/((1+F$2)^F$1)</f>
        <v>43.806779557330259</v>
      </c>
      <c r="G11" s="2">
        <f>'1400'!G11/((1+G$2)^G$1)</f>
        <v>44.536892549952434</v>
      </c>
      <c r="H11" s="2">
        <f>'1400'!H11/((1+H$2)^H$1)</f>
        <v>45.279174092451626</v>
      </c>
      <c r="I11" s="2">
        <f>'1400'!I11/((1+I$2)^I$1)</f>
        <v>46.033826993992484</v>
      </c>
      <c r="J11" s="2">
        <f>'1400'!J11/((1+J$2)^J$1)</f>
        <v>46.801057443892361</v>
      </c>
      <c r="K11" s="2">
        <f>'1400'!K11/((1+K$2)^K$1)</f>
        <v>47.581075067957244</v>
      </c>
      <c r="L11" s="2">
        <f>'1400'!L11/((1+L$2)^L$1)</f>
        <v>48.374092985756519</v>
      </c>
      <c r="M11" s="2">
        <f>'1400'!M11/((1+M$2)^M$1)</f>
        <v>49.180327868852459</v>
      </c>
      <c r="N11" s="2">
        <f>'1400'!N11/((1+N$2)^N$1)</f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2"/>
        <v>1006.9448519684142</v>
      </c>
      <c r="C12" s="2">
        <f>'1400'!C12/((1+C$2)^C$1)</f>
        <v>83.374946664111434</v>
      </c>
      <c r="D12" s="2">
        <f>'1400'!D12/((1+D$2)^D$1)</f>
        <v>84.764529108513273</v>
      </c>
      <c r="E12" s="2">
        <f>'1400'!E12/((1+E$2)^E$1)</f>
        <v>86.177271260321817</v>
      </c>
      <c r="F12" s="2">
        <f>'1400'!F12/((1+F$2)^F$1)</f>
        <v>87.613559114660518</v>
      </c>
      <c r="G12" s="2">
        <f>'1400'!G12/((1+G$2)^G$1)</f>
        <v>89.073785099904867</v>
      </c>
      <c r="H12" s="2">
        <f>'1400'!H12/((1+H$2)^H$1)</f>
        <v>0</v>
      </c>
      <c r="I12" s="2">
        <f>'1400'!I12/((1+I$2)^I$1)</f>
        <v>92.067653987984968</v>
      </c>
      <c r="J12" s="2">
        <f>'1400'!J12/((1+J$2)^J$1)</f>
        <v>93.602114887784722</v>
      </c>
      <c r="K12" s="2">
        <f>'1400'!K12/((1+K$2)^K$1)</f>
        <v>95.162150135914487</v>
      </c>
      <c r="L12" s="2">
        <f>'1400'!L12/((1+L$2)^L$1)</f>
        <v>96.748185971513038</v>
      </c>
      <c r="M12" s="2">
        <f>'1400'!M12/((1+M$2)^M$1)</f>
        <v>98.360655737704917</v>
      </c>
      <c r="N12" s="2">
        <f>'1400'!N12/((1+N$2)^N$1)</f>
        <v>100</v>
      </c>
      <c r="O12" s="5">
        <v>100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2"/>
        <v>548.75160007665875</v>
      </c>
      <c r="C13" s="2">
        <f>'1400'!C13/((1+C$2)^C$1)</f>
        <v>41.687473332055717</v>
      </c>
      <c r="D13" s="2">
        <f>'1400'!D13/((1+D$2)^D$1)</f>
        <v>42.382264554256636</v>
      </c>
      <c r="E13" s="2">
        <f>'1400'!E13/((1+E$2)^E$1)</f>
        <v>43.088635630160908</v>
      </c>
      <c r="F13" s="2">
        <f>'1400'!F13/((1+F$2)^F$1)</f>
        <v>43.806779557330259</v>
      </c>
      <c r="G13" s="2">
        <f>'1400'!G13/((1+G$2)^G$1)</f>
        <v>44.536892549952434</v>
      </c>
      <c r="H13" s="2">
        <f>'1400'!H13/((1+H$2)^H$1)</f>
        <v>45.279174092451626</v>
      </c>
      <c r="I13" s="2">
        <f>'1400'!I13/((1+I$2)^I$1)</f>
        <v>46.033826993992484</v>
      </c>
      <c r="J13" s="2">
        <f>'1400'!J13/((1+J$2)^J$1)</f>
        <v>46.801057443892361</v>
      </c>
      <c r="K13" s="2">
        <f>'1400'!K13/((1+K$2)^K$1)</f>
        <v>47.581075067957244</v>
      </c>
      <c r="L13" s="2">
        <f>'1400'!L13/((1+L$2)^L$1)</f>
        <v>48.374092985756519</v>
      </c>
      <c r="M13" s="2">
        <f>'1400'!M13/((1+M$2)^M$1)</f>
        <v>49.180327868852459</v>
      </c>
      <c r="N13" s="2">
        <f>'1400'!N13/((1+N$2)^N$1)</f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2"/>
        <v>548.75160007665875</v>
      </c>
      <c r="C14" s="2">
        <f>'1400'!C14/((1+C$2)^C$1)</f>
        <v>41.687473332055717</v>
      </c>
      <c r="D14" s="2">
        <f>'1400'!D14/((1+D$2)^D$1)</f>
        <v>42.382264554256636</v>
      </c>
      <c r="E14" s="2">
        <f>'1400'!E14/((1+E$2)^E$1)</f>
        <v>43.088635630160908</v>
      </c>
      <c r="F14" s="2">
        <f>'1400'!F14/((1+F$2)^F$1)</f>
        <v>43.806779557330259</v>
      </c>
      <c r="G14" s="2">
        <f>'1400'!G14/((1+G$2)^G$1)</f>
        <v>44.536892549952434</v>
      </c>
      <c r="H14" s="2">
        <f>'1400'!H14/((1+H$2)^H$1)</f>
        <v>45.279174092451626</v>
      </c>
      <c r="I14" s="2">
        <f>'1400'!I14/((1+I$2)^I$1)</f>
        <v>46.033826993992484</v>
      </c>
      <c r="J14" s="2">
        <f>'1400'!J14/((1+J$2)^J$1)</f>
        <v>46.801057443892361</v>
      </c>
      <c r="K14" s="2">
        <f>'1400'!K14/((1+K$2)^K$1)</f>
        <v>47.581075067957244</v>
      </c>
      <c r="L14" s="2">
        <f>'1400'!L14/((1+L$2)^L$1)</f>
        <v>48.374092985756519</v>
      </c>
      <c r="M14" s="2">
        <f>'1400'!M14/((1+M$2)^M$1)</f>
        <v>49.180327868852459</v>
      </c>
      <c r="N14" s="2">
        <f>'1400'!N14/((1+N$2)^N$1)</f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2"/>
        <v>557.65897858664914</v>
      </c>
      <c r="C15" s="2">
        <f>'1400'!C15/((1+C$2)^C$1)</f>
        <v>41.687473332055717</v>
      </c>
      <c r="D15" s="2">
        <f>'1400'!D15/((1+D$2)^D$1)</f>
        <v>42.382264554256636</v>
      </c>
      <c r="E15" s="2">
        <f>'1400'!E15/((1+E$2)^E$1)</f>
        <v>43.088635630160908</v>
      </c>
      <c r="F15" s="2">
        <f>'1400'!F15/((1+F$2)^F$1)</f>
        <v>43.806779557330259</v>
      </c>
      <c r="G15" s="2">
        <f>'1400'!G15/((1+G$2)^G$1)</f>
        <v>53.44427105994292</v>
      </c>
      <c r="H15" s="2">
        <f>'1400'!H15/((1+H$2)^H$1)</f>
        <v>45.279174092451626</v>
      </c>
      <c r="I15" s="2">
        <f>'1400'!I15/((1+I$2)^I$1)</f>
        <v>46.033826993992484</v>
      </c>
      <c r="J15" s="2">
        <f>'1400'!J15/((1+J$2)^J$1)</f>
        <v>46.801057443892361</v>
      </c>
      <c r="K15" s="2">
        <f>'1400'!K15/((1+K$2)^K$1)</f>
        <v>47.581075067957244</v>
      </c>
      <c r="L15" s="2">
        <f>'1400'!L15/((1+L$2)^L$1)</f>
        <v>48.374092985756519</v>
      </c>
      <c r="M15" s="2">
        <f>'1400'!M15/((1+M$2)^M$1)</f>
        <v>49.180327868852459</v>
      </c>
      <c r="N15" s="2">
        <f>'1400'!N15/((1+N$2)^N$1)</f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2"/>
        <v>548.75160007665875</v>
      </c>
      <c r="C16" s="2">
        <f>'1400'!C16/((1+C$2)^C$1)</f>
        <v>41.687473332055717</v>
      </c>
      <c r="D16" s="2">
        <f>'1400'!D16/((1+D$2)^D$1)</f>
        <v>42.382264554256636</v>
      </c>
      <c r="E16" s="2">
        <f>'1400'!E16/((1+E$2)^E$1)</f>
        <v>43.088635630160908</v>
      </c>
      <c r="F16" s="2">
        <f>'1400'!F16/((1+F$2)^F$1)</f>
        <v>43.806779557330259</v>
      </c>
      <c r="G16" s="2">
        <f>'1400'!G16/((1+G$2)^G$1)</f>
        <v>44.536892549952434</v>
      </c>
      <c r="H16" s="2">
        <f>'1400'!H16/((1+H$2)^H$1)</f>
        <v>45.279174092451626</v>
      </c>
      <c r="I16" s="2">
        <f>'1400'!I16/((1+I$2)^I$1)</f>
        <v>46.033826993992484</v>
      </c>
      <c r="J16" s="2">
        <f>'1400'!J16/((1+J$2)^J$1)</f>
        <v>46.801057443892361</v>
      </c>
      <c r="K16" s="2">
        <f>'1400'!K16/((1+K$2)^K$1)</f>
        <v>47.581075067957244</v>
      </c>
      <c r="L16" s="2">
        <f>'1400'!L16/((1+L$2)^L$1)</f>
        <v>48.374092985756519</v>
      </c>
      <c r="M16" s="2">
        <f>'1400'!M16/((1+M$2)^M$1)</f>
        <v>49.180327868852459</v>
      </c>
      <c r="N16" s="2">
        <f>'1400'!N16/((1+N$2)^N$1)</f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2"/>
        <v>498.75160007665875</v>
      </c>
      <c r="C17" s="2">
        <f>'1400'!C17/((1+C$2)^C$1)</f>
        <v>41.687473332055717</v>
      </c>
      <c r="D17" s="2">
        <f>'1400'!D17/((1+D$2)^D$1)</f>
        <v>42.382264554256636</v>
      </c>
      <c r="E17" s="2">
        <f>'1400'!E17/((1+E$2)^E$1)</f>
        <v>43.088635630160908</v>
      </c>
      <c r="F17" s="2">
        <f>'1400'!F17/((1+F$2)^F$1)</f>
        <v>43.806779557330259</v>
      </c>
      <c r="G17" s="2">
        <f>'1400'!G17/((1+G$2)^G$1)</f>
        <v>44.536892549952434</v>
      </c>
      <c r="H17" s="2">
        <f>'1400'!H17/((1+H$2)^H$1)</f>
        <v>45.279174092451626</v>
      </c>
      <c r="I17" s="2">
        <f>'1400'!I17/((1+I$2)^I$1)</f>
        <v>46.033826993992484</v>
      </c>
      <c r="J17" s="2">
        <f>'1400'!J17/((1+J$2)^J$1)</f>
        <v>46.801057443892361</v>
      </c>
      <c r="K17" s="2">
        <f>'1400'!K17/((1+K$2)^K$1)</f>
        <v>47.581075067957244</v>
      </c>
      <c r="L17" s="2">
        <f>'1400'!L17/((1+L$2)^L$1)</f>
        <v>48.374092985756519</v>
      </c>
      <c r="M17" s="2">
        <f>'1400'!M17/((1+M$2)^M$1)</f>
        <v>49.180327868852459</v>
      </c>
      <c r="N17" s="2">
        <f>'1400'!N17/((1+N$2)^N$1)</f>
        <v>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2"/>
        <v>951.24601353262074</v>
      </c>
      <c r="C18" s="2">
        <f>'1400'!C18/((1+C$2)^C$1)</f>
        <v>166.74989332822287</v>
      </c>
      <c r="D18" s="2">
        <f>'1400'!D18/((1+D$2)^D$1)</f>
        <v>84.764529108513273</v>
      </c>
      <c r="E18" s="2">
        <f>'1400'!E18/((1+E$2)^E$1)</f>
        <v>86.177271260321817</v>
      </c>
      <c r="F18" s="2">
        <f>'1400'!F18/((1+F$2)^F$1)</f>
        <v>87.613559114660518</v>
      </c>
      <c r="G18" s="2">
        <f>'1400'!G18/((1+G$2)^G$1)</f>
        <v>0</v>
      </c>
      <c r="H18" s="2">
        <f>'1400'!H18/((1+H$2)^H$1)</f>
        <v>0</v>
      </c>
      <c r="I18" s="2">
        <f>'1400'!I18/((1+I$2)^I$1)</f>
        <v>92.067653987984968</v>
      </c>
      <c r="J18" s="2">
        <f>'1400'!J18/((1+J$2)^J$1)</f>
        <v>93.602114887784722</v>
      </c>
      <c r="K18" s="2">
        <f>'1400'!K18/((1+K$2)^K$1)</f>
        <v>95.162150135914487</v>
      </c>
      <c r="L18" s="2">
        <f>'1400'!L18/((1+L$2)^L$1)</f>
        <v>96.748185971513038</v>
      </c>
      <c r="M18" s="2">
        <f>'1400'!M18/((1+M$2)^M$1)</f>
        <v>98.360655737704917</v>
      </c>
      <c r="N18" s="2">
        <f>'1400'!N18/((1+N$2)^N$1)</f>
        <v>50</v>
      </c>
      <c r="O18" s="5">
        <v>100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2"/>
        <v>1006.9448519684142</v>
      </c>
      <c r="C19" s="2">
        <f>'1400'!C19/((1+C$2)^C$1)</f>
        <v>83.374946664111434</v>
      </c>
      <c r="D19" s="2">
        <f>'1400'!D19/((1+D$2)^D$1)</f>
        <v>84.764529108513273</v>
      </c>
      <c r="E19" s="2">
        <f>'1400'!E19/((1+E$2)^E$1)</f>
        <v>86.177271260321817</v>
      </c>
      <c r="F19" s="2">
        <f>'1400'!F19/((1+F$2)^F$1)</f>
        <v>87.613559114660518</v>
      </c>
      <c r="G19" s="2">
        <f>'1400'!G19/((1+G$2)^G$1)</f>
        <v>89.073785099904867</v>
      </c>
      <c r="H19" s="2">
        <f>'1400'!H19/((1+H$2)^H$1)</f>
        <v>0</v>
      </c>
      <c r="I19" s="2">
        <f>'1400'!I19/((1+I$2)^I$1)</f>
        <v>92.067653987984968</v>
      </c>
      <c r="J19" s="2">
        <f>'1400'!J19/((1+J$2)^J$1)</f>
        <v>93.602114887784722</v>
      </c>
      <c r="K19" s="2">
        <f>'1400'!K19/((1+K$2)^K$1)</f>
        <v>95.162150135914487</v>
      </c>
      <c r="L19" s="2">
        <f>'1400'!L19/((1+L$2)^L$1)</f>
        <v>96.748185971513038</v>
      </c>
      <c r="M19" s="2">
        <f>'1400'!M19/((1+M$2)^M$1)</f>
        <v>98.360655737704917</v>
      </c>
      <c r="N19" s="2">
        <f>'1400'!N19/((1+N$2)^N$1)</f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2"/>
        <v>500.62300676631037</v>
      </c>
      <c r="C20" s="2">
        <f>'1400'!C20/((1+C$2)^C$1)</f>
        <v>83.374946664111434</v>
      </c>
      <c r="D20" s="2">
        <f>'1400'!D20/((1+D$2)^D$1)</f>
        <v>42.382264554256636</v>
      </c>
      <c r="E20" s="2">
        <f>'1400'!E20/((1+E$2)^E$1)</f>
        <v>43.088635630160908</v>
      </c>
      <c r="F20" s="2">
        <f>'1400'!F20/((1+F$2)^F$1)</f>
        <v>43.806779557330259</v>
      </c>
      <c r="G20" s="2">
        <f>'1400'!G20/((1+G$2)^G$1)</f>
        <v>0</v>
      </c>
      <c r="H20" s="2">
        <f>'1400'!H20/((1+H$2)^H$1)</f>
        <v>0</v>
      </c>
      <c r="I20" s="2">
        <f>'1400'!I20/((1+I$2)^I$1)</f>
        <v>46.033826993992484</v>
      </c>
      <c r="J20" s="2">
        <f>'1400'!J20/((1+J$2)^J$1)</f>
        <v>46.801057443892361</v>
      </c>
      <c r="K20" s="2">
        <f>'1400'!K20/((1+K$2)^K$1)</f>
        <v>47.581075067957244</v>
      </c>
      <c r="L20" s="2">
        <f>'1400'!L20/((1+L$2)^L$1)</f>
        <v>48.374092985756519</v>
      </c>
      <c r="M20" s="2">
        <f>'1400'!M20/((1+M$2)^M$1)</f>
        <v>49.180327868852459</v>
      </c>
      <c r="N20" s="2">
        <f>'1400'!N20/((1+N$2)^N$1)</f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2"/>
        <v>997.50320015331749</v>
      </c>
      <c r="C21" s="2">
        <f>'1400'!C21/((1+C$2)^C$1)</f>
        <v>83.374946664111434</v>
      </c>
      <c r="D21" s="2">
        <f>'1400'!D21/((1+D$2)^D$1)</f>
        <v>84.764529108513273</v>
      </c>
      <c r="E21" s="2">
        <f>'1400'!E21/((1+E$2)^E$1)</f>
        <v>86.177271260321817</v>
      </c>
      <c r="F21" s="2">
        <f>'1400'!F21/((1+F$2)^F$1)</f>
        <v>87.613559114660518</v>
      </c>
      <c r="G21" s="2">
        <f>'1400'!G21/((1+G$2)^G$1)</f>
        <v>89.073785099904867</v>
      </c>
      <c r="H21" s="2">
        <f>'1400'!H21/((1+H$2)^H$1)</f>
        <v>90.558348184903252</v>
      </c>
      <c r="I21" s="2">
        <f>'1400'!I21/((1+I$2)^I$1)</f>
        <v>92.067653987984968</v>
      </c>
      <c r="J21" s="2">
        <f>'1400'!J21/((1+J$2)^J$1)</f>
        <v>93.602114887784722</v>
      </c>
      <c r="K21" s="2">
        <f>'1400'!K21/((1+K$2)^K$1)</f>
        <v>95.162150135914487</v>
      </c>
      <c r="L21" s="2">
        <f>'1400'!L21/((1+L$2)^L$1)</f>
        <v>96.748185971513038</v>
      </c>
      <c r="M21" s="2">
        <f>'1400'!M21/((1+M$2)^M$1)</f>
        <v>98.360655737704917</v>
      </c>
      <c r="N21" s="2">
        <f>'1400'!N21/((1+N$2)^N$1)</f>
        <v>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2"/>
        <v>1022.5032001533175</v>
      </c>
      <c r="C22" s="2">
        <f>'1400'!C22/((1+C$2)^C$1)</f>
        <v>83.374946664111434</v>
      </c>
      <c r="D22" s="2">
        <f>'1400'!D22/((1+D$2)^D$1)</f>
        <v>84.764529108513273</v>
      </c>
      <c r="E22" s="2">
        <f>'1400'!E22/((1+E$2)^E$1)</f>
        <v>86.177271260321817</v>
      </c>
      <c r="F22" s="2">
        <f>'1400'!F22/((1+F$2)^F$1)</f>
        <v>87.613559114660518</v>
      </c>
      <c r="G22" s="2">
        <f>'1400'!G22/((1+G$2)^G$1)</f>
        <v>89.073785099904867</v>
      </c>
      <c r="H22" s="2">
        <f>'1400'!H22/((1+H$2)^H$1)</f>
        <v>90.558348184903252</v>
      </c>
      <c r="I22" s="2">
        <f>'1400'!I22/((1+I$2)^I$1)</f>
        <v>92.067653987984968</v>
      </c>
      <c r="J22" s="2">
        <f>'1400'!J22/((1+J$2)^J$1)</f>
        <v>93.602114887784722</v>
      </c>
      <c r="K22" s="2">
        <f>'1400'!K22/((1+K$2)^K$1)</f>
        <v>95.162150135914487</v>
      </c>
      <c r="L22" s="2">
        <f>'1400'!L22/((1+L$2)^L$1)</f>
        <v>96.748185971513038</v>
      </c>
      <c r="M22" s="2">
        <f>'1400'!M22/((1+M$2)^M$1)</f>
        <v>98.360655737704917</v>
      </c>
      <c r="N22" s="2">
        <f>'1400'!N22/((1+N$2)^N$1)</f>
        <v>25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2"/>
        <v>1206.6636632260054</v>
      </c>
      <c r="C23" s="2">
        <f>'1400'!C23/((1+C$2)^C$1)</f>
        <v>83.374946664111434</v>
      </c>
      <c r="D23" s="2">
        <f>'1400'!D23/((1+D$2)^D$1)</f>
        <v>84.764529108513273</v>
      </c>
      <c r="E23" s="2">
        <f>'1400'!E23/((1+E$2)^E$1)</f>
        <v>86.177271260321817</v>
      </c>
      <c r="F23" s="2">
        <f>'1400'!F23/((1+F$2)^F$1)</f>
        <v>87.613559114660518</v>
      </c>
      <c r="G23" s="2">
        <f>'1400'!G23/((1+G$2)^G$1)</f>
        <v>89.073785099904867</v>
      </c>
      <c r="H23" s="2">
        <f>'1400'!H23/((1+H$2)^H$1)</f>
        <v>181.1166963698065</v>
      </c>
      <c r="I23" s="2">
        <f>'1400'!I23/((1+I$2)^I$1)</f>
        <v>92.067653987984968</v>
      </c>
      <c r="J23" s="2">
        <f>'1400'!J23/((1+J$2)^J$1)</f>
        <v>187.20422977556944</v>
      </c>
      <c r="K23" s="2">
        <f>'1400'!K23/((1+K$2)^K$1)</f>
        <v>95.162150135914487</v>
      </c>
      <c r="L23" s="2">
        <f>'1400'!L23/((1+L$2)^L$1)</f>
        <v>96.748185971513038</v>
      </c>
      <c r="M23" s="2">
        <f>'1400'!M23/((1+M$2)^M$1)</f>
        <v>98.360655737704917</v>
      </c>
      <c r="N23" s="2">
        <f>'1400'!N23/((1+N$2)^N$1)</f>
        <v>25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2"/>
        <v>1047.5032001533175</v>
      </c>
      <c r="C24" s="2">
        <f>'1400'!C24/((1+C$2)^C$1)</f>
        <v>83.374946664111434</v>
      </c>
      <c r="D24" s="2">
        <f>'1400'!D24/((1+D$2)^D$1)</f>
        <v>84.764529108513273</v>
      </c>
      <c r="E24" s="2">
        <f>'1400'!E24/((1+E$2)^E$1)</f>
        <v>86.177271260321817</v>
      </c>
      <c r="F24" s="2">
        <f>'1400'!F24/((1+F$2)^F$1)</f>
        <v>87.613559114660518</v>
      </c>
      <c r="G24" s="2">
        <f>'1400'!G24/((1+G$2)^G$1)</f>
        <v>89.073785099904867</v>
      </c>
      <c r="H24" s="2">
        <f>'1400'!H24/((1+H$2)^H$1)</f>
        <v>90.558348184903252</v>
      </c>
      <c r="I24" s="2">
        <f>'1400'!I24/((1+I$2)^I$1)</f>
        <v>92.067653987984968</v>
      </c>
      <c r="J24" s="2">
        <f>'1400'!J24/((1+J$2)^J$1)</f>
        <v>93.602114887784722</v>
      </c>
      <c r="K24" s="2">
        <f>'1400'!K24/((1+K$2)^K$1)</f>
        <v>95.162150135914487</v>
      </c>
      <c r="L24" s="2">
        <f>'1400'!L24/((1+L$2)^L$1)</f>
        <v>96.748185971513038</v>
      </c>
      <c r="M24" s="2">
        <f>'1400'!M24/((1+M$2)^M$1)</f>
        <v>98.360655737704917</v>
      </c>
      <c r="N24" s="2">
        <f>'1400'!N24/((1+N$2)^N$1)</f>
        <v>50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2"/>
        <v>1097.5032001533175</v>
      </c>
      <c r="C25" s="2">
        <f>'1400'!C25/((1+C$2)^C$1)</f>
        <v>83.374946664111434</v>
      </c>
      <c r="D25" s="2">
        <f>'1400'!D25/((1+D$2)^D$1)</f>
        <v>84.764529108513273</v>
      </c>
      <c r="E25" s="2">
        <f>'1400'!E25/((1+E$2)^E$1)</f>
        <v>86.177271260321817</v>
      </c>
      <c r="F25" s="2">
        <f>'1400'!F25/((1+F$2)^F$1)</f>
        <v>87.613559114660518</v>
      </c>
      <c r="G25" s="2">
        <f>'1400'!G25/((1+G$2)^G$1)</f>
        <v>89.073785099904867</v>
      </c>
      <c r="H25" s="2">
        <f>'1400'!H25/((1+H$2)^H$1)</f>
        <v>90.558348184903252</v>
      </c>
      <c r="I25" s="2">
        <f>'1400'!I25/((1+I$2)^I$1)</f>
        <v>92.067653987984968</v>
      </c>
      <c r="J25" s="2">
        <f>'1400'!J25/((1+J$2)^J$1)</f>
        <v>93.602114887784722</v>
      </c>
      <c r="K25" s="2">
        <f>'1400'!K25/((1+K$2)^K$1)</f>
        <v>95.162150135914487</v>
      </c>
      <c r="L25" s="2">
        <f>'1400'!L25/((1+L$2)^L$1)</f>
        <v>96.748185971513038</v>
      </c>
      <c r="M25" s="2">
        <f>'1400'!M25/((1+M$2)^M$1)</f>
        <v>98.360655737704917</v>
      </c>
      <c r="N25" s="2">
        <f>'1400'!N25/((1+N$2)^N$1)</f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2"/>
        <v>1047.5032001533175</v>
      </c>
      <c r="C26" s="2">
        <f>'1400'!C26/((1+C$2)^C$1)</f>
        <v>83.374946664111434</v>
      </c>
      <c r="D26" s="2">
        <f>'1400'!D26/((1+D$2)^D$1)</f>
        <v>84.764529108513273</v>
      </c>
      <c r="E26" s="2">
        <f>'1400'!E26/((1+E$2)^E$1)</f>
        <v>86.177271260321817</v>
      </c>
      <c r="F26" s="2">
        <f>'1400'!F26/((1+F$2)^F$1)</f>
        <v>87.613559114660518</v>
      </c>
      <c r="G26" s="2">
        <f>'1400'!G26/((1+G$2)^G$1)</f>
        <v>89.073785099904867</v>
      </c>
      <c r="H26" s="2">
        <f>'1400'!H26/((1+H$2)^H$1)</f>
        <v>90.558348184903252</v>
      </c>
      <c r="I26" s="2">
        <f>'1400'!I26/((1+I$2)^I$1)</f>
        <v>92.067653987984968</v>
      </c>
      <c r="J26" s="2">
        <f>'1400'!J26/((1+J$2)^J$1)</f>
        <v>93.602114887784722</v>
      </c>
      <c r="K26" s="2">
        <f>'1400'!K26/((1+K$2)^K$1)</f>
        <v>95.162150135914487</v>
      </c>
      <c r="L26" s="2">
        <f>'1400'!L26/((1+L$2)^L$1)</f>
        <v>96.748185971513038</v>
      </c>
      <c r="M26" s="2">
        <f>'1400'!M26/((1+M$2)^M$1)</f>
        <v>98.360655737704917</v>
      </c>
      <c r="N26" s="2">
        <f>'1400'!N26/((1+N$2)^N$1)</f>
        <v>50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2"/>
        <v>548.75160007665875</v>
      </c>
      <c r="C27" s="2">
        <f>'1400'!C27/((1+C$2)^C$1)</f>
        <v>41.687473332055717</v>
      </c>
      <c r="D27" s="2">
        <f>'1400'!D27/((1+D$2)^D$1)</f>
        <v>42.382264554256636</v>
      </c>
      <c r="E27" s="2">
        <f>'1400'!E27/((1+E$2)^E$1)</f>
        <v>43.088635630160908</v>
      </c>
      <c r="F27" s="2">
        <f>'1400'!F27/((1+F$2)^F$1)</f>
        <v>43.806779557330259</v>
      </c>
      <c r="G27" s="2">
        <f>'1400'!G27/((1+G$2)^G$1)</f>
        <v>44.536892549952434</v>
      </c>
      <c r="H27" s="2">
        <f>'1400'!H27/((1+H$2)^H$1)</f>
        <v>45.279174092451626</v>
      </c>
      <c r="I27" s="2">
        <f>'1400'!I27/((1+I$2)^I$1)</f>
        <v>46.033826993992484</v>
      </c>
      <c r="J27" s="2">
        <f>'1400'!J27/((1+J$2)^J$1)</f>
        <v>46.801057443892361</v>
      </c>
      <c r="K27" s="2">
        <f>'1400'!K27/((1+K$2)^K$1)</f>
        <v>47.581075067957244</v>
      </c>
      <c r="L27" s="2">
        <f>'1400'!L27/((1+L$2)^L$1)</f>
        <v>48.374092985756519</v>
      </c>
      <c r="M27" s="2">
        <f>'1400'!M27/((1+M$2)^M$1)</f>
        <v>49.180327868852459</v>
      </c>
      <c r="N27" s="2">
        <f>'1400'!N27/((1+N$2)^N$1)</f>
        <v>50</v>
      </c>
      <c r="O27" s="5">
        <v>50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2"/>
        <v>548.75160007665875</v>
      </c>
      <c r="C28" s="2">
        <f>'1400'!C28/((1+C$2)^C$1)</f>
        <v>41.687473332055717</v>
      </c>
      <c r="D28" s="2">
        <f>'1400'!D28/((1+D$2)^D$1)</f>
        <v>42.382264554256636</v>
      </c>
      <c r="E28" s="2">
        <f>'1400'!E28/((1+E$2)^E$1)</f>
        <v>43.088635630160908</v>
      </c>
      <c r="F28" s="2">
        <f>'1400'!F28/((1+F$2)^F$1)</f>
        <v>43.806779557330259</v>
      </c>
      <c r="G28" s="2">
        <f>'1400'!G28/((1+G$2)^G$1)</f>
        <v>44.536892549952434</v>
      </c>
      <c r="H28" s="2">
        <f>'1400'!H28/((1+H$2)^H$1)</f>
        <v>45.279174092451626</v>
      </c>
      <c r="I28" s="2">
        <f>'1400'!I28/((1+I$2)^I$1)</f>
        <v>46.033826993992484</v>
      </c>
      <c r="J28" s="2">
        <f>'1400'!J28/((1+J$2)^J$1)</f>
        <v>46.801057443892361</v>
      </c>
      <c r="K28" s="2">
        <f>'1400'!K28/((1+K$2)^K$1)</f>
        <v>47.581075067957244</v>
      </c>
      <c r="L28" s="2">
        <f>'1400'!L28/((1+L$2)^L$1)</f>
        <v>48.374092985756519</v>
      </c>
      <c r="M28" s="2">
        <f>'1400'!M28/((1+M$2)^M$1)</f>
        <v>49.180327868852459</v>
      </c>
      <c r="N28" s="2">
        <f>'1400'!N28/((1+N$2)^N$1)</f>
        <v>50</v>
      </c>
      <c r="O28" s="5">
        <v>50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2"/>
        <v>548.75160007665875</v>
      </c>
      <c r="C29" s="2">
        <f>'1400'!C29/((1+C$2)^C$1)</f>
        <v>41.687473332055717</v>
      </c>
      <c r="D29" s="2">
        <f>'1400'!D29/((1+D$2)^D$1)</f>
        <v>42.382264554256636</v>
      </c>
      <c r="E29" s="2">
        <f>'1400'!E29/((1+E$2)^E$1)</f>
        <v>43.088635630160908</v>
      </c>
      <c r="F29" s="2">
        <f>'1400'!F29/((1+F$2)^F$1)</f>
        <v>43.806779557330259</v>
      </c>
      <c r="G29" s="2">
        <f>'1400'!G29/((1+G$2)^G$1)</f>
        <v>44.536892549952434</v>
      </c>
      <c r="H29" s="2">
        <f>'1400'!H29/((1+H$2)^H$1)</f>
        <v>45.279174092451626</v>
      </c>
      <c r="I29" s="2">
        <f>'1400'!I29/((1+I$2)^I$1)</f>
        <v>46.033826993992484</v>
      </c>
      <c r="J29" s="2">
        <f>'1400'!J29/((1+J$2)^J$1)</f>
        <v>46.801057443892361</v>
      </c>
      <c r="K29" s="2">
        <f>'1400'!K29/((1+K$2)^K$1)</f>
        <v>47.581075067957244</v>
      </c>
      <c r="L29" s="2">
        <f>'1400'!L29/((1+L$2)^L$1)</f>
        <v>48.374092985756519</v>
      </c>
      <c r="M29" s="2">
        <f>'1400'!M29/((1+M$2)^M$1)</f>
        <v>49.180327868852459</v>
      </c>
      <c r="N29" s="2">
        <f>'1400'!N29/((1+N$2)^N$1)</f>
        <v>50</v>
      </c>
      <c r="O29" s="5">
        <v>50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2"/>
        <v>140.82515082600375</v>
      </c>
      <c r="C30" s="2">
        <f>'1400'!C30/((1+C$2)^C$1)</f>
        <v>0</v>
      </c>
      <c r="D30" s="2">
        <f>'1400'!D30/((1+D$2)^D$1)</f>
        <v>0</v>
      </c>
      <c r="E30" s="2">
        <f>'1400'!E30/((1+E$2)^E$1)</f>
        <v>0</v>
      </c>
      <c r="F30" s="2">
        <f>'1400'!F30/((1+F$2)^F$1)</f>
        <v>0</v>
      </c>
      <c r="G30" s="2">
        <f>'1400'!G30/((1+G$2)^G$1)</f>
        <v>0</v>
      </c>
      <c r="H30" s="2">
        <f>'1400'!H30/((1+H$2)^H$1)</f>
        <v>22.639587046225813</v>
      </c>
      <c r="I30" s="2">
        <f>'1400'!I30/((1+I$2)^I$1)</f>
        <v>23.016913496996242</v>
      </c>
      <c r="J30" s="2">
        <f>'1400'!J30/((1+J$2)^J$1)</f>
        <v>23.400528721946181</v>
      </c>
      <c r="K30" s="2">
        <f>'1400'!K30/((1+K$2)^K$1)</f>
        <v>47.581075067957244</v>
      </c>
      <c r="L30" s="2">
        <f>'1400'!L30/((1+L$2)^L$1)</f>
        <v>24.18704649287826</v>
      </c>
      <c r="M30" s="2">
        <f>'1400'!M30/((1+M$2)^M$1)</f>
        <v>0</v>
      </c>
      <c r="N30" s="2">
        <f>'1400'!N30/((1+N$2)^N$1)</f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2"/>
        <v>1528.5072914008292</v>
      </c>
      <c r="C31" s="2">
        <f>'1400'!C31/((1+C$2)^C$1)</f>
        <v>166.74989332822287</v>
      </c>
      <c r="D31" s="2">
        <f>'1400'!D31/((1+D$2)^D$1)</f>
        <v>169.52905821702655</v>
      </c>
      <c r="E31" s="2">
        <f>'1400'!E31/((1+E$2)^E$1)</f>
        <v>172.35454252064363</v>
      </c>
      <c r="F31" s="2">
        <f>'1400'!F31/((1+F$2)^F$1)</f>
        <v>175.22711822932104</v>
      </c>
      <c r="G31" s="2">
        <f>'1400'!G31/((1+G$2)^G$1)</f>
        <v>178.14757019980973</v>
      </c>
      <c r="H31" s="2">
        <f>'1400'!H31/((1+H$2)^H$1)</f>
        <v>90.558348184903252</v>
      </c>
      <c r="I31" s="2">
        <f>'1400'!I31/((1+I$2)^I$1)</f>
        <v>92.067653987984968</v>
      </c>
      <c r="J31" s="2">
        <f>'1400'!J31/((1+J$2)^J$1)</f>
        <v>93.602114887784722</v>
      </c>
      <c r="K31" s="2">
        <f>'1400'!K31/((1+K$2)^K$1)</f>
        <v>95.162150135914487</v>
      </c>
      <c r="L31" s="2">
        <f>'1400'!L31/((1+L$2)^L$1)</f>
        <v>96.748185971513038</v>
      </c>
      <c r="M31" s="2">
        <f>'1400'!M31/((1+M$2)^M$1)</f>
        <v>98.360655737704917</v>
      </c>
      <c r="N31" s="2">
        <f>'1400'!N31/((1+N$2)^N$1)</f>
        <v>100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2"/>
        <v>715.6794367746578</v>
      </c>
      <c r="C32" s="2">
        <f>'1400'!C32/((1+C$2)^C$1)</f>
        <v>0</v>
      </c>
      <c r="D32" s="2">
        <f>'1400'!D32/((1+D$2)^D$1)</f>
        <v>0</v>
      </c>
      <c r="E32" s="2">
        <f>'1400'!E32/((1+E$2)^E$1)</f>
        <v>0</v>
      </c>
      <c r="F32" s="2">
        <f>'1400'!F32/((1+F$2)^F$1)</f>
        <v>0</v>
      </c>
      <c r="G32" s="2">
        <f>'1400'!G32/((1+G$2)^G$1)</f>
        <v>0</v>
      </c>
      <c r="H32" s="2">
        <f>'1400'!H32/((1+H$2)^H$1)</f>
        <v>90.558348184903252</v>
      </c>
      <c r="I32" s="2">
        <f>'1400'!I32/((1+I$2)^I$1)</f>
        <v>92.067653987984968</v>
      </c>
      <c r="J32" s="2">
        <f>'1400'!J32/((1+J$2)^J$1)</f>
        <v>93.602114887784722</v>
      </c>
      <c r="K32" s="2">
        <f>'1400'!K32/((1+K$2)^K$1)</f>
        <v>95.162150135914487</v>
      </c>
      <c r="L32" s="2">
        <f>'1400'!L32/((1+L$2)^L$1)</f>
        <v>96.748185971513038</v>
      </c>
      <c r="M32" s="2">
        <f>'1400'!M32/((1+M$2)^M$1)</f>
        <v>147.54098360655738</v>
      </c>
      <c r="N32" s="2">
        <f>'1400'!N32/((1+N$2)^N$1)</f>
        <v>100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2"/>
        <v>100</v>
      </c>
      <c r="C33" s="2">
        <f>'1400'!C33/((1+C$2)^C$1)</f>
        <v>0</v>
      </c>
      <c r="D33" s="2">
        <f>'1400'!D33/((1+D$2)^D$1)</f>
        <v>0</v>
      </c>
      <c r="E33" s="2">
        <f>'1400'!E33/((1+E$2)^E$1)</f>
        <v>0</v>
      </c>
      <c r="F33" s="2">
        <f>'1400'!F33/((1+F$2)^F$1)</f>
        <v>0</v>
      </c>
      <c r="G33" s="2">
        <f>'1400'!G33/((1+G$2)^G$1)</f>
        <v>0</v>
      </c>
      <c r="H33" s="2">
        <f>'1400'!H33/((1+H$2)^H$1)</f>
        <v>0</v>
      </c>
      <c r="I33" s="2">
        <f>'1400'!I33/((1+I$2)^I$1)</f>
        <v>0</v>
      </c>
      <c r="J33" s="2">
        <f>'1400'!J33/((1+J$2)^J$1)</f>
        <v>0</v>
      </c>
      <c r="K33" s="2">
        <f>'1400'!K33/((1+K$2)^K$1)</f>
        <v>0</v>
      </c>
      <c r="L33" s="2">
        <f>'1400'!L33/((1+L$2)^L$1)</f>
        <v>0</v>
      </c>
      <c r="M33" s="2">
        <f>'1400'!M33/((1+M$2)^M$1)</f>
        <v>0</v>
      </c>
      <c r="N33" s="2">
        <f>'1400'!N33/((1+N$2)^N$1)</f>
        <v>100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2"/>
        <v>1097.5032001533175</v>
      </c>
      <c r="C34" s="2">
        <f>'1400'!C34/((1+C$2)^C$1)</f>
        <v>83.374946664111434</v>
      </c>
      <c r="D34" s="2">
        <f>'1400'!D34/((1+D$2)^D$1)</f>
        <v>84.764529108513273</v>
      </c>
      <c r="E34" s="2">
        <f>'1400'!E34/((1+E$2)^E$1)</f>
        <v>86.177271260321817</v>
      </c>
      <c r="F34" s="2">
        <f>'1400'!F34/((1+F$2)^F$1)</f>
        <v>87.613559114660518</v>
      </c>
      <c r="G34" s="2">
        <f>'1400'!G34/((1+G$2)^G$1)</f>
        <v>89.073785099904867</v>
      </c>
      <c r="H34" s="2">
        <f>'1400'!H34/((1+H$2)^H$1)</f>
        <v>90.558348184903252</v>
      </c>
      <c r="I34" s="2">
        <f>'1400'!I34/((1+I$2)^I$1)</f>
        <v>92.067653987984968</v>
      </c>
      <c r="J34" s="2">
        <f>'1400'!J34/((1+J$2)^J$1)</f>
        <v>93.602114887784722</v>
      </c>
      <c r="K34" s="2">
        <f>'1400'!K34/((1+K$2)^K$1)</f>
        <v>95.162150135914487</v>
      </c>
      <c r="L34" s="2">
        <f>'1400'!L34/((1+L$2)^L$1)</f>
        <v>96.748185971513038</v>
      </c>
      <c r="M34" s="2">
        <f>'1400'!M34/((1+M$2)^M$1)</f>
        <v>98.360655737704917</v>
      </c>
      <c r="N34" s="2">
        <f>'1400'!N34/((1+N$2)^N$1)</f>
        <v>100</v>
      </c>
      <c r="O34" s="5">
        <v>100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2"/>
        <v>50</v>
      </c>
      <c r="C35" s="2">
        <f>'1400'!C35/((1+C$2)^C$1)</f>
        <v>0</v>
      </c>
      <c r="D35" s="2">
        <f>'1400'!D35/((1+D$2)^D$1)</f>
        <v>0</v>
      </c>
      <c r="E35" s="2">
        <f>'1400'!E35/((1+E$2)^E$1)</f>
        <v>0</v>
      </c>
      <c r="F35" s="2">
        <f>'1400'!F35/((1+F$2)^F$1)</f>
        <v>0</v>
      </c>
      <c r="G35" s="2">
        <f>'1400'!G35/((1+G$2)^G$1)</f>
        <v>0</v>
      </c>
      <c r="H35" s="2">
        <f>'1400'!H35/((1+H$2)^H$1)</f>
        <v>0</v>
      </c>
      <c r="I35" s="2">
        <f>'1400'!I35/((1+I$2)^I$1)</f>
        <v>0</v>
      </c>
      <c r="J35" s="2">
        <f>'1400'!J35/((1+J$2)^J$1)</f>
        <v>0</v>
      </c>
      <c r="K35" s="2">
        <f>'1400'!K35/((1+K$2)^K$1)</f>
        <v>0</v>
      </c>
      <c r="L35" s="2">
        <f>'1400'!L35/((1+L$2)^L$1)</f>
        <v>0</v>
      </c>
      <c r="M35" s="2">
        <f>'1400'!M35/((1+M$2)^M$1)</f>
        <v>0</v>
      </c>
      <c r="N35" s="2">
        <f>'1400'!N35/((1+N$2)^N$1)</f>
        <v>50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si="2"/>
        <v>246.72131147540983</v>
      </c>
      <c r="C36" s="2">
        <f>'1400'!C36/((1+C$2)^C$1)</f>
        <v>0</v>
      </c>
      <c r="D36" s="2">
        <f>'1400'!D36/((1+D$2)^D$1)</f>
        <v>0</v>
      </c>
      <c r="E36" s="2">
        <f>'1400'!E36/((1+E$2)^E$1)</f>
        <v>0</v>
      </c>
      <c r="F36" s="2">
        <f>'1400'!F36/((1+F$2)^F$1)</f>
        <v>0</v>
      </c>
      <c r="G36" s="2">
        <f>'1400'!G36/((1+G$2)^G$1)</f>
        <v>0</v>
      </c>
      <c r="H36" s="2">
        <f>'1400'!H36/((1+H$2)^H$1)</f>
        <v>0</v>
      </c>
      <c r="I36" s="2">
        <f>'1400'!I36/((1+I$2)^I$1)</f>
        <v>0</v>
      </c>
      <c r="J36" s="2">
        <f>'1400'!J36/((1+J$2)^J$1)</f>
        <v>0</v>
      </c>
      <c r="K36" s="2">
        <f>'1400'!K36/((1+K$2)^K$1)</f>
        <v>0</v>
      </c>
      <c r="L36" s="2">
        <f>'1400'!L36/((1+L$2)^L$1)</f>
        <v>0</v>
      </c>
      <c r="M36" s="2">
        <f>'1400'!M36/((1+M$2)^M$1)</f>
        <v>196.72131147540983</v>
      </c>
      <c r="N36" s="2">
        <f>'1400'!N36/((1+N$2)^N$1)</f>
        <v>50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2"/>
        <v>246.72131147540983</v>
      </c>
      <c r="C37" s="2">
        <f>'1400'!C37/((1+C$2)^C$1)</f>
        <v>0</v>
      </c>
      <c r="D37" s="2">
        <f>'1400'!D37/((1+D$2)^D$1)</f>
        <v>0</v>
      </c>
      <c r="E37" s="2">
        <f>'1400'!E37/((1+E$2)^E$1)</f>
        <v>0</v>
      </c>
      <c r="F37" s="2">
        <f>'1400'!F37/((1+F$2)^F$1)</f>
        <v>0</v>
      </c>
      <c r="G37" s="2">
        <f>'1400'!G37/((1+G$2)^G$1)</f>
        <v>0</v>
      </c>
      <c r="H37" s="2">
        <f>'1400'!H37/((1+H$2)^H$1)</f>
        <v>0</v>
      </c>
      <c r="I37" s="2">
        <f>'1400'!I37/((1+I$2)^I$1)</f>
        <v>0</v>
      </c>
      <c r="J37" s="2">
        <f>'1400'!J37/((1+J$2)^J$1)</f>
        <v>0</v>
      </c>
      <c r="K37" s="2">
        <f>'1400'!K37/((1+K$2)^K$1)</f>
        <v>0</v>
      </c>
      <c r="L37" s="2">
        <f>'1400'!L37/((1+L$2)^L$1)</f>
        <v>0</v>
      </c>
      <c r="M37" s="2">
        <f>'1400'!M37/((1+M$2)^M$1)</f>
        <v>196.72131147540983</v>
      </c>
      <c r="N37" s="2">
        <f>'1400'!N37/((1+N$2)^N$1)</f>
        <v>50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2"/>
        <v>1097.5032001533175</v>
      </c>
      <c r="C38" s="2">
        <f>'1400'!C38/((1+C$2)^C$1)</f>
        <v>83.374946664111434</v>
      </c>
      <c r="D38" s="2">
        <f>'1400'!D38/((1+D$2)^D$1)</f>
        <v>84.764529108513273</v>
      </c>
      <c r="E38" s="2">
        <f>'1400'!E38/((1+E$2)^E$1)</f>
        <v>86.177271260321817</v>
      </c>
      <c r="F38" s="2">
        <f>'1400'!F38/((1+F$2)^F$1)</f>
        <v>87.613559114660518</v>
      </c>
      <c r="G38" s="2">
        <f>'1400'!G38/((1+G$2)^G$1)</f>
        <v>89.073785099904867</v>
      </c>
      <c r="H38" s="2">
        <f>'1400'!H38/((1+H$2)^H$1)</f>
        <v>90.558348184903252</v>
      </c>
      <c r="I38" s="2">
        <f>'1400'!I38/((1+I$2)^I$1)</f>
        <v>92.067653987984968</v>
      </c>
      <c r="J38" s="2">
        <f>'1400'!J38/((1+J$2)^J$1)</f>
        <v>93.602114887784722</v>
      </c>
      <c r="K38" s="2">
        <f>'1400'!K38/((1+K$2)^K$1)</f>
        <v>95.162150135914487</v>
      </c>
      <c r="L38" s="2">
        <f>'1400'!L38/((1+L$2)^L$1)</f>
        <v>96.748185971513038</v>
      </c>
      <c r="M38" s="2">
        <f>'1400'!M38/((1+M$2)^M$1)</f>
        <v>98.360655737704917</v>
      </c>
      <c r="N38" s="2">
        <f>'1400'!N38/((1+N$2)^N$1)</f>
        <v>100</v>
      </c>
      <c r="O38" s="5">
        <v>100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2"/>
        <v>2007.8021705310653</v>
      </c>
      <c r="C39" s="2">
        <f>'1400'!C39/((1+C$2)^C$1)</f>
        <v>166.74989332822287</v>
      </c>
      <c r="D39" s="2">
        <f>'1400'!D39/((1+D$2)^D$1)</f>
        <v>169.52905821702655</v>
      </c>
      <c r="E39" s="2">
        <f>'1400'!E39/((1+E$2)^E$1)</f>
        <v>172.35454252064363</v>
      </c>
      <c r="F39" s="2">
        <f>'1400'!F39/((1+F$2)^F$1)</f>
        <v>175.22711822932104</v>
      </c>
      <c r="G39" s="2">
        <f>'1400'!G39/((1+G$2)^G$1)</f>
        <v>178.14757019980973</v>
      </c>
      <c r="H39" s="2">
        <f>'1400'!H39/((1+H$2)^H$1)</f>
        <v>181.1166963698065</v>
      </c>
      <c r="I39" s="2">
        <f>'1400'!I39/((1+I$2)^I$1)</f>
        <v>184.13530797596994</v>
      </c>
      <c r="J39" s="2">
        <f>'1400'!J39/((1+J$2)^J$1)</f>
        <v>0</v>
      </c>
      <c r="K39" s="2">
        <f>'1400'!K39/((1+K$2)^K$1)</f>
        <v>190.32430027182897</v>
      </c>
      <c r="L39" s="2">
        <f>'1400'!L39/((1+L$2)^L$1)</f>
        <v>193.49637194302608</v>
      </c>
      <c r="M39" s="2">
        <f>'1400'!M39/((1+M$2)^M$1)</f>
        <v>196.72131147540983</v>
      </c>
      <c r="N39" s="2">
        <f>'1400'!N39/((1+N$2)^N$1)</f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2"/>
        <v>1097.5032001533175</v>
      </c>
      <c r="C40" s="2">
        <f>'1400'!C40/((1+C$2)^C$1)</f>
        <v>83.374946664111434</v>
      </c>
      <c r="D40" s="2">
        <f>'1400'!D40/((1+D$2)^D$1)</f>
        <v>84.764529108513273</v>
      </c>
      <c r="E40" s="2">
        <f>'1400'!E40/((1+E$2)^E$1)</f>
        <v>86.177271260321817</v>
      </c>
      <c r="F40" s="2">
        <f>'1400'!F40/((1+F$2)^F$1)</f>
        <v>87.613559114660518</v>
      </c>
      <c r="G40" s="2">
        <f>'1400'!G40/((1+G$2)^G$1)</f>
        <v>89.073785099904867</v>
      </c>
      <c r="H40" s="2">
        <f>'1400'!H40/((1+H$2)^H$1)</f>
        <v>90.558348184903252</v>
      </c>
      <c r="I40" s="2">
        <f>'1400'!I40/((1+I$2)^I$1)</f>
        <v>92.067653987984968</v>
      </c>
      <c r="J40" s="2">
        <f>'1400'!J40/((1+J$2)^J$1)</f>
        <v>93.602114887784722</v>
      </c>
      <c r="K40" s="2">
        <f>'1400'!K40/((1+K$2)^K$1)</f>
        <v>95.162150135914487</v>
      </c>
      <c r="L40" s="2">
        <f>'1400'!L40/((1+L$2)^L$1)</f>
        <v>96.748185971513038</v>
      </c>
      <c r="M40" s="2">
        <f>'1400'!M40/((1+M$2)^M$1)</f>
        <v>98.360655737704917</v>
      </c>
      <c r="N40" s="2">
        <f>'1400'!N40/((1+N$2)^N$1)</f>
        <v>100</v>
      </c>
      <c r="O40" s="5">
        <v>100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2"/>
        <v>1095.9687392535177</v>
      </c>
      <c r="C41" s="2">
        <f>'1400'!C41/((1+C$2)^C$1)</f>
        <v>83.374946664111434</v>
      </c>
      <c r="D41" s="2">
        <f>'1400'!D41/((1+D$2)^D$1)</f>
        <v>84.764529108513273</v>
      </c>
      <c r="E41" s="2">
        <f>'1400'!E41/((1+E$2)^E$1)</f>
        <v>86.177271260321817</v>
      </c>
      <c r="F41" s="2">
        <f>'1400'!F41/((1+F$2)^F$1)</f>
        <v>87.613559114660518</v>
      </c>
      <c r="G41" s="2">
        <f>'1400'!G41/((1+G$2)^G$1)</f>
        <v>89.073785099904867</v>
      </c>
      <c r="H41" s="2">
        <f>'1400'!H41/((1+H$2)^H$1)</f>
        <v>90.558348184903252</v>
      </c>
      <c r="I41" s="2">
        <f>'1400'!I41/((1+I$2)^I$1)</f>
        <v>184.13530797596994</v>
      </c>
      <c r="J41" s="2">
        <f>'1400'!J41/((1+J$2)^J$1)</f>
        <v>0</v>
      </c>
      <c r="K41" s="2">
        <f>'1400'!K41/((1+K$2)^K$1)</f>
        <v>95.162150135914487</v>
      </c>
      <c r="L41" s="2">
        <f>'1400'!L41/((1+L$2)^L$1)</f>
        <v>96.748185971513038</v>
      </c>
      <c r="M41" s="2">
        <f>'1400'!M41/((1+M$2)^M$1)</f>
        <v>98.360655737704917</v>
      </c>
      <c r="N41" s="2">
        <f>'1400'!N41/((1+N$2)^N$1)</f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2"/>
        <v>547.98436962675885</v>
      </c>
      <c r="C42" s="2">
        <f>'1400'!C42/((1+C$2)^C$1)</f>
        <v>41.687473332055717</v>
      </c>
      <c r="D42" s="2">
        <f>'1400'!D42/((1+D$2)^D$1)</f>
        <v>42.382264554256636</v>
      </c>
      <c r="E42" s="2">
        <f>'1400'!E42/((1+E$2)^E$1)</f>
        <v>43.088635630160908</v>
      </c>
      <c r="F42" s="2">
        <f>'1400'!F42/((1+F$2)^F$1)</f>
        <v>43.806779557330259</v>
      </c>
      <c r="G42" s="2">
        <f>'1400'!G42/((1+G$2)^G$1)</f>
        <v>44.536892549952434</v>
      </c>
      <c r="H42" s="2">
        <f>'1400'!H42/((1+H$2)^H$1)</f>
        <v>45.279174092451626</v>
      </c>
      <c r="I42" s="2">
        <f>'1400'!I42/((1+I$2)^I$1)</f>
        <v>92.067653987984968</v>
      </c>
      <c r="J42" s="2">
        <f>'1400'!J42/((1+J$2)^J$1)</f>
        <v>0</v>
      </c>
      <c r="K42" s="2">
        <f>'1400'!K42/((1+K$2)^K$1)</f>
        <v>47.581075067957244</v>
      </c>
      <c r="L42" s="2">
        <f>'1400'!L42/((1+L$2)^L$1)</f>
        <v>48.374092985756519</v>
      </c>
      <c r="M42" s="2">
        <f>'1400'!M42/((1+M$2)^M$1)</f>
        <v>49.180327868852459</v>
      </c>
      <c r="N42" s="2">
        <f>'1400'!N42/((1+N$2)^N$1)</f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2"/>
        <v>548.00931853415955</v>
      </c>
      <c r="C43" s="2">
        <f>'1400'!C43/((1+C$2)^C$1)</f>
        <v>41.687473332055717</v>
      </c>
      <c r="D43" s="2">
        <f>'1400'!D43/((1+D$2)^D$1)</f>
        <v>42.382264554256636</v>
      </c>
      <c r="E43" s="2">
        <f>'1400'!E43/((1+E$2)^E$1)</f>
        <v>43.088635630160908</v>
      </c>
      <c r="F43" s="2">
        <f>'1400'!F43/((1+F$2)^F$1)</f>
        <v>43.806779557330259</v>
      </c>
      <c r="G43" s="2">
        <f>'1400'!G43/((1+G$2)^G$1)</f>
        <v>89.073785099904867</v>
      </c>
      <c r="H43" s="2">
        <f>'1400'!H43/((1+H$2)^H$1)</f>
        <v>0</v>
      </c>
      <c r="I43" s="2">
        <f>'1400'!I43/((1+I$2)^I$1)</f>
        <v>46.033826993992484</v>
      </c>
      <c r="J43" s="2">
        <f>'1400'!J43/((1+J$2)^J$1)</f>
        <v>46.801057443892361</v>
      </c>
      <c r="K43" s="2">
        <f>'1400'!K43/((1+K$2)^K$1)</f>
        <v>47.581075067957244</v>
      </c>
      <c r="L43" s="2">
        <f>'1400'!L43/((1+L$2)^L$1)</f>
        <v>48.374092985756519</v>
      </c>
      <c r="M43" s="2">
        <f>'1400'!M43/((1+M$2)^M$1)</f>
        <v>49.180327868852459</v>
      </c>
      <c r="N43" s="2">
        <f>'1400'!N43/((1+N$2)^N$1)</f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2"/>
        <v>905.38819937634435</v>
      </c>
      <c r="C44" s="2">
        <f>'1400'!C44/((1+C$2)^C$1)</f>
        <v>83.374946664111434</v>
      </c>
      <c r="D44" s="2">
        <f>'1400'!D44/((1+D$2)^D$1)</f>
        <v>84.764529108513273</v>
      </c>
      <c r="E44" s="2">
        <f>'1400'!E44/((1+E$2)^E$1)</f>
        <v>86.177271260321817</v>
      </c>
      <c r="F44" s="2">
        <f>'1400'!F44/((1+F$2)^F$1)</f>
        <v>43.806779557330259</v>
      </c>
      <c r="G44" s="2">
        <f>'1400'!G44/((1+G$2)^G$1)</f>
        <v>89.073785099904867</v>
      </c>
      <c r="H44" s="2">
        <f>'1400'!H44/((1+H$2)^H$1)</f>
        <v>90.558348184903252</v>
      </c>
      <c r="I44" s="2">
        <f>'1400'!I44/((1+I$2)^I$1)</f>
        <v>92.067653987984968</v>
      </c>
      <c r="J44" s="2">
        <f>'1400'!J44/((1+J$2)^J$1)</f>
        <v>187.20422977556944</v>
      </c>
      <c r="K44" s="2">
        <f>'1400'!K44/((1+K$2)^K$1)</f>
        <v>0</v>
      </c>
      <c r="L44" s="2">
        <f>'1400'!L44/((1+L$2)^L$1)</f>
        <v>0</v>
      </c>
      <c r="M44" s="2">
        <f>'1400'!M44/((1+M$2)^M$1)</f>
        <v>98.360655737704917</v>
      </c>
      <c r="N44" s="2">
        <f>'1400'!N44/((1+N$2)^N$1)</f>
        <v>50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2"/>
        <v>372.74648932266768</v>
      </c>
      <c r="C45" s="2">
        <f>'1400'!C45/((1+C$2)^C$1)</f>
        <v>41.687473332055717</v>
      </c>
      <c r="D45" s="2">
        <f>'1400'!D45/((1+D$2)^D$1)</f>
        <v>0</v>
      </c>
      <c r="E45" s="2">
        <f>'1400'!E45/((1+E$2)^E$1)</f>
        <v>43.088635630160908</v>
      </c>
      <c r="F45" s="2">
        <f>'1400'!F45/((1+F$2)^F$1)</f>
        <v>0</v>
      </c>
      <c r="G45" s="2">
        <f>'1400'!G45/((1+G$2)^G$1)</f>
        <v>0</v>
      </c>
      <c r="H45" s="2">
        <f>'1400'!H45/((1+H$2)^H$1)</f>
        <v>0</v>
      </c>
      <c r="I45" s="2">
        <f>'1400'!I45/((1+I$2)^I$1)</f>
        <v>46.033826993992484</v>
      </c>
      <c r="J45" s="2">
        <f>'1400'!J45/((1+J$2)^J$1)</f>
        <v>46.801057443892361</v>
      </c>
      <c r="K45" s="2">
        <f>'1400'!K45/((1+K$2)^K$1)</f>
        <v>47.581075067957244</v>
      </c>
      <c r="L45" s="2">
        <f>'1400'!L45/((1+L$2)^L$1)</f>
        <v>48.374092985756519</v>
      </c>
      <c r="M45" s="2">
        <f>'1400'!M45/((1+M$2)^M$1)</f>
        <v>49.180327868852459</v>
      </c>
      <c r="N45" s="2">
        <f>'1400'!N45/((1+N$2)^N$1)</f>
        <v>50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2"/>
        <v>0</v>
      </c>
      <c r="C46" s="2">
        <f>'1400'!C46/((1+C$2)^C$1)</f>
        <v>0</v>
      </c>
      <c r="D46" s="2">
        <f>'1400'!D46/((1+D$2)^D$1)</f>
        <v>0</v>
      </c>
      <c r="E46" s="2">
        <f>'1400'!E46/((1+E$2)^E$1)</f>
        <v>0</v>
      </c>
      <c r="F46" s="2">
        <f>'1400'!F46/((1+F$2)^F$1)</f>
        <v>0</v>
      </c>
      <c r="G46" s="2">
        <f>'1400'!G46/((1+G$2)^G$1)</f>
        <v>0</v>
      </c>
      <c r="H46" s="2">
        <f>'1400'!H46/((1+H$2)^H$1)</f>
        <v>0</v>
      </c>
      <c r="I46" s="2">
        <f>'1400'!I46/((1+I$2)^I$1)</f>
        <v>0</v>
      </c>
      <c r="J46" s="2">
        <f>'1400'!J46/((1+J$2)^J$1)</f>
        <v>0</v>
      </c>
      <c r="K46" s="2">
        <f>'1400'!K46/((1+K$2)^K$1)</f>
        <v>0</v>
      </c>
      <c r="L46" s="2">
        <f>'1400'!L46/((1+L$2)^L$1)</f>
        <v>0</v>
      </c>
      <c r="M46" s="2">
        <f>'1400'!M46/((1+M$2)^M$1)</f>
        <v>0</v>
      </c>
      <c r="N46" s="2">
        <f>'1400'!N46/((1+N$2)^N$1)</f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2"/>
        <v>1097.5032001533175</v>
      </c>
      <c r="C47" s="2">
        <f>'1400'!C47/((1+C$2)^C$1)</f>
        <v>83.374946664111434</v>
      </c>
      <c r="D47" s="2">
        <f>'1400'!D47/((1+D$2)^D$1)</f>
        <v>84.764529108513273</v>
      </c>
      <c r="E47" s="2">
        <f>'1400'!E47/((1+E$2)^E$1)</f>
        <v>86.177271260321817</v>
      </c>
      <c r="F47" s="2">
        <f>'1400'!F47/((1+F$2)^F$1)</f>
        <v>87.613559114660518</v>
      </c>
      <c r="G47" s="2">
        <f>'1400'!G47/((1+G$2)^G$1)</f>
        <v>89.073785099904867</v>
      </c>
      <c r="H47" s="2">
        <f>'1400'!H47/((1+H$2)^H$1)</f>
        <v>90.558348184903252</v>
      </c>
      <c r="I47" s="2">
        <f>'1400'!I47/((1+I$2)^I$1)</f>
        <v>92.067653987984968</v>
      </c>
      <c r="J47" s="2">
        <f>'1400'!J47/((1+J$2)^J$1)</f>
        <v>93.602114887784722</v>
      </c>
      <c r="K47" s="2">
        <f>'1400'!K47/((1+K$2)^K$1)</f>
        <v>95.162150135914487</v>
      </c>
      <c r="L47" s="2">
        <f>'1400'!L47/((1+L$2)^L$1)</f>
        <v>96.748185971513038</v>
      </c>
      <c r="M47" s="2">
        <f>'1400'!M47/((1+M$2)^M$1)</f>
        <v>98.360655737704917</v>
      </c>
      <c r="N47" s="2">
        <f>'1400'!N47/((1+N$2)^N$1)</f>
        <v>100</v>
      </c>
      <c r="O47" s="5">
        <v>100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2"/>
        <v>1097.5032001533175</v>
      </c>
      <c r="C48" s="2">
        <f>'1400'!C48/((1+C$2)^C$1)</f>
        <v>83.374946664111434</v>
      </c>
      <c r="D48" s="2">
        <f>'1400'!D48/((1+D$2)^D$1)</f>
        <v>84.764529108513273</v>
      </c>
      <c r="E48" s="2">
        <f>'1400'!E48/((1+E$2)^E$1)</f>
        <v>86.177271260321817</v>
      </c>
      <c r="F48" s="2">
        <f>'1400'!F48/((1+F$2)^F$1)</f>
        <v>87.613559114660518</v>
      </c>
      <c r="G48" s="2">
        <f>'1400'!G48/((1+G$2)^G$1)</f>
        <v>89.073785099904867</v>
      </c>
      <c r="H48" s="2">
        <f>'1400'!H48/((1+H$2)^H$1)</f>
        <v>90.558348184903252</v>
      </c>
      <c r="I48" s="2">
        <f>'1400'!I48/((1+I$2)^I$1)</f>
        <v>92.067653987984968</v>
      </c>
      <c r="J48" s="2">
        <f>'1400'!J48/((1+J$2)^J$1)</f>
        <v>93.602114887784722</v>
      </c>
      <c r="K48" s="2">
        <f>'1400'!K48/((1+K$2)^K$1)</f>
        <v>95.162150135914487</v>
      </c>
      <c r="L48" s="2">
        <f>'1400'!L48/((1+L$2)^L$1)</f>
        <v>96.748185971513038</v>
      </c>
      <c r="M48" s="2">
        <f>'1400'!M48/((1+M$2)^M$1)</f>
        <v>98.360655737704917</v>
      </c>
      <c r="N48" s="2">
        <f>'1400'!N48/((1+N$2)^N$1)</f>
        <v>100</v>
      </c>
      <c r="O48" s="5">
        <v>100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2"/>
        <v>290.27099184513247</v>
      </c>
      <c r="C49" s="2">
        <f>'1400'!C49/((1+C$2)^C$1)</f>
        <v>0</v>
      </c>
      <c r="D49" s="2">
        <f>'1400'!D49/((1+D$2)^D$1)</f>
        <v>0</v>
      </c>
      <c r="E49" s="2">
        <f>'1400'!E49/((1+E$2)^E$1)</f>
        <v>0</v>
      </c>
      <c r="F49" s="2">
        <f>'1400'!F49/((1+F$2)^F$1)</f>
        <v>0</v>
      </c>
      <c r="G49" s="2">
        <f>'1400'!G49/((1+G$2)^G$1)</f>
        <v>0</v>
      </c>
      <c r="H49" s="2">
        <f>'1400'!H49/((1+H$2)^H$1)</f>
        <v>0</v>
      </c>
      <c r="I49" s="2">
        <f>'1400'!I49/((1+I$2)^I$1)</f>
        <v>0</v>
      </c>
      <c r="J49" s="2">
        <f>'1400'!J49/((1+J$2)^J$1)</f>
        <v>0</v>
      </c>
      <c r="K49" s="2">
        <f>'1400'!K49/((1+K$2)^K$1)</f>
        <v>95.162150135914487</v>
      </c>
      <c r="L49" s="2">
        <f>'1400'!L49/((1+L$2)^L$1)</f>
        <v>96.748185971513038</v>
      </c>
      <c r="M49" s="2">
        <f>'1400'!M49/((1+M$2)^M$1)</f>
        <v>98.360655737704917</v>
      </c>
      <c r="N49" s="2">
        <f>'1400'!N49/((1+N$2)^N$1)</f>
        <v>0</v>
      </c>
      <c r="O49" s="5">
        <v>0</v>
      </c>
      <c r="P49" s="1" t="s">
        <v>86</v>
      </c>
      <c r="Q49" s="1">
        <v>1037</v>
      </c>
      <c r="R49" s="1"/>
      <c r="S49" s="1">
        <f t="shared" ref="S49:S107" si="3">S48+1</f>
        <v>46</v>
      </c>
    </row>
    <row r="50" spans="1:19" ht="22.2" x14ac:dyDescent="0.3">
      <c r="A50" s="1"/>
      <c r="B50" s="7">
        <f t="shared" si="2"/>
        <v>290.27099184513247</v>
      </c>
      <c r="C50" s="2">
        <f>'1400'!C50/((1+C$2)^C$1)</f>
        <v>0</v>
      </c>
      <c r="D50" s="2">
        <f>'1400'!D50/((1+D$2)^D$1)</f>
        <v>0</v>
      </c>
      <c r="E50" s="2">
        <f>'1400'!E50/((1+E$2)^E$1)</f>
        <v>0</v>
      </c>
      <c r="F50" s="2">
        <f>'1400'!F50/((1+F$2)^F$1)</f>
        <v>0</v>
      </c>
      <c r="G50" s="2">
        <f>'1400'!G50/((1+G$2)^G$1)</f>
        <v>0</v>
      </c>
      <c r="H50" s="2">
        <f>'1400'!H50/((1+H$2)^H$1)</f>
        <v>0</v>
      </c>
      <c r="I50" s="2">
        <f>'1400'!I50/((1+I$2)^I$1)</f>
        <v>0</v>
      </c>
      <c r="J50" s="2">
        <f>'1400'!J50/((1+J$2)^J$1)</f>
        <v>0</v>
      </c>
      <c r="K50" s="2">
        <f>'1400'!K50/((1+K$2)^K$1)</f>
        <v>95.162150135914487</v>
      </c>
      <c r="L50" s="2">
        <f>'1400'!L50/((1+L$2)^L$1)</f>
        <v>96.748185971513038</v>
      </c>
      <c r="M50" s="2">
        <f>'1400'!M50/((1+M$2)^M$1)</f>
        <v>98.360655737704917</v>
      </c>
      <c r="N50" s="2">
        <f>'1400'!N50/((1+N$2)^N$1)</f>
        <v>0</v>
      </c>
      <c r="O50" s="5">
        <v>0</v>
      </c>
      <c r="P50" s="1" t="s">
        <v>87</v>
      </c>
      <c r="Q50" s="1">
        <v>1081</v>
      </c>
      <c r="R50" s="1"/>
      <c r="S50" s="1">
        <f t="shared" si="3"/>
        <v>47</v>
      </c>
    </row>
    <row r="51" spans="1:19" ht="22.2" x14ac:dyDescent="0.3">
      <c r="A51" s="1"/>
      <c r="B51" s="7">
        <f t="shared" si="2"/>
        <v>498.75160007665875</v>
      </c>
      <c r="C51" s="2">
        <f>'1400'!C51/((1+C$2)^C$1)</f>
        <v>41.687473332055717</v>
      </c>
      <c r="D51" s="2">
        <f>'1400'!D51/((1+D$2)^D$1)</f>
        <v>42.382264554256636</v>
      </c>
      <c r="E51" s="2">
        <f>'1400'!E51/((1+E$2)^E$1)</f>
        <v>43.088635630160908</v>
      </c>
      <c r="F51" s="2">
        <f>'1400'!F51/((1+F$2)^F$1)</f>
        <v>43.806779557330259</v>
      </c>
      <c r="G51" s="2">
        <f>'1400'!G51/((1+G$2)^G$1)</f>
        <v>44.536892549952434</v>
      </c>
      <c r="H51" s="2">
        <f>'1400'!H51/((1+H$2)^H$1)</f>
        <v>45.279174092451626</v>
      </c>
      <c r="I51" s="2">
        <f>'1400'!I51/((1+I$2)^I$1)</f>
        <v>46.033826993992484</v>
      </c>
      <c r="J51" s="2">
        <f>'1400'!J51/((1+J$2)^J$1)</f>
        <v>46.801057443892361</v>
      </c>
      <c r="K51" s="2">
        <f>'1400'!K51/((1+K$2)^K$1)</f>
        <v>47.581075067957244</v>
      </c>
      <c r="L51" s="2">
        <f>'1400'!L51/((1+L$2)^L$1)</f>
        <v>48.374092985756519</v>
      </c>
      <c r="M51" s="2">
        <f>'1400'!M51/((1+M$2)^M$1)</f>
        <v>49.180327868852459</v>
      </c>
      <c r="N51" s="2">
        <f>'1400'!N51/((1+N$2)^N$1)</f>
        <v>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3"/>
        <v>48</v>
      </c>
    </row>
    <row r="52" spans="1:19" ht="22.2" x14ac:dyDescent="0.3">
      <c r="A52" s="1"/>
      <c r="B52" s="7">
        <f t="shared" si="2"/>
        <v>498.75160007665875</v>
      </c>
      <c r="C52" s="2">
        <f>'1400'!C52/((1+C$2)^C$1)</f>
        <v>41.687473332055717</v>
      </c>
      <c r="D52" s="2">
        <f>'1400'!D52/((1+D$2)^D$1)</f>
        <v>42.382264554256636</v>
      </c>
      <c r="E52" s="2">
        <f>'1400'!E52/((1+E$2)^E$1)</f>
        <v>43.088635630160908</v>
      </c>
      <c r="F52" s="2">
        <f>'1400'!F52/((1+F$2)^F$1)</f>
        <v>43.806779557330259</v>
      </c>
      <c r="G52" s="2">
        <f>'1400'!G52/((1+G$2)^G$1)</f>
        <v>44.536892549952434</v>
      </c>
      <c r="H52" s="2">
        <f>'1400'!H52/((1+H$2)^H$1)</f>
        <v>45.279174092451626</v>
      </c>
      <c r="I52" s="2">
        <f>'1400'!I52/((1+I$2)^I$1)</f>
        <v>46.033826993992484</v>
      </c>
      <c r="J52" s="2">
        <f>'1400'!J52/((1+J$2)^J$1)</f>
        <v>46.801057443892361</v>
      </c>
      <c r="K52" s="2">
        <f>'1400'!K52/((1+K$2)^K$1)</f>
        <v>47.581075067957244</v>
      </c>
      <c r="L52" s="2">
        <f>'1400'!L52/((1+L$2)^L$1)</f>
        <v>48.374092985756519</v>
      </c>
      <c r="M52" s="2">
        <f>'1400'!M52/((1+M$2)^M$1)</f>
        <v>49.180327868852459</v>
      </c>
      <c r="N52" s="2">
        <f>'1400'!N52/((1+N$2)^N$1)</f>
        <v>0</v>
      </c>
      <c r="O52" s="5">
        <v>50</v>
      </c>
      <c r="P52" s="1" t="s">
        <v>89</v>
      </c>
      <c r="Q52" s="1">
        <v>1082</v>
      </c>
      <c r="R52" s="1" t="s">
        <v>93</v>
      </c>
      <c r="S52" s="1">
        <f t="shared" si="3"/>
        <v>49</v>
      </c>
    </row>
    <row r="53" spans="1:19" ht="22.2" x14ac:dyDescent="0.3">
      <c r="A53" s="1"/>
      <c r="B53" s="7">
        <f t="shared" si="2"/>
        <v>498.75160007665875</v>
      </c>
      <c r="C53" s="2">
        <f>'1400'!C53/((1+C$2)^C$1)</f>
        <v>41.687473332055717</v>
      </c>
      <c r="D53" s="2">
        <f>'1400'!D53/((1+D$2)^D$1)</f>
        <v>42.382264554256636</v>
      </c>
      <c r="E53" s="2">
        <f>'1400'!E53/((1+E$2)^E$1)</f>
        <v>43.088635630160908</v>
      </c>
      <c r="F53" s="2">
        <f>'1400'!F53/((1+F$2)^F$1)</f>
        <v>43.806779557330259</v>
      </c>
      <c r="G53" s="2">
        <f>'1400'!G53/((1+G$2)^G$1)</f>
        <v>44.536892549952434</v>
      </c>
      <c r="H53" s="2">
        <f>'1400'!H53/((1+H$2)^H$1)</f>
        <v>45.279174092451626</v>
      </c>
      <c r="I53" s="2">
        <f>'1400'!I53/((1+I$2)^I$1)</f>
        <v>46.033826993992484</v>
      </c>
      <c r="J53" s="2">
        <f>'1400'!J53/((1+J$2)^J$1)</f>
        <v>46.801057443892361</v>
      </c>
      <c r="K53" s="2">
        <f>'1400'!K53/((1+K$2)^K$1)</f>
        <v>47.581075067957244</v>
      </c>
      <c r="L53" s="2">
        <f>'1400'!L53/((1+L$2)^L$1)</f>
        <v>48.374092985756519</v>
      </c>
      <c r="M53" s="2">
        <f>'1400'!M53/((1+M$2)^M$1)</f>
        <v>49.180327868852459</v>
      </c>
      <c r="N53" s="2">
        <f>'1400'!N53/((1+N$2)^N$1)</f>
        <v>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3"/>
        <v>50</v>
      </c>
    </row>
    <row r="54" spans="1:19" ht="22.2" x14ac:dyDescent="0.3">
      <c r="A54" s="1"/>
      <c r="B54" s="7">
        <f t="shared" si="2"/>
        <v>306.81504671020008</v>
      </c>
      <c r="C54" s="2">
        <f>'1400'!C54/((1+C$2)^C$1)</f>
        <v>41.687473332055717</v>
      </c>
      <c r="D54" s="2">
        <f>'1400'!D54/((1+D$2)^D$1)</f>
        <v>42.382264554256636</v>
      </c>
      <c r="E54" s="2">
        <f>'1400'!E54/((1+E$2)^E$1)</f>
        <v>43.088635630160908</v>
      </c>
      <c r="F54" s="2">
        <f>'1400'!F54/((1+F$2)^F$1)</f>
        <v>43.806779557330259</v>
      </c>
      <c r="G54" s="2">
        <f>'1400'!G54/((1+G$2)^G$1)</f>
        <v>44.536892549952434</v>
      </c>
      <c r="H54" s="2">
        <f>'1400'!H54/((1+H$2)^H$1)</f>
        <v>45.279174092451626</v>
      </c>
      <c r="I54" s="2">
        <f>'1400'!I54/((1+I$2)^I$1)</f>
        <v>46.033826993992484</v>
      </c>
      <c r="J54" s="2">
        <f>'1400'!J54/((1+J$2)^J$1)</f>
        <v>0</v>
      </c>
      <c r="K54" s="2">
        <f>'1400'!K54/((1+K$2)^K$1)</f>
        <v>0</v>
      </c>
      <c r="L54" s="2">
        <f>'1400'!L54/((1+L$2)^L$1)</f>
        <v>0</v>
      </c>
      <c r="M54" s="2">
        <f>'1400'!M54/((1+M$2)^M$1)</f>
        <v>0</v>
      </c>
      <c r="N54" s="2">
        <f>'1400'!N54/((1+N$2)^N$1)</f>
        <v>0</v>
      </c>
      <c r="O54" s="5">
        <v>50</v>
      </c>
      <c r="P54" s="1" t="s">
        <v>112</v>
      </c>
      <c r="Q54" s="1">
        <v>1102</v>
      </c>
      <c r="R54" s="1"/>
      <c r="S54" s="1">
        <f t="shared" si="3"/>
        <v>51</v>
      </c>
    </row>
    <row r="55" spans="1:19" ht="22.2" x14ac:dyDescent="0.3">
      <c r="A55" s="1"/>
      <c r="B55" s="7">
        <f t="shared" si="2"/>
        <v>498.75160007665875</v>
      </c>
      <c r="C55" s="2">
        <f>'1400'!C55/((1+C$2)^C$1)</f>
        <v>41.687473332055717</v>
      </c>
      <c r="D55" s="2">
        <f>'1400'!D55/((1+D$2)^D$1)</f>
        <v>42.382264554256636</v>
      </c>
      <c r="E55" s="2">
        <f>'1400'!E55/((1+E$2)^E$1)</f>
        <v>43.088635630160908</v>
      </c>
      <c r="F55" s="2">
        <f>'1400'!F55/((1+F$2)^F$1)</f>
        <v>43.806779557330259</v>
      </c>
      <c r="G55" s="2">
        <f>'1400'!G55/((1+G$2)^G$1)</f>
        <v>44.536892549952434</v>
      </c>
      <c r="H55" s="2">
        <f>'1400'!H55/((1+H$2)^H$1)</f>
        <v>45.279174092451626</v>
      </c>
      <c r="I55" s="2">
        <f>'1400'!I55/((1+I$2)^I$1)</f>
        <v>46.033826993992484</v>
      </c>
      <c r="J55" s="2">
        <f>'1400'!J55/((1+J$2)^J$1)</f>
        <v>46.801057443892361</v>
      </c>
      <c r="K55" s="2">
        <f>'1400'!K55/((1+K$2)^K$1)</f>
        <v>47.581075067957244</v>
      </c>
      <c r="L55" s="2">
        <f>'1400'!L55/((1+L$2)^L$1)</f>
        <v>48.374092985756519</v>
      </c>
      <c r="M55" s="2">
        <f>'1400'!M55/((1+M$2)^M$1)</f>
        <v>49.180327868852459</v>
      </c>
      <c r="N55" s="2">
        <f>'1400'!N55/((1+N$2)^N$1)</f>
        <v>0</v>
      </c>
      <c r="O55" s="5">
        <v>50</v>
      </c>
      <c r="P55" s="1" t="s">
        <v>97</v>
      </c>
      <c r="Q55" s="1">
        <v>1016</v>
      </c>
      <c r="R55" s="1"/>
      <c r="S55" s="1">
        <f t="shared" si="3"/>
        <v>52</v>
      </c>
    </row>
    <row r="56" spans="1:19" ht="22.2" x14ac:dyDescent="0.3">
      <c r="A56" s="1"/>
      <c r="B56" s="7">
        <f t="shared" si="2"/>
        <v>548.75160007665875</v>
      </c>
      <c r="C56" s="2">
        <f>'1400'!C56/((1+C$2)^C$1)</f>
        <v>41.687473332055717</v>
      </c>
      <c r="D56" s="2">
        <f>'1400'!D56/((1+D$2)^D$1)</f>
        <v>42.382264554256636</v>
      </c>
      <c r="E56" s="2">
        <f>'1400'!E56/((1+E$2)^E$1)</f>
        <v>43.088635630160908</v>
      </c>
      <c r="F56" s="2">
        <f>'1400'!F56/((1+F$2)^F$1)</f>
        <v>43.806779557330259</v>
      </c>
      <c r="G56" s="2">
        <f>'1400'!G56/((1+G$2)^G$1)</f>
        <v>44.536892549952434</v>
      </c>
      <c r="H56" s="2">
        <f>'1400'!H56/((1+H$2)^H$1)</f>
        <v>45.279174092451626</v>
      </c>
      <c r="I56" s="2">
        <f>'1400'!I56/((1+I$2)^I$1)</f>
        <v>46.033826993992484</v>
      </c>
      <c r="J56" s="2">
        <f>'1400'!J56/((1+J$2)^J$1)</f>
        <v>46.801057443892361</v>
      </c>
      <c r="K56" s="2">
        <f>'1400'!K56/((1+K$2)^K$1)</f>
        <v>47.581075067957244</v>
      </c>
      <c r="L56" s="2">
        <f>'1400'!L56/((1+L$2)^L$1)</f>
        <v>48.374092985756519</v>
      </c>
      <c r="M56" s="2">
        <f>'1400'!M56/((1+M$2)^M$1)</f>
        <v>49.180327868852459</v>
      </c>
      <c r="N56" s="2">
        <f>'1400'!N56/((1+N$2)^N$1)</f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3"/>
        <v>53</v>
      </c>
    </row>
    <row r="57" spans="1:19" ht="22.2" x14ac:dyDescent="0.3">
      <c r="A57" s="1"/>
      <c r="B57" s="7">
        <f t="shared" si="2"/>
        <v>548.75160007665875</v>
      </c>
      <c r="C57" s="2">
        <f>'1400'!C57/((1+C$2)^C$1)</f>
        <v>41.687473332055717</v>
      </c>
      <c r="D57" s="2">
        <f>'1400'!D57/((1+D$2)^D$1)</f>
        <v>42.382264554256636</v>
      </c>
      <c r="E57" s="2">
        <f>'1400'!E57/((1+E$2)^E$1)</f>
        <v>43.088635630160908</v>
      </c>
      <c r="F57" s="2">
        <f>'1400'!F57/((1+F$2)^F$1)</f>
        <v>43.806779557330259</v>
      </c>
      <c r="G57" s="2">
        <f>'1400'!G57/((1+G$2)^G$1)</f>
        <v>44.536892549952434</v>
      </c>
      <c r="H57" s="2">
        <f>'1400'!H57/((1+H$2)^H$1)</f>
        <v>45.279174092451626</v>
      </c>
      <c r="I57" s="2">
        <f>'1400'!I57/((1+I$2)^I$1)</f>
        <v>46.033826993992484</v>
      </c>
      <c r="J57" s="2">
        <f>'1400'!J57/((1+J$2)^J$1)</f>
        <v>46.801057443892361</v>
      </c>
      <c r="K57" s="2">
        <f>'1400'!K57/((1+K$2)^K$1)</f>
        <v>47.581075067957244</v>
      </c>
      <c r="L57" s="2">
        <f>'1400'!L57/((1+L$2)^L$1)</f>
        <v>48.374092985756519</v>
      </c>
      <c r="M57" s="2">
        <f>'1400'!M57/((1+M$2)^M$1)</f>
        <v>49.180327868852459</v>
      </c>
      <c r="N57" s="2">
        <f>'1400'!N57/((1+N$2)^N$1)</f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3"/>
        <v>54</v>
      </c>
    </row>
    <row r="58" spans="1:19" ht="22.2" x14ac:dyDescent="0.3">
      <c r="A58" s="1"/>
      <c r="B58" s="7">
        <f t="shared" si="2"/>
        <v>653.27822455859086</v>
      </c>
      <c r="C58" s="2">
        <f>'1400'!C58/((1+C$2)^C$1)</f>
        <v>41.687473332055717</v>
      </c>
      <c r="D58" s="2">
        <f>'1400'!D58/((1+D$2)^D$1)</f>
        <v>42.382264554256636</v>
      </c>
      <c r="E58" s="2">
        <f>'1400'!E58/((1+E$2)^E$1)</f>
        <v>43.088635630160908</v>
      </c>
      <c r="F58" s="2">
        <f>'1400'!F58/((1+F$2)^F$1)</f>
        <v>43.806779557330259</v>
      </c>
      <c r="G58" s="2">
        <f>'1400'!G58/((1+G$2)^G$1)</f>
        <v>0</v>
      </c>
      <c r="H58" s="2">
        <f>'1400'!H58/((1+H$2)^H$1)</f>
        <v>0</v>
      </c>
      <c r="I58" s="2">
        <f>'1400'!I58/((1+I$2)^I$1)</f>
        <v>0</v>
      </c>
      <c r="J58" s="2">
        <f>'1400'!J58/((1+J$2)^J$1)</f>
        <v>187.20422977556944</v>
      </c>
      <c r="K58" s="2">
        <f>'1400'!K58/((1+K$2)^K$1)</f>
        <v>0</v>
      </c>
      <c r="L58" s="2">
        <f>'1400'!L58/((1+L$2)^L$1)</f>
        <v>96.748185971513038</v>
      </c>
      <c r="M58" s="2">
        <f>'1400'!M58/((1+M$2)^M$1)</f>
        <v>98.360655737704917</v>
      </c>
      <c r="N58" s="2">
        <f>'1400'!N58/((1+N$2)^N$1)</f>
        <v>100</v>
      </c>
      <c r="O58" s="5">
        <v>0</v>
      </c>
      <c r="P58" s="1" t="s">
        <v>43</v>
      </c>
      <c r="Q58" s="1">
        <v>1038</v>
      </c>
      <c r="R58" s="1" t="s">
        <v>93</v>
      </c>
      <c r="S58" s="1">
        <f t="shared" si="3"/>
        <v>55</v>
      </c>
    </row>
    <row r="59" spans="1:19" ht="22.2" x14ac:dyDescent="0.3">
      <c r="A59" s="1"/>
      <c r="B59" s="7">
        <f t="shared" si="2"/>
        <v>6286.4245633426544</v>
      </c>
      <c r="C59" s="2">
        <f>'1400'!C59/((1+C$2)^C$1)</f>
        <v>521.09341665069644</v>
      </c>
      <c r="D59" s="2">
        <f>'1400'!D59/((1+D$2)^D$1)</f>
        <v>445.01377781969467</v>
      </c>
      <c r="E59" s="2">
        <f>'1400'!E59/((1+E$2)^E$1)</f>
        <v>366.25340285636776</v>
      </c>
      <c r="F59" s="2">
        <f>'1400'!F59/((1+F$2)^F$1)</f>
        <v>679.00508313861894</v>
      </c>
      <c r="G59" s="2">
        <f>'1400'!G59/((1+G$2)^G$1)</f>
        <v>503.26688581446246</v>
      </c>
      <c r="H59" s="2">
        <f>'1400'!H59/((1+H$2)^H$1)</f>
        <v>588.62926320187114</v>
      </c>
      <c r="I59" s="2">
        <f>'1400'!I59/((1+I$2)^I$1)</f>
        <v>552.40592392790984</v>
      </c>
      <c r="J59" s="2">
        <f>'1400'!J59/((1+J$2)^J$1)</f>
        <v>655.21480421449303</v>
      </c>
      <c r="K59" s="2">
        <f>'1400'!K59/((1+K$2)^K$1)</f>
        <v>475.81075067957238</v>
      </c>
      <c r="L59" s="2">
        <f>'1400'!L59/((1+L$2)^L$1)</f>
        <v>507.92797635044349</v>
      </c>
      <c r="M59" s="2">
        <f>'1400'!M59/((1+M$2)^M$1)</f>
        <v>491.80327868852464</v>
      </c>
      <c r="N59" s="2">
        <f>'1400'!N59/((1+N$2)^N$1)</f>
        <v>500</v>
      </c>
      <c r="O59" s="5">
        <v>500</v>
      </c>
      <c r="P59" s="1" t="s">
        <v>0</v>
      </c>
      <c r="Q59" s="1">
        <v>1049</v>
      </c>
      <c r="R59" s="1" t="s">
        <v>93</v>
      </c>
      <c r="S59" s="1">
        <f t="shared" si="3"/>
        <v>56</v>
      </c>
    </row>
    <row r="60" spans="1:19" ht="22.2" x14ac:dyDescent="0.3">
      <c r="A60" s="1"/>
      <c r="B60" s="7">
        <f t="shared" si="2"/>
        <v>3702.2865282902285</v>
      </c>
      <c r="C60" s="2">
        <f>'1400'!C60/((1+C$2)^C$1)</f>
        <v>250.1248399923343</v>
      </c>
      <c r="D60" s="2">
        <f>'1400'!D60/((1+D$2)^D$1)</f>
        <v>254.29358732553982</v>
      </c>
      <c r="E60" s="2">
        <f>'1400'!E60/((1+E$2)^E$1)</f>
        <v>215.44317815080456</v>
      </c>
      <c r="F60" s="2">
        <f>'1400'!F60/((1+F$2)^F$1)</f>
        <v>350.45423645864207</v>
      </c>
      <c r="G60" s="2">
        <f>'1400'!G60/((1+G$2)^G$1)</f>
        <v>267.22135529971456</v>
      </c>
      <c r="H60" s="2">
        <f>'1400'!H60/((1+H$2)^H$1)</f>
        <v>452.79174092451626</v>
      </c>
      <c r="I60" s="2">
        <f>'1400'!I60/((1+I$2)^I$1)</f>
        <v>460.33826993992488</v>
      </c>
      <c r="J60" s="2">
        <f>'1400'!J60/((1+J$2)^J$1)</f>
        <v>280.8063446633542</v>
      </c>
      <c r="K60" s="2">
        <f>'1400'!K60/((1+K$2)^K$1)</f>
        <v>285.48645040774346</v>
      </c>
      <c r="L60" s="2">
        <f>'1400'!L60/((1+L$2)^L$1)</f>
        <v>290.24455791453914</v>
      </c>
      <c r="M60" s="2">
        <f>'1400'!M60/((1+M$2)^M$1)</f>
        <v>295.08196721311475</v>
      </c>
      <c r="N60" s="2">
        <f>'1400'!N60/((1+N$2)^N$1)</f>
        <v>300</v>
      </c>
      <c r="O60" s="5">
        <v>300</v>
      </c>
      <c r="P60" s="1" t="s">
        <v>2</v>
      </c>
      <c r="Q60" s="1">
        <v>1039</v>
      </c>
      <c r="R60" s="1" t="s">
        <v>93</v>
      </c>
      <c r="S60" s="1">
        <f t="shared" si="3"/>
        <v>57</v>
      </c>
    </row>
    <row r="61" spans="1:19" ht="22.2" x14ac:dyDescent="0.3">
      <c r="A61" s="1"/>
      <c r="B61" s="7">
        <f t="shared" si="2"/>
        <v>2195.006400306635</v>
      </c>
      <c r="C61" s="2">
        <f>'1400'!C61/((1+C$2)^C$1)</f>
        <v>166.74989332822287</v>
      </c>
      <c r="D61" s="2">
        <f>'1400'!D61/((1+D$2)^D$1)</f>
        <v>169.52905821702655</v>
      </c>
      <c r="E61" s="2">
        <f>'1400'!E61/((1+E$2)^E$1)</f>
        <v>172.35454252064363</v>
      </c>
      <c r="F61" s="2">
        <f>'1400'!F61/((1+F$2)^F$1)</f>
        <v>175.22711822932104</v>
      </c>
      <c r="G61" s="2">
        <f>'1400'!G61/((1+G$2)^G$1)</f>
        <v>178.14757019980973</v>
      </c>
      <c r="H61" s="2">
        <f>'1400'!H61/((1+H$2)^H$1)</f>
        <v>181.1166963698065</v>
      </c>
      <c r="I61" s="2">
        <f>'1400'!I61/((1+I$2)^I$1)</f>
        <v>184.13530797596994</v>
      </c>
      <c r="J61" s="2">
        <f>'1400'!J61/((1+J$2)^J$1)</f>
        <v>187.20422977556944</v>
      </c>
      <c r="K61" s="2">
        <f>'1400'!K61/((1+K$2)^K$1)</f>
        <v>190.32430027182897</v>
      </c>
      <c r="L61" s="2">
        <f>'1400'!L61/((1+L$2)^L$1)</f>
        <v>193.49637194302608</v>
      </c>
      <c r="M61" s="2">
        <f>'1400'!M61/((1+M$2)^M$1)</f>
        <v>196.72131147540983</v>
      </c>
      <c r="N61" s="2">
        <f>'1400'!N61/((1+N$2)^N$1)</f>
        <v>200</v>
      </c>
      <c r="O61" s="5">
        <v>200</v>
      </c>
      <c r="P61" s="1" t="s">
        <v>1</v>
      </c>
      <c r="Q61" s="1">
        <v>1063</v>
      </c>
      <c r="R61" s="1" t="s">
        <v>93</v>
      </c>
      <c r="S61" s="1">
        <f t="shared" si="3"/>
        <v>58</v>
      </c>
    </row>
    <row r="62" spans="1:19" ht="22.2" x14ac:dyDescent="0.3">
      <c r="A62" s="1"/>
      <c r="B62" s="7">
        <f t="shared" si="2"/>
        <v>2195.006400306635</v>
      </c>
      <c r="C62" s="2">
        <f>'1400'!C62/((1+C$2)^C$1)</f>
        <v>166.74989332822287</v>
      </c>
      <c r="D62" s="2">
        <f>'1400'!D62/((1+D$2)^D$1)</f>
        <v>169.52905821702655</v>
      </c>
      <c r="E62" s="2">
        <f>'1400'!E62/((1+E$2)^E$1)</f>
        <v>172.35454252064363</v>
      </c>
      <c r="F62" s="2">
        <f>'1400'!F62/((1+F$2)^F$1)</f>
        <v>175.22711822932104</v>
      </c>
      <c r="G62" s="2">
        <f>'1400'!G62/((1+G$2)^G$1)</f>
        <v>178.14757019980973</v>
      </c>
      <c r="H62" s="2">
        <f>'1400'!H62/((1+H$2)^H$1)</f>
        <v>181.1166963698065</v>
      </c>
      <c r="I62" s="2">
        <f>'1400'!I62/((1+I$2)^I$1)</f>
        <v>184.13530797596994</v>
      </c>
      <c r="J62" s="2">
        <f>'1400'!J62/((1+J$2)^J$1)</f>
        <v>187.20422977556944</v>
      </c>
      <c r="K62" s="2">
        <f>'1400'!K62/((1+K$2)^K$1)</f>
        <v>190.32430027182897</v>
      </c>
      <c r="L62" s="2">
        <f>'1400'!L62/((1+L$2)^L$1)</f>
        <v>193.49637194302608</v>
      </c>
      <c r="M62" s="2">
        <f>'1400'!M62/((1+M$2)^M$1)</f>
        <v>196.72131147540983</v>
      </c>
      <c r="N62" s="2">
        <f>'1400'!N62/((1+N$2)^N$1)</f>
        <v>200</v>
      </c>
      <c r="O62" s="5">
        <v>200</v>
      </c>
      <c r="P62" s="1" t="s">
        <v>3</v>
      </c>
      <c r="Q62" s="1">
        <v>1041</v>
      </c>
      <c r="R62" s="1" t="s">
        <v>93</v>
      </c>
      <c r="S62" s="1">
        <f t="shared" si="3"/>
        <v>59</v>
      </c>
    </row>
    <row r="63" spans="1:19" ht="22.2" x14ac:dyDescent="0.3">
      <c r="A63" s="1"/>
      <c r="B63" s="7">
        <f t="shared" si="2"/>
        <v>997.50320015331749</v>
      </c>
      <c r="C63" s="2">
        <f>'1400'!C63/((1+C$2)^C$1)</f>
        <v>83.374946664111434</v>
      </c>
      <c r="D63" s="2">
        <f>'1400'!D63/((1+D$2)^D$1)</f>
        <v>84.764529108513273</v>
      </c>
      <c r="E63" s="2">
        <f>'1400'!E63/((1+E$2)^E$1)</f>
        <v>86.177271260321817</v>
      </c>
      <c r="F63" s="2">
        <f>'1400'!F63/((1+F$2)^F$1)</f>
        <v>87.613559114660518</v>
      </c>
      <c r="G63" s="2">
        <f>'1400'!G63/((1+G$2)^G$1)</f>
        <v>89.073785099904867</v>
      </c>
      <c r="H63" s="2">
        <f>'1400'!H63/((1+H$2)^H$1)</f>
        <v>90.558348184903252</v>
      </c>
      <c r="I63" s="2">
        <f>'1400'!I63/((1+I$2)^I$1)</f>
        <v>92.067653987984968</v>
      </c>
      <c r="J63" s="2">
        <f>'1400'!J63/((1+J$2)^J$1)</f>
        <v>93.602114887784722</v>
      </c>
      <c r="K63" s="2">
        <f>'1400'!K63/((1+K$2)^K$1)</f>
        <v>95.162150135914487</v>
      </c>
      <c r="L63" s="2">
        <f>'1400'!L63/((1+L$2)^L$1)</f>
        <v>96.748185971513038</v>
      </c>
      <c r="M63" s="2">
        <f>'1400'!M63/((1+M$2)^M$1)</f>
        <v>98.360655737704917</v>
      </c>
      <c r="N63" s="2">
        <f>'1400'!N63/((1+N$2)^N$1)</f>
        <v>0</v>
      </c>
      <c r="O63" s="5">
        <v>100</v>
      </c>
      <c r="P63" s="1" t="s">
        <v>82</v>
      </c>
      <c r="Q63" s="1">
        <v>1053</v>
      </c>
      <c r="R63" s="1" t="s">
        <v>93</v>
      </c>
      <c r="S63" s="1">
        <f t="shared" si="3"/>
        <v>60</v>
      </c>
    </row>
    <row r="64" spans="1:19" ht="22.2" x14ac:dyDescent="0.3">
      <c r="A64" s="1"/>
      <c r="B64" s="7">
        <f t="shared" si="2"/>
        <v>1047.5032001533175</v>
      </c>
      <c r="C64" s="2">
        <f>'1400'!C64/((1+C$2)^C$1)</f>
        <v>83.374946664111434</v>
      </c>
      <c r="D64" s="2">
        <f>'1400'!D64/((1+D$2)^D$1)</f>
        <v>84.764529108513273</v>
      </c>
      <c r="E64" s="2">
        <f>'1400'!E64/((1+E$2)^E$1)</f>
        <v>86.177271260321817</v>
      </c>
      <c r="F64" s="2">
        <f>'1400'!F64/((1+F$2)^F$1)</f>
        <v>87.613559114660518</v>
      </c>
      <c r="G64" s="2">
        <f>'1400'!G64/((1+G$2)^G$1)</f>
        <v>89.073785099904867</v>
      </c>
      <c r="H64" s="2">
        <f>'1400'!H64/((1+H$2)^H$1)</f>
        <v>90.558348184903252</v>
      </c>
      <c r="I64" s="2">
        <f>'1400'!I64/((1+I$2)^I$1)</f>
        <v>92.067653987984968</v>
      </c>
      <c r="J64" s="2">
        <f>'1400'!J64/((1+J$2)^J$1)</f>
        <v>93.602114887784722</v>
      </c>
      <c r="K64" s="2">
        <f>'1400'!K64/((1+K$2)^K$1)</f>
        <v>95.162150135914487</v>
      </c>
      <c r="L64" s="2">
        <f>'1400'!L64/((1+L$2)^L$1)</f>
        <v>96.748185971513038</v>
      </c>
      <c r="M64" s="2">
        <f>'1400'!M64/((1+M$2)^M$1)</f>
        <v>98.360655737704917</v>
      </c>
      <c r="N64" s="2">
        <f>'1400'!N64/((1+N$2)^N$1)</f>
        <v>50</v>
      </c>
      <c r="O64" s="5">
        <v>100</v>
      </c>
      <c r="P64" s="1" t="s">
        <v>67</v>
      </c>
      <c r="Q64" s="1">
        <v>1054</v>
      </c>
      <c r="R64" s="1" t="s">
        <v>93</v>
      </c>
      <c r="S64" s="1">
        <f t="shared" si="3"/>
        <v>61</v>
      </c>
    </row>
    <row r="65" spans="1:19" ht="22.2" x14ac:dyDescent="0.3">
      <c r="A65" s="1"/>
      <c r="B65" s="7">
        <f t="shared" si="2"/>
        <v>997.50320015331749</v>
      </c>
      <c r="C65" s="2">
        <f>'1400'!C65/((1+C$2)^C$1)</f>
        <v>83.374946664111434</v>
      </c>
      <c r="D65" s="2">
        <f>'1400'!D65/((1+D$2)^D$1)</f>
        <v>84.764529108513273</v>
      </c>
      <c r="E65" s="2">
        <f>'1400'!E65/((1+E$2)^E$1)</f>
        <v>86.177271260321817</v>
      </c>
      <c r="F65" s="2">
        <f>'1400'!F65/((1+F$2)^F$1)</f>
        <v>87.613559114660518</v>
      </c>
      <c r="G65" s="2">
        <f>'1400'!G65/((1+G$2)^G$1)</f>
        <v>89.073785099904867</v>
      </c>
      <c r="H65" s="2">
        <f>'1400'!H65/((1+H$2)^H$1)</f>
        <v>90.558348184903252</v>
      </c>
      <c r="I65" s="2">
        <f>'1400'!I65/((1+I$2)^I$1)</f>
        <v>92.067653987984968</v>
      </c>
      <c r="J65" s="2">
        <f>'1400'!J65/((1+J$2)^J$1)</f>
        <v>93.602114887784722</v>
      </c>
      <c r="K65" s="2">
        <f>'1400'!K65/((1+K$2)^K$1)</f>
        <v>95.162150135914487</v>
      </c>
      <c r="L65" s="2">
        <f>'1400'!L65/((1+L$2)^L$1)</f>
        <v>96.748185971513038</v>
      </c>
      <c r="M65" s="2">
        <f>'1400'!M65/((1+M$2)^M$1)</f>
        <v>98.360655737704917</v>
      </c>
      <c r="N65" s="2">
        <f>'1400'!N65/((1+N$2)^N$1)</f>
        <v>0</v>
      </c>
      <c r="O65" s="5">
        <v>100</v>
      </c>
      <c r="P65" s="1" t="s">
        <v>83</v>
      </c>
      <c r="Q65" s="1">
        <v>1079</v>
      </c>
      <c r="R65" s="1" t="s">
        <v>93</v>
      </c>
      <c r="S65" s="1">
        <f t="shared" si="3"/>
        <v>62</v>
      </c>
    </row>
    <row r="66" spans="1:19" ht="22.2" x14ac:dyDescent="0.3">
      <c r="A66" s="1"/>
      <c r="B66" s="7">
        <f t="shared" si="2"/>
        <v>455.13669801470894</v>
      </c>
      <c r="C66" s="2">
        <f>'1400'!C66/((1+C$2)^C$1)</f>
        <v>41.687473332055717</v>
      </c>
      <c r="D66" s="2">
        <f>'1400'!D66/((1+D$2)^D$1)</f>
        <v>42.382264554256636</v>
      </c>
      <c r="E66" s="2">
        <f>'1400'!E66/((1+E$2)^E$1)</f>
        <v>43.088635630160908</v>
      </c>
      <c r="F66" s="2">
        <f>'1400'!F66/((1+F$2)^F$1)</f>
        <v>43.806779557330259</v>
      </c>
      <c r="G66" s="2">
        <f>'1400'!G66/((1+G$2)^G$1)</f>
        <v>44.536892549952434</v>
      </c>
      <c r="H66" s="2">
        <f>'1400'!H66/((1+H$2)^H$1)</f>
        <v>45.279174092451626</v>
      </c>
      <c r="I66" s="2">
        <f>'1400'!I66/((1+I$2)^I$1)</f>
        <v>0</v>
      </c>
      <c r="J66" s="2">
        <f>'1400'!J66/((1+J$2)^J$1)</f>
        <v>46.801057443892361</v>
      </c>
      <c r="K66" s="2">
        <f>'1400'!K66/((1+K$2)^K$1)</f>
        <v>0</v>
      </c>
      <c r="L66" s="2">
        <f>'1400'!L66/((1+L$2)^L$1)</f>
        <v>48.374092985756519</v>
      </c>
      <c r="M66" s="2">
        <f>'1400'!M66/((1+M$2)^M$1)</f>
        <v>49.180327868852459</v>
      </c>
      <c r="N66" s="2">
        <f>'1400'!N66/((1+N$2)^N$1)</f>
        <v>50</v>
      </c>
      <c r="O66" s="5">
        <v>50</v>
      </c>
      <c r="P66" s="1" t="s">
        <v>26</v>
      </c>
      <c r="Q66" s="1">
        <v>1042</v>
      </c>
      <c r="R66" s="1" t="s">
        <v>93</v>
      </c>
      <c r="S66" s="1">
        <f t="shared" si="3"/>
        <v>63</v>
      </c>
    </row>
    <row r="67" spans="1:19" ht="22.2" x14ac:dyDescent="0.3">
      <c r="A67" s="1"/>
      <c r="B67" s="7">
        <f t="shared" si="2"/>
        <v>455.13669801470894</v>
      </c>
      <c r="C67" s="2">
        <f>'1400'!C67/((1+C$2)^C$1)</f>
        <v>41.687473332055717</v>
      </c>
      <c r="D67" s="2">
        <f>'1400'!D67/((1+D$2)^D$1)</f>
        <v>42.382264554256636</v>
      </c>
      <c r="E67" s="2">
        <f>'1400'!E67/((1+E$2)^E$1)</f>
        <v>43.088635630160908</v>
      </c>
      <c r="F67" s="2">
        <f>'1400'!F67/((1+F$2)^F$1)</f>
        <v>43.806779557330259</v>
      </c>
      <c r="G67" s="2">
        <f>'1400'!G67/((1+G$2)^G$1)</f>
        <v>44.536892549952434</v>
      </c>
      <c r="H67" s="2">
        <f>'1400'!H67/((1+H$2)^H$1)</f>
        <v>45.279174092451626</v>
      </c>
      <c r="I67" s="2">
        <f>'1400'!I67/((1+I$2)^I$1)</f>
        <v>0</v>
      </c>
      <c r="J67" s="2">
        <f>'1400'!J67/((1+J$2)^J$1)</f>
        <v>46.801057443892361</v>
      </c>
      <c r="K67" s="2">
        <f>'1400'!K67/((1+K$2)^K$1)</f>
        <v>0</v>
      </c>
      <c r="L67" s="2">
        <f>'1400'!L67/((1+L$2)^L$1)</f>
        <v>48.374092985756519</v>
      </c>
      <c r="M67" s="2">
        <f>'1400'!M67/((1+M$2)^M$1)</f>
        <v>49.180327868852459</v>
      </c>
      <c r="N67" s="2">
        <f>'1400'!N67/((1+N$2)^N$1)</f>
        <v>50</v>
      </c>
      <c r="O67" s="5">
        <v>50</v>
      </c>
      <c r="P67" s="1" t="s">
        <v>68</v>
      </c>
      <c r="Q67" s="1">
        <v>1064</v>
      </c>
      <c r="R67" s="1" t="s">
        <v>93</v>
      </c>
      <c r="S67" s="1">
        <f t="shared" si="3"/>
        <v>64</v>
      </c>
    </row>
    <row r="68" spans="1:19" ht="22.2" x14ac:dyDescent="0.3">
      <c r="A68" s="1"/>
      <c r="B68" s="7">
        <f t="shared" ref="B68:B114" si="4">SUM(C68:N68)</f>
        <v>455.13669801470894</v>
      </c>
      <c r="C68" s="2">
        <f>'1400'!C68/((1+C$2)^C$1)</f>
        <v>41.687473332055717</v>
      </c>
      <c r="D68" s="2">
        <f>'1400'!D68/((1+D$2)^D$1)</f>
        <v>42.382264554256636</v>
      </c>
      <c r="E68" s="2">
        <f>'1400'!E68/((1+E$2)^E$1)</f>
        <v>43.088635630160908</v>
      </c>
      <c r="F68" s="2">
        <f>'1400'!F68/((1+F$2)^F$1)</f>
        <v>43.806779557330259</v>
      </c>
      <c r="G68" s="2">
        <f>'1400'!G68/((1+G$2)^G$1)</f>
        <v>44.536892549952434</v>
      </c>
      <c r="H68" s="2">
        <f>'1400'!H68/((1+H$2)^H$1)</f>
        <v>45.279174092451626</v>
      </c>
      <c r="I68" s="2">
        <f>'1400'!I68/((1+I$2)^I$1)</f>
        <v>0</v>
      </c>
      <c r="J68" s="2">
        <f>'1400'!J68/((1+J$2)^J$1)</f>
        <v>46.801057443892361</v>
      </c>
      <c r="K68" s="2">
        <f>'1400'!K68/((1+K$2)^K$1)</f>
        <v>0</v>
      </c>
      <c r="L68" s="2">
        <f>'1400'!L68/((1+L$2)^L$1)</f>
        <v>48.374092985756519</v>
      </c>
      <c r="M68" s="2">
        <f>'1400'!M68/((1+M$2)^M$1)</f>
        <v>49.180327868852459</v>
      </c>
      <c r="N68" s="2">
        <f>'1400'!N68/((1+N$2)^N$1)</f>
        <v>50</v>
      </c>
      <c r="O68" s="5">
        <v>50</v>
      </c>
      <c r="P68" s="1" t="s">
        <v>69</v>
      </c>
      <c r="Q68" s="1">
        <v>1065</v>
      </c>
      <c r="R68" s="1" t="s">
        <v>93</v>
      </c>
      <c r="S68" s="1">
        <f t="shared" si="3"/>
        <v>65</v>
      </c>
    </row>
    <row r="69" spans="1:19" ht="22.2" x14ac:dyDescent="0.3">
      <c r="A69" s="1"/>
      <c r="B69" s="7">
        <f t="shared" si="4"/>
        <v>455.13669801470894</v>
      </c>
      <c r="C69" s="2">
        <f>'1400'!C69/((1+C$2)^C$1)</f>
        <v>41.687473332055717</v>
      </c>
      <c r="D69" s="2">
        <f>'1400'!D69/((1+D$2)^D$1)</f>
        <v>42.382264554256636</v>
      </c>
      <c r="E69" s="2">
        <f>'1400'!E69/((1+E$2)^E$1)</f>
        <v>43.088635630160908</v>
      </c>
      <c r="F69" s="2">
        <f>'1400'!F69/((1+F$2)^F$1)</f>
        <v>43.806779557330259</v>
      </c>
      <c r="G69" s="2">
        <f>'1400'!G69/((1+G$2)^G$1)</f>
        <v>44.536892549952434</v>
      </c>
      <c r="H69" s="2">
        <f>'1400'!H69/((1+H$2)^H$1)</f>
        <v>45.279174092451626</v>
      </c>
      <c r="I69" s="2">
        <f>'1400'!I69/((1+I$2)^I$1)</f>
        <v>0</v>
      </c>
      <c r="J69" s="2">
        <f>'1400'!J69/((1+J$2)^J$1)</f>
        <v>46.801057443892361</v>
      </c>
      <c r="K69" s="2">
        <f>'1400'!K69/((1+K$2)^K$1)</f>
        <v>0</v>
      </c>
      <c r="L69" s="2">
        <f>'1400'!L69/((1+L$2)^L$1)</f>
        <v>48.374092985756519</v>
      </c>
      <c r="M69" s="2">
        <f>'1400'!M69/((1+M$2)^M$1)</f>
        <v>49.180327868852459</v>
      </c>
      <c r="N69" s="2">
        <f>'1400'!N69/((1+N$2)^N$1)</f>
        <v>50</v>
      </c>
      <c r="O69" s="5">
        <v>50</v>
      </c>
      <c r="P69" s="1" t="s">
        <v>70</v>
      </c>
      <c r="Q69" s="1">
        <v>1066</v>
      </c>
      <c r="R69" s="1" t="s">
        <v>93</v>
      </c>
      <c r="S69" s="1">
        <f t="shared" si="3"/>
        <v>66</v>
      </c>
    </row>
    <row r="70" spans="1:19" ht="22.2" x14ac:dyDescent="0.3">
      <c r="A70" s="1"/>
      <c r="B70" s="7">
        <f t="shared" si="4"/>
        <v>548.75160007665875</v>
      </c>
      <c r="C70" s="2">
        <f>'1400'!C70/((1+C$2)^C$1)</f>
        <v>41.687473332055717</v>
      </c>
      <c r="D70" s="2">
        <f>'1400'!D70/((1+D$2)^D$1)</f>
        <v>42.382264554256636</v>
      </c>
      <c r="E70" s="2">
        <f>'1400'!E70/((1+E$2)^E$1)</f>
        <v>43.088635630160908</v>
      </c>
      <c r="F70" s="2">
        <f>'1400'!F70/((1+F$2)^F$1)</f>
        <v>43.806779557330259</v>
      </c>
      <c r="G70" s="2">
        <f>'1400'!G70/((1+G$2)^G$1)</f>
        <v>44.536892549952434</v>
      </c>
      <c r="H70" s="2">
        <f>'1400'!H70/((1+H$2)^H$1)</f>
        <v>45.279174092451626</v>
      </c>
      <c r="I70" s="2">
        <f>'1400'!I70/((1+I$2)^I$1)</f>
        <v>46.033826993992484</v>
      </c>
      <c r="J70" s="2">
        <f>'1400'!J70/((1+J$2)^J$1)</f>
        <v>46.801057443892361</v>
      </c>
      <c r="K70" s="2">
        <f>'1400'!K70/((1+K$2)^K$1)</f>
        <v>47.581075067957244</v>
      </c>
      <c r="L70" s="2">
        <f>'1400'!L70/((1+L$2)^L$1)</f>
        <v>48.374092985756519</v>
      </c>
      <c r="M70" s="2">
        <f>'1400'!M70/((1+M$2)^M$1)</f>
        <v>49.180327868852459</v>
      </c>
      <c r="N70" s="2">
        <f>'1400'!N70/((1+N$2)^N$1)</f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3"/>
        <v>67</v>
      </c>
    </row>
    <row r="71" spans="1:19" ht="22.2" x14ac:dyDescent="0.3">
      <c r="A71" s="1"/>
      <c r="B71" s="7">
        <f t="shared" si="4"/>
        <v>548.75160007665875</v>
      </c>
      <c r="C71" s="2">
        <f>'1400'!C71/((1+C$2)^C$1)</f>
        <v>41.687473332055717</v>
      </c>
      <c r="D71" s="2">
        <f>'1400'!D71/((1+D$2)^D$1)</f>
        <v>42.382264554256636</v>
      </c>
      <c r="E71" s="2">
        <f>'1400'!E71/((1+E$2)^E$1)</f>
        <v>43.088635630160908</v>
      </c>
      <c r="F71" s="2">
        <f>'1400'!F71/((1+F$2)^F$1)</f>
        <v>43.806779557330259</v>
      </c>
      <c r="G71" s="2">
        <f>'1400'!G71/((1+G$2)^G$1)</f>
        <v>44.536892549952434</v>
      </c>
      <c r="H71" s="2">
        <f>'1400'!H71/((1+H$2)^H$1)</f>
        <v>45.279174092451626</v>
      </c>
      <c r="I71" s="2">
        <f>'1400'!I71/((1+I$2)^I$1)</f>
        <v>46.033826993992484</v>
      </c>
      <c r="J71" s="2">
        <f>'1400'!J71/((1+J$2)^J$1)</f>
        <v>46.801057443892361</v>
      </c>
      <c r="K71" s="2">
        <f>'1400'!K71/((1+K$2)^K$1)</f>
        <v>47.581075067957244</v>
      </c>
      <c r="L71" s="2">
        <f>'1400'!L71/((1+L$2)^L$1)</f>
        <v>48.374092985756519</v>
      </c>
      <c r="M71" s="2">
        <f>'1400'!M71/((1+M$2)^M$1)</f>
        <v>49.180327868852459</v>
      </c>
      <c r="N71" s="2">
        <f>'1400'!N71/((1+N$2)^N$1)</f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3"/>
        <v>68</v>
      </c>
    </row>
    <row r="72" spans="1:19" ht="22.2" x14ac:dyDescent="0.3">
      <c r="A72" s="1"/>
      <c r="B72" s="7">
        <f t="shared" si="4"/>
        <v>548.75160007665875</v>
      </c>
      <c r="C72" s="2">
        <f>'1400'!C72/((1+C$2)^C$1)</f>
        <v>41.687473332055717</v>
      </c>
      <c r="D72" s="2">
        <f>'1400'!D72/((1+D$2)^D$1)</f>
        <v>42.382264554256636</v>
      </c>
      <c r="E72" s="2">
        <f>'1400'!E72/((1+E$2)^E$1)</f>
        <v>43.088635630160908</v>
      </c>
      <c r="F72" s="2">
        <f>'1400'!F72/((1+F$2)^F$1)</f>
        <v>43.806779557330259</v>
      </c>
      <c r="G72" s="2">
        <f>'1400'!G72/((1+G$2)^G$1)</f>
        <v>44.536892549952434</v>
      </c>
      <c r="H72" s="2">
        <f>'1400'!H72/((1+H$2)^H$1)</f>
        <v>45.279174092451626</v>
      </c>
      <c r="I72" s="2">
        <f>'1400'!I72/((1+I$2)^I$1)</f>
        <v>46.033826993992484</v>
      </c>
      <c r="J72" s="2">
        <f>'1400'!J72/((1+J$2)^J$1)</f>
        <v>46.801057443892361</v>
      </c>
      <c r="K72" s="2">
        <f>'1400'!K72/((1+K$2)^K$1)</f>
        <v>47.581075067957244</v>
      </c>
      <c r="L72" s="2">
        <f>'1400'!L72/((1+L$2)^L$1)</f>
        <v>48.374092985756519</v>
      </c>
      <c r="M72" s="2">
        <f>'1400'!M72/((1+M$2)^M$1)</f>
        <v>49.180327868852459</v>
      </c>
      <c r="N72" s="2">
        <f>'1400'!N72/((1+N$2)^N$1)</f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3"/>
        <v>69</v>
      </c>
    </row>
    <row r="73" spans="1:19" ht="22.2" x14ac:dyDescent="0.3">
      <c r="A73" s="1"/>
      <c r="B73" s="7">
        <f t="shared" si="4"/>
        <v>548.75160007665875</v>
      </c>
      <c r="C73" s="2">
        <f>'1400'!C73/((1+C$2)^C$1)</f>
        <v>41.687473332055717</v>
      </c>
      <c r="D73" s="2">
        <f>'1400'!D73/((1+D$2)^D$1)</f>
        <v>42.382264554256636</v>
      </c>
      <c r="E73" s="2">
        <f>'1400'!E73/((1+E$2)^E$1)</f>
        <v>43.088635630160908</v>
      </c>
      <c r="F73" s="2">
        <f>'1400'!F73/((1+F$2)^F$1)</f>
        <v>43.806779557330259</v>
      </c>
      <c r="G73" s="2">
        <f>'1400'!G73/((1+G$2)^G$1)</f>
        <v>44.536892549952434</v>
      </c>
      <c r="H73" s="2">
        <f>'1400'!H73/((1+H$2)^H$1)</f>
        <v>45.279174092451626</v>
      </c>
      <c r="I73" s="2">
        <f>'1400'!I73/((1+I$2)^I$1)</f>
        <v>46.033826993992484</v>
      </c>
      <c r="J73" s="2">
        <f>'1400'!J73/((1+J$2)^J$1)</f>
        <v>46.801057443892361</v>
      </c>
      <c r="K73" s="2">
        <f>'1400'!K73/((1+K$2)^K$1)</f>
        <v>47.581075067957244</v>
      </c>
      <c r="L73" s="2">
        <f>'1400'!L73/((1+L$2)^L$1)</f>
        <v>48.374092985756519</v>
      </c>
      <c r="M73" s="2">
        <f>'1400'!M73/((1+M$2)^M$1)</f>
        <v>49.180327868852459</v>
      </c>
      <c r="N73" s="2">
        <f>'1400'!N73/((1+N$2)^N$1)</f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3"/>
        <v>70</v>
      </c>
    </row>
    <row r="74" spans="1:19" ht="22.2" x14ac:dyDescent="0.3">
      <c r="A74" s="1"/>
      <c r="B74" s="7">
        <f t="shared" si="4"/>
        <v>548.75160007665875</v>
      </c>
      <c r="C74" s="2">
        <f>'1400'!C74/((1+C$2)^C$1)</f>
        <v>41.687473332055717</v>
      </c>
      <c r="D74" s="2">
        <f>'1400'!D74/((1+D$2)^D$1)</f>
        <v>42.382264554256636</v>
      </c>
      <c r="E74" s="2">
        <f>'1400'!E74/((1+E$2)^E$1)</f>
        <v>43.088635630160908</v>
      </c>
      <c r="F74" s="2">
        <f>'1400'!F74/((1+F$2)^F$1)</f>
        <v>43.806779557330259</v>
      </c>
      <c r="G74" s="2">
        <f>'1400'!G74/((1+G$2)^G$1)</f>
        <v>44.536892549952434</v>
      </c>
      <c r="H74" s="2">
        <f>'1400'!H74/((1+H$2)^H$1)</f>
        <v>45.279174092451626</v>
      </c>
      <c r="I74" s="2">
        <f>'1400'!I74/((1+I$2)^I$1)</f>
        <v>46.033826993992484</v>
      </c>
      <c r="J74" s="2">
        <f>'1400'!J74/((1+J$2)^J$1)</f>
        <v>46.801057443892361</v>
      </c>
      <c r="K74" s="2">
        <f>'1400'!K74/((1+K$2)^K$1)</f>
        <v>47.581075067957244</v>
      </c>
      <c r="L74" s="2">
        <f>'1400'!L74/((1+L$2)^L$1)</f>
        <v>48.374092985756519</v>
      </c>
      <c r="M74" s="2">
        <f>'1400'!M74/((1+M$2)^M$1)</f>
        <v>49.180327868852459</v>
      </c>
      <c r="N74" s="2">
        <f>'1400'!N74/((1+N$2)^N$1)</f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3"/>
        <v>71</v>
      </c>
    </row>
    <row r="75" spans="1:19" ht="22.2" x14ac:dyDescent="0.3">
      <c r="A75" s="1"/>
      <c r="B75" s="7">
        <f t="shared" si="4"/>
        <v>548.75160007665875</v>
      </c>
      <c r="C75" s="2">
        <f>'1400'!C75/((1+C$2)^C$1)</f>
        <v>41.687473332055717</v>
      </c>
      <c r="D75" s="2">
        <f>'1400'!D75/((1+D$2)^D$1)</f>
        <v>42.382264554256636</v>
      </c>
      <c r="E75" s="2">
        <f>'1400'!E75/((1+E$2)^E$1)</f>
        <v>43.088635630160908</v>
      </c>
      <c r="F75" s="2">
        <f>'1400'!F75/((1+F$2)^F$1)</f>
        <v>43.806779557330259</v>
      </c>
      <c r="G75" s="2">
        <f>'1400'!G75/((1+G$2)^G$1)</f>
        <v>44.536892549952434</v>
      </c>
      <c r="H75" s="2">
        <f>'1400'!H75/((1+H$2)^H$1)</f>
        <v>45.279174092451626</v>
      </c>
      <c r="I75" s="2">
        <f>'1400'!I75/((1+I$2)^I$1)</f>
        <v>46.033826993992484</v>
      </c>
      <c r="J75" s="2">
        <f>'1400'!J75/((1+J$2)^J$1)</f>
        <v>46.801057443892361</v>
      </c>
      <c r="K75" s="2">
        <f>'1400'!K75/((1+K$2)^K$1)</f>
        <v>47.581075067957244</v>
      </c>
      <c r="L75" s="2">
        <f>'1400'!L75/((1+L$2)^L$1)</f>
        <v>48.374092985756519</v>
      </c>
      <c r="M75" s="2">
        <f>'1400'!M75/((1+M$2)^M$1)</f>
        <v>49.180327868852459</v>
      </c>
      <c r="N75" s="2">
        <f>'1400'!N75/((1+N$2)^N$1)</f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3"/>
        <v>72</v>
      </c>
    </row>
    <row r="76" spans="1:19" ht="22.2" x14ac:dyDescent="0.3">
      <c r="A76" s="1"/>
      <c r="B76" s="7">
        <f t="shared" si="4"/>
        <v>997.50320015331749</v>
      </c>
      <c r="C76" s="2">
        <f>'1400'!C76/((1+C$2)^C$1)</f>
        <v>83.374946664111434</v>
      </c>
      <c r="D76" s="2">
        <f>'1400'!D76/((1+D$2)^D$1)</f>
        <v>84.764529108513273</v>
      </c>
      <c r="E76" s="2">
        <f>'1400'!E76/((1+E$2)^E$1)</f>
        <v>86.177271260321817</v>
      </c>
      <c r="F76" s="2">
        <f>'1400'!F76/((1+F$2)^F$1)</f>
        <v>87.613559114660518</v>
      </c>
      <c r="G76" s="2">
        <f>'1400'!G76/((1+G$2)^G$1)</f>
        <v>89.073785099904867</v>
      </c>
      <c r="H76" s="2">
        <f>'1400'!H76/((1+H$2)^H$1)</f>
        <v>90.558348184903252</v>
      </c>
      <c r="I76" s="2">
        <f>'1400'!I76/((1+I$2)^I$1)</f>
        <v>92.067653987984968</v>
      </c>
      <c r="J76" s="2">
        <f>'1400'!J76/((1+J$2)^J$1)</f>
        <v>93.602114887784722</v>
      </c>
      <c r="K76" s="2">
        <f>'1400'!K76/((1+K$2)^K$1)</f>
        <v>95.162150135914487</v>
      </c>
      <c r="L76" s="2">
        <f>'1400'!L76/((1+L$2)^L$1)</f>
        <v>96.748185971513038</v>
      </c>
      <c r="M76" s="2">
        <f>'1400'!M76/((1+M$2)^M$1)</f>
        <v>98.360655737704917</v>
      </c>
      <c r="N76" s="2">
        <f>'1400'!N76/((1+N$2)^N$1)</f>
        <v>0</v>
      </c>
      <c r="O76" s="5">
        <v>100</v>
      </c>
      <c r="P76" s="1" t="s">
        <v>81</v>
      </c>
      <c r="Q76" s="1">
        <v>1076</v>
      </c>
      <c r="R76" s="1" t="s">
        <v>93</v>
      </c>
      <c r="S76" s="1">
        <f t="shared" si="3"/>
        <v>73</v>
      </c>
    </row>
    <row r="77" spans="1:19" ht="22.2" x14ac:dyDescent="0.3">
      <c r="A77" s="1"/>
      <c r="B77" s="7">
        <f t="shared" si="4"/>
        <v>997.50320015331749</v>
      </c>
      <c r="C77" s="2">
        <f>'1400'!C77/((1+C$2)^C$1)</f>
        <v>83.374946664111434</v>
      </c>
      <c r="D77" s="2">
        <f>'1400'!D77/((1+D$2)^D$1)</f>
        <v>84.764529108513273</v>
      </c>
      <c r="E77" s="2">
        <f>'1400'!E77/((1+E$2)^E$1)</f>
        <v>86.177271260321817</v>
      </c>
      <c r="F77" s="2">
        <f>'1400'!F77/((1+F$2)^F$1)</f>
        <v>87.613559114660518</v>
      </c>
      <c r="G77" s="2">
        <f>'1400'!G77/((1+G$2)^G$1)</f>
        <v>89.073785099904867</v>
      </c>
      <c r="H77" s="2">
        <f>'1400'!H77/((1+H$2)^H$1)</f>
        <v>90.558348184903252</v>
      </c>
      <c r="I77" s="2">
        <f>'1400'!I77/((1+I$2)^I$1)</f>
        <v>92.067653987984968</v>
      </c>
      <c r="J77" s="2">
        <f>'1400'!J77/((1+J$2)^J$1)</f>
        <v>93.602114887784722</v>
      </c>
      <c r="K77" s="2">
        <f>'1400'!K77/((1+K$2)^K$1)</f>
        <v>95.162150135914487</v>
      </c>
      <c r="L77" s="2">
        <f>'1400'!L77/((1+L$2)^L$1)</f>
        <v>96.748185971513038</v>
      </c>
      <c r="M77" s="2">
        <f>'1400'!M77/((1+M$2)^M$1)</f>
        <v>98.360655737704917</v>
      </c>
      <c r="N77" s="2">
        <f>'1400'!N77/((1+N$2)^N$1)</f>
        <v>0</v>
      </c>
      <c r="O77" s="5">
        <v>100</v>
      </c>
      <c r="P77" s="1" t="s">
        <v>102</v>
      </c>
      <c r="Q77" s="1">
        <v>1077</v>
      </c>
      <c r="R77" s="1" t="s">
        <v>93</v>
      </c>
      <c r="S77" s="1">
        <f t="shared" si="3"/>
        <v>74</v>
      </c>
    </row>
    <row r="78" spans="1:19" ht="22.2" x14ac:dyDescent="0.3">
      <c r="A78" s="1"/>
      <c r="B78" s="7">
        <f t="shared" si="4"/>
        <v>997.50320015331749</v>
      </c>
      <c r="C78" s="2">
        <f>'1400'!C78/((1+C$2)^C$1)</f>
        <v>83.374946664111434</v>
      </c>
      <c r="D78" s="2">
        <f>'1400'!D78/((1+D$2)^D$1)</f>
        <v>84.764529108513273</v>
      </c>
      <c r="E78" s="2">
        <f>'1400'!E78/((1+E$2)^E$1)</f>
        <v>86.177271260321817</v>
      </c>
      <c r="F78" s="2">
        <f>'1400'!F78/((1+F$2)^F$1)</f>
        <v>87.613559114660518</v>
      </c>
      <c r="G78" s="2">
        <f>'1400'!G78/((1+G$2)^G$1)</f>
        <v>89.073785099904867</v>
      </c>
      <c r="H78" s="2">
        <f>'1400'!H78/((1+H$2)^H$1)</f>
        <v>90.558348184903252</v>
      </c>
      <c r="I78" s="2">
        <f>'1400'!I78/((1+I$2)^I$1)</f>
        <v>92.067653987984968</v>
      </c>
      <c r="J78" s="2">
        <f>'1400'!J78/((1+J$2)^J$1)</f>
        <v>93.602114887784722</v>
      </c>
      <c r="K78" s="2">
        <f>'1400'!K78/((1+K$2)^K$1)</f>
        <v>95.162150135914487</v>
      </c>
      <c r="L78" s="2">
        <f>'1400'!L78/((1+L$2)^L$1)</f>
        <v>96.748185971513038</v>
      </c>
      <c r="M78" s="2">
        <f>'1400'!M78/((1+M$2)^M$1)</f>
        <v>98.360655737704917</v>
      </c>
      <c r="N78" s="2">
        <f>'1400'!N78/((1+N$2)^N$1)</f>
        <v>0</v>
      </c>
      <c r="O78" s="5">
        <v>100</v>
      </c>
      <c r="P78" s="1" t="s">
        <v>80</v>
      </c>
      <c r="Q78" s="1">
        <v>1075</v>
      </c>
      <c r="R78" s="1" t="s">
        <v>93</v>
      </c>
      <c r="S78" s="1">
        <f t="shared" si="3"/>
        <v>75</v>
      </c>
    </row>
    <row r="79" spans="1:19" ht="22.2" x14ac:dyDescent="0.3">
      <c r="A79" s="1"/>
      <c r="B79" s="7">
        <f t="shared" si="4"/>
        <v>997.50320015331749</v>
      </c>
      <c r="C79" s="2">
        <f>'1400'!C79/((1+C$2)^C$1)</f>
        <v>83.374946664111434</v>
      </c>
      <c r="D79" s="2">
        <f>'1400'!D79/((1+D$2)^D$1)</f>
        <v>84.764529108513273</v>
      </c>
      <c r="E79" s="2">
        <f>'1400'!E79/((1+E$2)^E$1)</f>
        <v>86.177271260321817</v>
      </c>
      <c r="F79" s="2">
        <f>'1400'!F79/((1+F$2)^F$1)</f>
        <v>87.613559114660518</v>
      </c>
      <c r="G79" s="2">
        <f>'1400'!G79/((1+G$2)^G$1)</f>
        <v>89.073785099904867</v>
      </c>
      <c r="H79" s="2">
        <f>'1400'!H79/((1+H$2)^H$1)</f>
        <v>90.558348184903252</v>
      </c>
      <c r="I79" s="2">
        <f>'1400'!I79/((1+I$2)^I$1)</f>
        <v>92.067653987984968</v>
      </c>
      <c r="J79" s="2">
        <f>'1400'!J79/((1+J$2)^J$1)</f>
        <v>93.602114887784722</v>
      </c>
      <c r="K79" s="2">
        <f>'1400'!K79/((1+K$2)^K$1)</f>
        <v>95.162150135914487</v>
      </c>
      <c r="L79" s="2">
        <f>'1400'!L79/((1+L$2)^L$1)</f>
        <v>96.748185971513038</v>
      </c>
      <c r="M79" s="2">
        <f>'1400'!M79/((1+M$2)^M$1)</f>
        <v>98.360655737704917</v>
      </c>
      <c r="N79" s="2">
        <f>'1400'!N79/((1+N$2)^N$1)</f>
        <v>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3"/>
        <v>76</v>
      </c>
    </row>
    <row r="80" spans="1:19" ht="22.2" x14ac:dyDescent="0.3">
      <c r="A80" s="1"/>
      <c r="B80" s="7">
        <f t="shared" si="4"/>
        <v>997.50320015331749</v>
      </c>
      <c r="C80" s="2">
        <f>'1400'!C80/((1+C$2)^C$1)</f>
        <v>83.374946664111434</v>
      </c>
      <c r="D80" s="2">
        <f>'1400'!D80/((1+D$2)^D$1)</f>
        <v>84.764529108513273</v>
      </c>
      <c r="E80" s="2">
        <f>'1400'!E80/((1+E$2)^E$1)</f>
        <v>86.177271260321817</v>
      </c>
      <c r="F80" s="2">
        <f>'1400'!F80/((1+F$2)^F$1)</f>
        <v>87.613559114660518</v>
      </c>
      <c r="G80" s="2">
        <f>'1400'!G80/((1+G$2)^G$1)</f>
        <v>89.073785099904867</v>
      </c>
      <c r="H80" s="2">
        <f>'1400'!H80/((1+H$2)^H$1)</f>
        <v>90.558348184903252</v>
      </c>
      <c r="I80" s="2">
        <f>'1400'!I80/((1+I$2)^I$1)</f>
        <v>92.067653987984968</v>
      </c>
      <c r="J80" s="2">
        <f>'1400'!J80/((1+J$2)^J$1)</f>
        <v>93.602114887784722</v>
      </c>
      <c r="K80" s="2">
        <f>'1400'!K80/((1+K$2)^K$1)</f>
        <v>95.162150135914487</v>
      </c>
      <c r="L80" s="2">
        <f>'1400'!L80/((1+L$2)^L$1)</f>
        <v>96.748185971513038</v>
      </c>
      <c r="M80" s="2">
        <f>'1400'!M80/((1+M$2)^M$1)</f>
        <v>98.360655737704917</v>
      </c>
      <c r="N80" s="2">
        <f>'1400'!N80/((1+N$2)^N$1)</f>
        <v>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3"/>
        <v>77</v>
      </c>
    </row>
    <row r="81" spans="1:19" ht="22.2" x14ac:dyDescent="0.3">
      <c r="A81" s="1"/>
      <c r="B81" s="7">
        <f t="shared" si="4"/>
        <v>997.50320015331749</v>
      </c>
      <c r="C81" s="2">
        <f>'1400'!C81/((1+C$2)^C$1)</f>
        <v>83.374946664111434</v>
      </c>
      <c r="D81" s="2">
        <f>'1400'!D81/((1+D$2)^D$1)</f>
        <v>84.764529108513273</v>
      </c>
      <c r="E81" s="2">
        <f>'1400'!E81/((1+E$2)^E$1)</f>
        <v>86.177271260321817</v>
      </c>
      <c r="F81" s="2">
        <f>'1400'!F81/((1+F$2)^F$1)</f>
        <v>87.613559114660518</v>
      </c>
      <c r="G81" s="2">
        <f>'1400'!G81/((1+G$2)^G$1)</f>
        <v>89.073785099904867</v>
      </c>
      <c r="H81" s="2">
        <f>'1400'!H81/((1+H$2)^H$1)</f>
        <v>90.558348184903252</v>
      </c>
      <c r="I81" s="2">
        <f>'1400'!I81/((1+I$2)^I$1)</f>
        <v>92.067653987984968</v>
      </c>
      <c r="J81" s="2">
        <f>'1400'!J81/((1+J$2)^J$1)</f>
        <v>93.602114887784722</v>
      </c>
      <c r="K81" s="2">
        <f>'1400'!K81/((1+K$2)^K$1)</f>
        <v>95.162150135914487</v>
      </c>
      <c r="L81" s="2">
        <f>'1400'!L81/((1+L$2)^L$1)</f>
        <v>96.748185971513038</v>
      </c>
      <c r="M81" s="2">
        <f>'1400'!M81/((1+M$2)^M$1)</f>
        <v>98.360655737704917</v>
      </c>
      <c r="N81" s="2">
        <f>'1400'!N81/((1+N$2)^N$1)</f>
        <v>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si="3"/>
        <v>78</v>
      </c>
    </row>
    <row r="82" spans="1:19" ht="22.2" x14ac:dyDescent="0.3">
      <c r="A82" s="1"/>
      <c r="B82" s="7">
        <f t="shared" si="4"/>
        <v>997.50320015331749</v>
      </c>
      <c r="C82" s="2">
        <f>'1400'!C82/((1+C$2)^C$1)</f>
        <v>83.374946664111434</v>
      </c>
      <c r="D82" s="2">
        <f>'1400'!D82/((1+D$2)^D$1)</f>
        <v>84.764529108513273</v>
      </c>
      <c r="E82" s="2">
        <f>'1400'!E82/((1+E$2)^E$1)</f>
        <v>86.177271260321817</v>
      </c>
      <c r="F82" s="2">
        <f>'1400'!F82/((1+F$2)^F$1)</f>
        <v>87.613559114660518</v>
      </c>
      <c r="G82" s="2">
        <f>'1400'!G82/((1+G$2)^G$1)</f>
        <v>89.073785099904867</v>
      </c>
      <c r="H82" s="2">
        <f>'1400'!H82/((1+H$2)^H$1)</f>
        <v>90.558348184903252</v>
      </c>
      <c r="I82" s="2">
        <f>'1400'!I82/((1+I$2)^I$1)</f>
        <v>92.067653987984968</v>
      </c>
      <c r="J82" s="2">
        <f>'1400'!J82/((1+J$2)^J$1)</f>
        <v>93.602114887784722</v>
      </c>
      <c r="K82" s="2">
        <f>'1400'!K82/((1+K$2)^K$1)</f>
        <v>95.162150135914487</v>
      </c>
      <c r="L82" s="2">
        <f>'1400'!L82/((1+L$2)^L$1)</f>
        <v>96.748185971513038</v>
      </c>
      <c r="M82" s="2">
        <f>'1400'!M82/((1+M$2)^M$1)</f>
        <v>98.360655737704917</v>
      </c>
      <c r="N82" s="2">
        <f>'1400'!N82/((1+N$2)^N$1)</f>
        <v>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3"/>
        <v>79</v>
      </c>
    </row>
    <row r="83" spans="1:19" ht="22.2" x14ac:dyDescent="0.3">
      <c r="A83" s="1"/>
      <c r="B83" s="7">
        <f t="shared" si="4"/>
        <v>1995.006400306635</v>
      </c>
      <c r="C83" s="2">
        <f>'1400'!C83/((1+C$2)^C$1)</f>
        <v>166.74989332822287</v>
      </c>
      <c r="D83" s="2">
        <f>'1400'!D83/((1+D$2)^D$1)</f>
        <v>169.52905821702655</v>
      </c>
      <c r="E83" s="2">
        <f>'1400'!E83/((1+E$2)^E$1)</f>
        <v>172.35454252064363</v>
      </c>
      <c r="F83" s="2">
        <f>'1400'!F83/((1+F$2)^F$1)</f>
        <v>175.22711822932104</v>
      </c>
      <c r="G83" s="2">
        <f>'1400'!G83/((1+G$2)^G$1)</f>
        <v>178.14757019980973</v>
      </c>
      <c r="H83" s="2">
        <f>'1400'!H83/((1+H$2)^H$1)</f>
        <v>181.1166963698065</v>
      </c>
      <c r="I83" s="2">
        <f>'1400'!I83/((1+I$2)^I$1)</f>
        <v>184.13530797596994</v>
      </c>
      <c r="J83" s="2">
        <f>'1400'!J83/((1+J$2)^J$1)</f>
        <v>187.20422977556944</v>
      </c>
      <c r="K83" s="2">
        <f>'1400'!K83/((1+K$2)^K$1)</f>
        <v>190.32430027182897</v>
      </c>
      <c r="L83" s="2">
        <f>'1400'!L83/((1+L$2)^L$1)</f>
        <v>193.49637194302608</v>
      </c>
      <c r="M83" s="2">
        <f>'1400'!M83/((1+M$2)^M$1)</f>
        <v>196.72131147540983</v>
      </c>
      <c r="N83" s="2">
        <f>'1400'!N83/((1+N$2)^N$1)</f>
        <v>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3"/>
        <v>80</v>
      </c>
    </row>
    <row r="84" spans="1:19" ht="22.2" x14ac:dyDescent="0.3">
      <c r="A84" s="1"/>
      <c r="B84" s="7">
        <f t="shared" si="4"/>
        <v>997.50320015331749</v>
      </c>
      <c r="C84" s="2">
        <f>'1400'!C84/((1+C$2)^C$1)</f>
        <v>83.374946664111434</v>
      </c>
      <c r="D84" s="2">
        <f>'1400'!D84/((1+D$2)^D$1)</f>
        <v>84.764529108513273</v>
      </c>
      <c r="E84" s="2">
        <f>'1400'!E84/((1+E$2)^E$1)</f>
        <v>86.177271260321817</v>
      </c>
      <c r="F84" s="2">
        <f>'1400'!F84/((1+F$2)^F$1)</f>
        <v>87.613559114660518</v>
      </c>
      <c r="G84" s="2">
        <f>'1400'!G84/((1+G$2)^G$1)</f>
        <v>89.073785099904867</v>
      </c>
      <c r="H84" s="2">
        <f>'1400'!H84/((1+H$2)^H$1)</f>
        <v>90.558348184903252</v>
      </c>
      <c r="I84" s="2">
        <f>'1400'!I84/((1+I$2)^I$1)</f>
        <v>92.067653987984968</v>
      </c>
      <c r="J84" s="2">
        <f>'1400'!J84/((1+J$2)^J$1)</f>
        <v>93.602114887784722</v>
      </c>
      <c r="K84" s="2">
        <f>'1400'!K84/((1+K$2)^K$1)</f>
        <v>95.162150135914487</v>
      </c>
      <c r="L84" s="2">
        <f>'1400'!L84/((1+L$2)^L$1)</f>
        <v>96.748185971513038</v>
      </c>
      <c r="M84" s="2">
        <f>'1400'!M84/((1+M$2)^M$1)</f>
        <v>98.360655737704917</v>
      </c>
      <c r="N84" s="2">
        <f>'1400'!N84/((1+N$2)^N$1)</f>
        <v>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3"/>
        <v>81</v>
      </c>
    </row>
    <row r="85" spans="1:19" ht="22.2" x14ac:dyDescent="0.3">
      <c r="A85" s="1"/>
      <c r="B85" s="7">
        <f t="shared" si="4"/>
        <v>997.50320015331749</v>
      </c>
      <c r="C85" s="2">
        <f>'1400'!C85/((1+C$2)^C$1)</f>
        <v>83.374946664111434</v>
      </c>
      <c r="D85" s="2">
        <f>'1400'!D85/((1+D$2)^D$1)</f>
        <v>84.764529108513273</v>
      </c>
      <c r="E85" s="2">
        <f>'1400'!E85/((1+E$2)^E$1)</f>
        <v>86.177271260321817</v>
      </c>
      <c r="F85" s="2">
        <f>'1400'!F85/((1+F$2)^F$1)</f>
        <v>87.613559114660518</v>
      </c>
      <c r="G85" s="2">
        <f>'1400'!G85/((1+G$2)^G$1)</f>
        <v>89.073785099904867</v>
      </c>
      <c r="H85" s="2">
        <f>'1400'!H85/((1+H$2)^H$1)</f>
        <v>90.558348184903252</v>
      </c>
      <c r="I85" s="2">
        <f>'1400'!I85/((1+I$2)^I$1)</f>
        <v>92.067653987984968</v>
      </c>
      <c r="J85" s="2">
        <f>'1400'!J85/((1+J$2)^J$1)</f>
        <v>93.602114887784722</v>
      </c>
      <c r="K85" s="2">
        <f>'1400'!K85/((1+K$2)^K$1)</f>
        <v>95.162150135914487</v>
      </c>
      <c r="L85" s="2">
        <f>'1400'!L85/((1+L$2)^L$1)</f>
        <v>96.748185971513038</v>
      </c>
      <c r="M85" s="2">
        <f>'1400'!M85/((1+M$2)^M$1)</f>
        <v>98.360655737704917</v>
      </c>
      <c r="N85" s="2">
        <f>'1400'!N85/((1+N$2)^N$1)</f>
        <v>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3"/>
        <v>82</v>
      </c>
    </row>
    <row r="86" spans="1:19" ht="22.2" x14ac:dyDescent="0.3">
      <c r="A86" s="1"/>
      <c r="B86" s="7">
        <f t="shared" si="4"/>
        <v>997.50320015331749</v>
      </c>
      <c r="C86" s="2">
        <f>'1400'!C86/((1+C$2)^C$1)</f>
        <v>83.374946664111434</v>
      </c>
      <c r="D86" s="2">
        <f>'1400'!D86/((1+D$2)^D$1)</f>
        <v>84.764529108513273</v>
      </c>
      <c r="E86" s="2">
        <f>'1400'!E86/((1+E$2)^E$1)</f>
        <v>86.177271260321817</v>
      </c>
      <c r="F86" s="2">
        <f>'1400'!F86/((1+F$2)^F$1)</f>
        <v>87.613559114660518</v>
      </c>
      <c r="G86" s="2">
        <f>'1400'!G86/((1+G$2)^G$1)</f>
        <v>89.073785099904867</v>
      </c>
      <c r="H86" s="2">
        <f>'1400'!H86/((1+H$2)^H$1)</f>
        <v>90.558348184903252</v>
      </c>
      <c r="I86" s="2">
        <f>'1400'!I86/((1+I$2)^I$1)</f>
        <v>92.067653987984968</v>
      </c>
      <c r="J86" s="2">
        <f>'1400'!J86/((1+J$2)^J$1)</f>
        <v>93.602114887784722</v>
      </c>
      <c r="K86" s="2">
        <f>'1400'!K86/((1+K$2)^K$1)</f>
        <v>95.162150135914487</v>
      </c>
      <c r="L86" s="2">
        <f>'1400'!L86/((1+L$2)^L$1)</f>
        <v>96.748185971513038</v>
      </c>
      <c r="M86" s="2">
        <f>'1400'!M86/((1+M$2)^M$1)</f>
        <v>98.360655737704917</v>
      </c>
      <c r="N86" s="2">
        <f>'1400'!N86/((1+N$2)^N$1)</f>
        <v>0</v>
      </c>
      <c r="O86" s="5">
        <v>100</v>
      </c>
      <c r="P86" s="1" t="s">
        <v>104</v>
      </c>
      <c r="Q86" s="1">
        <v>1095</v>
      </c>
      <c r="R86" s="1"/>
      <c r="S86" s="1">
        <f t="shared" si="3"/>
        <v>83</v>
      </c>
    </row>
    <row r="87" spans="1:19" ht="22.2" x14ac:dyDescent="0.3">
      <c r="A87" s="1"/>
      <c r="B87" s="7">
        <f t="shared" si="4"/>
        <v>997.50320015331749</v>
      </c>
      <c r="C87" s="2">
        <f>'1400'!C87/((1+C$2)^C$1)</f>
        <v>83.374946664111434</v>
      </c>
      <c r="D87" s="2">
        <f>'1400'!D87/((1+D$2)^D$1)</f>
        <v>84.764529108513273</v>
      </c>
      <c r="E87" s="2">
        <f>'1400'!E87/((1+E$2)^E$1)</f>
        <v>86.177271260321817</v>
      </c>
      <c r="F87" s="2">
        <f>'1400'!F87/((1+F$2)^F$1)</f>
        <v>87.613559114660518</v>
      </c>
      <c r="G87" s="2">
        <f>'1400'!G87/((1+G$2)^G$1)</f>
        <v>89.073785099904867</v>
      </c>
      <c r="H87" s="2">
        <f>'1400'!H87/((1+H$2)^H$1)</f>
        <v>90.558348184903252</v>
      </c>
      <c r="I87" s="2">
        <f>'1400'!I87/((1+I$2)^I$1)</f>
        <v>92.067653987984968</v>
      </c>
      <c r="J87" s="2">
        <f>'1400'!J87/((1+J$2)^J$1)</f>
        <v>93.602114887784722</v>
      </c>
      <c r="K87" s="2">
        <f>'1400'!K87/((1+K$2)^K$1)</f>
        <v>95.162150135914487</v>
      </c>
      <c r="L87" s="2">
        <f>'1400'!L87/((1+L$2)^L$1)</f>
        <v>96.748185971513038</v>
      </c>
      <c r="M87" s="2">
        <f>'1400'!M87/((1+M$2)^M$1)</f>
        <v>98.360655737704917</v>
      </c>
      <c r="N87" s="2">
        <f>'1400'!N87/((1+N$2)^N$1)</f>
        <v>0</v>
      </c>
      <c r="O87" s="5">
        <v>100</v>
      </c>
      <c r="P87" s="1" t="s">
        <v>106</v>
      </c>
      <c r="Q87" s="1">
        <v>1096</v>
      </c>
      <c r="R87" s="1"/>
      <c r="S87" s="1">
        <f t="shared" si="3"/>
        <v>84</v>
      </c>
    </row>
    <row r="88" spans="1:19" ht="22.2" x14ac:dyDescent="0.3">
      <c r="A88" s="1"/>
      <c r="B88" s="7">
        <f t="shared" si="4"/>
        <v>997.50320015331749</v>
      </c>
      <c r="C88" s="2">
        <f>'1400'!C88/((1+C$2)^C$1)</f>
        <v>83.374946664111434</v>
      </c>
      <c r="D88" s="2">
        <f>'1400'!D88/((1+D$2)^D$1)</f>
        <v>84.764529108513273</v>
      </c>
      <c r="E88" s="2">
        <f>'1400'!E88/((1+E$2)^E$1)</f>
        <v>86.177271260321817</v>
      </c>
      <c r="F88" s="2">
        <f>'1400'!F88/((1+F$2)^F$1)</f>
        <v>87.613559114660518</v>
      </c>
      <c r="G88" s="2">
        <f>'1400'!G88/((1+G$2)^G$1)</f>
        <v>89.073785099904867</v>
      </c>
      <c r="H88" s="2">
        <f>'1400'!H88/((1+H$2)^H$1)</f>
        <v>90.558348184903252</v>
      </c>
      <c r="I88" s="2">
        <f>'1400'!I88/((1+I$2)^I$1)</f>
        <v>92.067653987984968</v>
      </c>
      <c r="J88" s="2">
        <f>'1400'!J88/((1+J$2)^J$1)</f>
        <v>93.602114887784722</v>
      </c>
      <c r="K88" s="2">
        <f>'1400'!K88/((1+K$2)^K$1)</f>
        <v>95.162150135914487</v>
      </c>
      <c r="L88" s="2">
        <f>'1400'!L88/((1+L$2)^L$1)</f>
        <v>96.748185971513038</v>
      </c>
      <c r="M88" s="2">
        <f>'1400'!M88/((1+M$2)^M$1)</f>
        <v>98.360655737704917</v>
      </c>
      <c r="N88" s="2">
        <f>'1400'!N88/((1+N$2)^N$1)</f>
        <v>0</v>
      </c>
      <c r="O88" s="5">
        <v>100</v>
      </c>
      <c r="P88" s="1" t="s">
        <v>105</v>
      </c>
      <c r="Q88" s="1">
        <v>1097</v>
      </c>
      <c r="R88" s="1"/>
      <c r="S88" s="1">
        <f t="shared" si="3"/>
        <v>85</v>
      </c>
    </row>
    <row r="89" spans="1:19" ht="22.2" x14ac:dyDescent="0.3">
      <c r="A89" s="1"/>
      <c r="B89" s="7">
        <f t="shared" si="4"/>
        <v>997.50320015331749</v>
      </c>
      <c r="C89" s="2">
        <f>'1400'!C89/((1+C$2)^C$1)</f>
        <v>83.374946664111434</v>
      </c>
      <c r="D89" s="2">
        <f>'1400'!D89/((1+D$2)^D$1)</f>
        <v>84.764529108513273</v>
      </c>
      <c r="E89" s="2">
        <f>'1400'!E89/((1+E$2)^E$1)</f>
        <v>86.177271260321817</v>
      </c>
      <c r="F89" s="2">
        <f>'1400'!F89/((1+F$2)^F$1)</f>
        <v>87.613559114660518</v>
      </c>
      <c r="G89" s="2">
        <f>'1400'!G89/((1+G$2)^G$1)</f>
        <v>89.073785099904867</v>
      </c>
      <c r="H89" s="2">
        <f>'1400'!H89/((1+H$2)^H$1)</f>
        <v>90.558348184903252</v>
      </c>
      <c r="I89" s="2">
        <f>'1400'!I89/((1+I$2)^I$1)</f>
        <v>92.067653987984968</v>
      </c>
      <c r="J89" s="2">
        <f>'1400'!J89/((1+J$2)^J$1)</f>
        <v>93.602114887784722</v>
      </c>
      <c r="K89" s="2">
        <f>'1400'!K89/((1+K$2)^K$1)</f>
        <v>95.162150135914487</v>
      </c>
      <c r="L89" s="2">
        <f>'1400'!L89/((1+L$2)^L$1)</f>
        <v>96.748185971513038</v>
      </c>
      <c r="M89" s="2">
        <f>'1400'!M89/((1+M$2)^M$1)</f>
        <v>98.360655737704917</v>
      </c>
      <c r="N89" s="2">
        <f>'1400'!N89/((1+N$2)^N$1)</f>
        <v>0</v>
      </c>
      <c r="O89" s="5">
        <v>100</v>
      </c>
      <c r="P89" s="1" t="s">
        <v>26</v>
      </c>
      <c r="Q89" s="1">
        <v>1098</v>
      </c>
      <c r="R89" s="1"/>
      <c r="S89" s="1">
        <f t="shared" si="3"/>
        <v>86</v>
      </c>
    </row>
    <row r="90" spans="1:19" ht="22.2" x14ac:dyDescent="0.3">
      <c r="A90" s="1"/>
      <c r="B90" s="7">
        <f t="shared" si="4"/>
        <v>981.90070937234009</v>
      </c>
      <c r="C90" s="2">
        <f>'1400'!C90/((1+C$2)^C$1)</f>
        <v>83.374946664111434</v>
      </c>
      <c r="D90" s="2">
        <f>'1400'!D90/((1+D$2)^D$1)</f>
        <v>84.764529108513273</v>
      </c>
      <c r="E90" s="2">
        <f>'1400'!E90/((1+E$2)^E$1)</f>
        <v>86.177271260321817</v>
      </c>
      <c r="F90" s="2">
        <f>'1400'!F90/((1+F$2)^F$1)</f>
        <v>87.613559114660518</v>
      </c>
      <c r="G90" s="2">
        <f>'1400'!G90/((1+G$2)^G$1)</f>
        <v>89.073785099904867</v>
      </c>
      <c r="H90" s="2">
        <f>'1400'!H90/((1+H$2)^H$1)</f>
        <v>90.558348184903252</v>
      </c>
      <c r="I90" s="2">
        <f>'1400'!I90/((1+I$2)^I$1)</f>
        <v>460.33826993992488</v>
      </c>
      <c r="J90" s="2">
        <f>'1400'!J90/((1+J$2)^J$1)</f>
        <v>0</v>
      </c>
      <c r="K90" s="2">
        <f>'1400'!K90/((1+K$2)^K$1)</f>
        <v>0</v>
      </c>
      <c r="L90" s="2">
        <f>'1400'!L90/((1+L$2)^L$1)</f>
        <v>0</v>
      </c>
      <c r="M90" s="2">
        <f>'1400'!M90/((1+M$2)^M$1)</f>
        <v>0</v>
      </c>
      <c r="N90" s="2">
        <f>'1400'!N90/((1+N$2)^N$1)</f>
        <v>0</v>
      </c>
      <c r="O90" s="5">
        <v>100</v>
      </c>
      <c r="P90" s="1" t="s">
        <v>113</v>
      </c>
      <c r="Q90" s="1">
        <v>1103</v>
      </c>
      <c r="R90" s="1"/>
      <c r="S90" s="1">
        <f t="shared" si="3"/>
        <v>87</v>
      </c>
    </row>
    <row r="91" spans="1:19" ht="22.2" x14ac:dyDescent="0.3">
      <c r="A91" s="1"/>
      <c r="B91" s="7">
        <f t="shared" si="4"/>
        <v>176.80805207704623</v>
      </c>
      <c r="C91" s="2">
        <f>'1400'!C91/((1+C$2)^C$1)</f>
        <v>20.843736666027858</v>
      </c>
      <c r="D91" s="2">
        <f>'1400'!D91/((1+D$2)^D$1)</f>
        <v>21.191132277128318</v>
      </c>
      <c r="E91" s="2">
        <f>'1400'!E91/((1+E$2)^E$1)</f>
        <v>21.544317815080454</v>
      </c>
      <c r="F91" s="2">
        <f>'1400'!F91/((1+F$2)^F$1)</f>
        <v>21.903389778665129</v>
      </c>
      <c r="G91" s="2">
        <f>'1400'!G91/((1+G$2)^G$1)</f>
        <v>22.268446274976217</v>
      </c>
      <c r="H91" s="2">
        <f>'1400'!H91/((1+H$2)^H$1)</f>
        <v>22.639587046225813</v>
      </c>
      <c r="I91" s="2">
        <f>'1400'!I91/((1+I$2)^I$1)</f>
        <v>23.016913496996242</v>
      </c>
      <c r="J91" s="2">
        <f>'1400'!J91/((1+J$2)^J$1)</f>
        <v>23.400528721946181</v>
      </c>
      <c r="K91" s="2">
        <f>'1400'!K91/((1+K$2)^K$1)</f>
        <v>0</v>
      </c>
      <c r="L91" s="2">
        <f>'1400'!L91/((1+L$2)^L$1)</f>
        <v>0</v>
      </c>
      <c r="M91" s="2">
        <f>'1400'!M91/((1+M$2)^M$1)</f>
        <v>0</v>
      </c>
      <c r="N91" s="2">
        <f>'1400'!N91/((1+N$2)^N$1)</f>
        <v>0</v>
      </c>
      <c r="O91" s="5">
        <v>25</v>
      </c>
      <c r="P91" s="1" t="s">
        <v>109</v>
      </c>
      <c r="Q91" s="1">
        <v>1099</v>
      </c>
      <c r="R91" s="1"/>
      <c r="S91" s="1">
        <f t="shared" si="3"/>
        <v>88</v>
      </c>
    </row>
    <row r="92" spans="1:19" ht="22.2" x14ac:dyDescent="0.3">
      <c r="A92" s="1"/>
      <c r="B92" s="7">
        <f t="shared" si="4"/>
        <v>176.80805207704623</v>
      </c>
      <c r="C92" s="2">
        <f>'1400'!C92/((1+C$2)^C$1)</f>
        <v>20.843736666027858</v>
      </c>
      <c r="D92" s="2">
        <f>'1400'!D92/((1+D$2)^D$1)</f>
        <v>21.191132277128318</v>
      </c>
      <c r="E92" s="2">
        <f>'1400'!E92/((1+E$2)^E$1)</f>
        <v>21.544317815080454</v>
      </c>
      <c r="F92" s="2">
        <f>'1400'!F92/((1+F$2)^F$1)</f>
        <v>21.903389778665129</v>
      </c>
      <c r="G92" s="2">
        <f>'1400'!G92/((1+G$2)^G$1)</f>
        <v>22.268446274976217</v>
      </c>
      <c r="H92" s="2">
        <f>'1400'!H92/((1+H$2)^H$1)</f>
        <v>22.639587046225813</v>
      </c>
      <c r="I92" s="2">
        <f>'1400'!I92/((1+I$2)^I$1)</f>
        <v>23.016913496996242</v>
      </c>
      <c r="J92" s="2">
        <f>'1400'!J92/((1+J$2)^J$1)</f>
        <v>23.400528721946181</v>
      </c>
      <c r="K92" s="2">
        <f>'1400'!K92/((1+K$2)^K$1)</f>
        <v>0</v>
      </c>
      <c r="L92" s="2">
        <f>'1400'!L92/((1+L$2)^L$1)</f>
        <v>0</v>
      </c>
      <c r="M92" s="2">
        <f>'1400'!M92/((1+M$2)^M$1)</f>
        <v>0</v>
      </c>
      <c r="N92" s="2">
        <f>'1400'!N92/((1+N$2)^N$1)</f>
        <v>0</v>
      </c>
      <c r="O92" s="5">
        <v>25</v>
      </c>
      <c r="P92" s="1" t="s">
        <v>110</v>
      </c>
      <c r="Q92" s="1">
        <v>1100</v>
      </c>
      <c r="R92" s="1"/>
      <c r="S92" s="1">
        <f t="shared" si="3"/>
        <v>89</v>
      </c>
    </row>
    <row r="93" spans="1:19" ht="22.2" x14ac:dyDescent="0.3">
      <c r="A93" s="1"/>
      <c r="B93" s="7">
        <f t="shared" si="4"/>
        <v>176.80805207704623</v>
      </c>
      <c r="C93" s="2">
        <f>'1400'!C93/((1+C$2)^C$1)</f>
        <v>20.843736666027858</v>
      </c>
      <c r="D93" s="2">
        <f>'1400'!D93/((1+D$2)^D$1)</f>
        <v>21.191132277128318</v>
      </c>
      <c r="E93" s="2">
        <f>'1400'!E93/((1+E$2)^E$1)</f>
        <v>21.544317815080454</v>
      </c>
      <c r="F93" s="2">
        <f>'1400'!F93/((1+F$2)^F$1)</f>
        <v>21.903389778665129</v>
      </c>
      <c r="G93" s="2">
        <f>'1400'!G93/((1+G$2)^G$1)</f>
        <v>22.268446274976217</v>
      </c>
      <c r="H93" s="2">
        <f>'1400'!H93/((1+H$2)^H$1)</f>
        <v>22.639587046225813</v>
      </c>
      <c r="I93" s="2">
        <f>'1400'!I93/((1+I$2)^I$1)</f>
        <v>23.016913496996242</v>
      </c>
      <c r="J93" s="2">
        <f>'1400'!J93/((1+J$2)^J$1)</f>
        <v>23.400528721946181</v>
      </c>
      <c r="K93" s="2">
        <f>'1400'!K93/((1+K$2)^K$1)</f>
        <v>0</v>
      </c>
      <c r="L93" s="2">
        <f>'1400'!L93/((1+L$2)^L$1)</f>
        <v>0</v>
      </c>
      <c r="M93" s="2">
        <f>'1400'!M93/((1+M$2)^M$1)</f>
        <v>0</v>
      </c>
      <c r="N93" s="2">
        <f>'1400'!N93/((1+N$2)^N$1)</f>
        <v>0</v>
      </c>
      <c r="O93" s="5">
        <v>25</v>
      </c>
      <c r="P93" s="1" t="s">
        <v>111</v>
      </c>
      <c r="Q93" s="1">
        <v>1101</v>
      </c>
      <c r="R93" s="1"/>
      <c r="S93" s="1">
        <f t="shared" si="3"/>
        <v>90</v>
      </c>
    </row>
    <row r="94" spans="1:19" ht="22.2" x14ac:dyDescent="0.3">
      <c r="A94" s="1"/>
      <c r="B94" s="7">
        <f t="shared" si="4"/>
        <v>5483.417640110848</v>
      </c>
      <c r="C94" s="2">
        <f>'1400'!C94/((1+C$2)^C$1)</f>
        <v>416.87473332055714</v>
      </c>
      <c r="D94" s="2">
        <f>'1400'!D94/((1+D$2)^D$1)</f>
        <v>423.82264554256636</v>
      </c>
      <c r="E94" s="2">
        <f>'1400'!E94/((1+E$2)^E$1)</f>
        <v>430.88635630160911</v>
      </c>
      <c r="F94" s="2">
        <f>'1400'!F94/((1+F$2)^F$1)</f>
        <v>438.06779557330259</v>
      </c>
      <c r="G94" s="2">
        <f>'1400'!G94/((1+G$2)^G$1)</f>
        <v>445.36892549952432</v>
      </c>
      <c r="H94" s="2">
        <f>'1400'!H94/((1+H$2)^H$1)</f>
        <v>452.79174092451626</v>
      </c>
      <c r="I94" s="2">
        <f>'1400'!I94/((1+I$2)^I$1)</f>
        <v>460.33826993992488</v>
      </c>
      <c r="J94" s="2">
        <f>'1400'!J94/((1+J$2)^J$1)</f>
        <v>468.01057443892364</v>
      </c>
      <c r="K94" s="2">
        <f>'1400'!K94/((1+K$2)^K$1)</f>
        <v>475.81075067957238</v>
      </c>
      <c r="L94" s="2">
        <f>'1400'!L94/((1+L$2)^L$1)</f>
        <v>483.74092985756522</v>
      </c>
      <c r="M94" s="2">
        <f>'1400'!M94/((1+M$2)^M$1)</f>
        <v>737.70491803278696</v>
      </c>
      <c r="N94" s="2">
        <f>'1400'!N94/((1+N$2)^N$1)</f>
        <v>250</v>
      </c>
      <c r="O94" s="5">
        <v>500</v>
      </c>
      <c r="P94" s="1" t="s">
        <v>40</v>
      </c>
      <c r="Q94" s="1">
        <v>1020</v>
      </c>
      <c r="R94" s="1" t="s">
        <v>93</v>
      </c>
      <c r="S94" s="1">
        <f t="shared" si="3"/>
        <v>91</v>
      </c>
    </row>
    <row r="95" spans="1:19" ht="22.2" x14ac:dyDescent="0.3">
      <c r="A95" s="1"/>
      <c r="B95" s="7">
        <f t="shared" si="4"/>
        <v>7955.7788680286048</v>
      </c>
      <c r="C95" s="2">
        <f>'1400'!C95/((1+C$2)^C$1)</f>
        <v>500.2496799846686</v>
      </c>
      <c r="D95" s="2">
        <f>'1400'!D95/((1+D$2)^D$1)</f>
        <v>508.58717465107964</v>
      </c>
      <c r="E95" s="2">
        <f>'1400'!E95/((1+E$2)^E$1)</f>
        <v>517.06362756193096</v>
      </c>
      <c r="F95" s="2">
        <f>'1400'!F95/((1+F$2)^F$1)</f>
        <v>525.68135468796311</v>
      </c>
      <c r="G95" s="2">
        <f>'1400'!G95/((1+G$2)^G$1)</f>
        <v>534.44271059942912</v>
      </c>
      <c r="H95" s="2">
        <f>'1400'!H95/((1+H$2)^H$1)</f>
        <v>543.35008910941951</v>
      </c>
      <c r="I95" s="2">
        <f>'1400'!I95/((1+I$2)^I$1)</f>
        <v>552.40592392790984</v>
      </c>
      <c r="J95" s="2">
        <f>'1400'!J95/((1+J$2)^J$1)</f>
        <v>561.61268932670839</v>
      </c>
      <c r="K95" s="2">
        <f>'1400'!K95/((1+K$2)^K$1)</f>
        <v>761.2972010873159</v>
      </c>
      <c r="L95" s="2">
        <f>'1400'!L95/((1+L$2)^L$1)</f>
        <v>967.48185971513044</v>
      </c>
      <c r="M95" s="2">
        <f>'1400'!M95/((1+M$2)^M$1)</f>
        <v>983.60655737704928</v>
      </c>
      <c r="N95" s="2">
        <f>'1400'!N95/((1+N$2)^N$1)</f>
        <v>1000</v>
      </c>
      <c r="O95" s="5">
        <v>600</v>
      </c>
      <c r="P95" s="1" t="s">
        <v>27</v>
      </c>
      <c r="Q95" s="1">
        <v>1050</v>
      </c>
      <c r="R95" s="1" t="s">
        <v>93</v>
      </c>
      <c r="S95" s="1">
        <f t="shared" si="3"/>
        <v>92</v>
      </c>
    </row>
    <row r="96" spans="1:19" ht="22.2" x14ac:dyDescent="0.3">
      <c r="A96" s="1"/>
      <c r="B96" s="7">
        <f t="shared" si="4"/>
        <v>4519.5054263276634</v>
      </c>
      <c r="C96" s="2">
        <f>'1400'!C96/((1+C$2)^C$1)</f>
        <v>416.87473332055714</v>
      </c>
      <c r="D96" s="2">
        <f>'1400'!D96/((1+D$2)^D$1)</f>
        <v>423.82264554256636</v>
      </c>
      <c r="E96" s="2">
        <f>'1400'!E96/((1+E$2)^E$1)</f>
        <v>430.88635630160911</v>
      </c>
      <c r="F96" s="2">
        <f>'1400'!F96/((1+F$2)^F$1)</f>
        <v>438.06779557330259</v>
      </c>
      <c r="G96" s="2">
        <f>'1400'!G96/((1+G$2)^G$1)</f>
        <v>445.36892549952432</v>
      </c>
      <c r="H96" s="2">
        <f>'1400'!H96/((1+H$2)^H$1)</f>
        <v>452.79174092451626</v>
      </c>
      <c r="I96" s="2">
        <f>'1400'!I96/((1+I$2)^I$1)</f>
        <v>460.33826993992488</v>
      </c>
      <c r="J96" s="2">
        <f>'1400'!J96/((1+J$2)^J$1)</f>
        <v>0</v>
      </c>
      <c r="K96" s="2">
        <f>'1400'!K96/((1+K$2)^K$1)</f>
        <v>475.81075067957238</v>
      </c>
      <c r="L96" s="2">
        <f>'1400'!L96/((1+L$2)^L$1)</f>
        <v>483.74092985756522</v>
      </c>
      <c r="M96" s="2">
        <f>'1400'!M96/((1+M$2)^M$1)</f>
        <v>491.80327868852464</v>
      </c>
      <c r="N96" s="2">
        <f>'1400'!N96/((1+N$2)^N$1)</f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3"/>
        <v>93</v>
      </c>
    </row>
    <row r="97" spans="1:19" ht="22.2" x14ac:dyDescent="0.3">
      <c r="A97" s="1"/>
      <c r="B97" s="7">
        <f t="shared" si="4"/>
        <v>1097.5032001533175</v>
      </c>
      <c r="C97" s="2">
        <f>'1400'!C97/((1+C$2)^C$1)</f>
        <v>83.374946664111434</v>
      </c>
      <c r="D97" s="2">
        <f>'1400'!D97/((1+D$2)^D$1)</f>
        <v>84.764529108513273</v>
      </c>
      <c r="E97" s="2">
        <f>'1400'!E97/((1+E$2)^E$1)</f>
        <v>86.177271260321817</v>
      </c>
      <c r="F97" s="2">
        <f>'1400'!F97/((1+F$2)^F$1)</f>
        <v>87.613559114660518</v>
      </c>
      <c r="G97" s="2">
        <f>'1400'!G97/((1+G$2)^G$1)</f>
        <v>89.073785099904867</v>
      </c>
      <c r="H97" s="2">
        <f>'1400'!H97/((1+H$2)^H$1)</f>
        <v>90.558348184903252</v>
      </c>
      <c r="I97" s="2">
        <f>'1400'!I97/((1+I$2)^I$1)</f>
        <v>92.067653987984968</v>
      </c>
      <c r="J97" s="2">
        <f>'1400'!J97/((1+J$2)^J$1)</f>
        <v>93.602114887784722</v>
      </c>
      <c r="K97" s="2">
        <f>'1400'!K97/((1+K$2)^K$1)</f>
        <v>95.162150135914487</v>
      </c>
      <c r="L97" s="2">
        <f>'1400'!L97/((1+L$2)^L$1)</f>
        <v>96.748185971513038</v>
      </c>
      <c r="M97" s="2">
        <f>'1400'!M97/((1+M$2)^M$1)</f>
        <v>98.360655737704917</v>
      </c>
      <c r="N97" s="2">
        <f>'1400'!N97/((1+N$2)^N$1)</f>
        <v>100</v>
      </c>
      <c r="O97" s="5">
        <v>100</v>
      </c>
      <c r="P97" s="1" t="s">
        <v>61</v>
      </c>
      <c r="Q97" s="1">
        <v>1021</v>
      </c>
      <c r="R97" s="1" t="s">
        <v>93</v>
      </c>
      <c r="S97" s="1">
        <f t="shared" si="3"/>
        <v>94</v>
      </c>
    </row>
    <row r="98" spans="1:19" ht="22.2" x14ac:dyDescent="0.3">
      <c r="A98" s="1"/>
      <c r="B98" s="7">
        <f t="shared" si="4"/>
        <v>2195.006400306635</v>
      </c>
      <c r="C98" s="2">
        <f>'1400'!C98/((1+C$2)^C$1)</f>
        <v>166.74989332822287</v>
      </c>
      <c r="D98" s="2">
        <f>'1400'!D98/((1+D$2)^D$1)</f>
        <v>169.52905821702655</v>
      </c>
      <c r="E98" s="2">
        <f>'1400'!E98/((1+E$2)^E$1)</f>
        <v>172.35454252064363</v>
      </c>
      <c r="F98" s="2">
        <f>'1400'!F98/((1+F$2)^F$1)</f>
        <v>175.22711822932104</v>
      </c>
      <c r="G98" s="2">
        <f>'1400'!G98/((1+G$2)^G$1)</f>
        <v>178.14757019980973</v>
      </c>
      <c r="H98" s="2">
        <f>'1400'!H98/((1+H$2)^H$1)</f>
        <v>181.1166963698065</v>
      </c>
      <c r="I98" s="2">
        <f>'1400'!I98/((1+I$2)^I$1)</f>
        <v>184.13530797596994</v>
      </c>
      <c r="J98" s="2">
        <f>'1400'!J98/((1+J$2)^J$1)</f>
        <v>187.20422977556944</v>
      </c>
      <c r="K98" s="2">
        <f>'1400'!K98/((1+K$2)^K$1)</f>
        <v>190.32430027182897</v>
      </c>
      <c r="L98" s="2">
        <f>'1400'!L98/((1+L$2)^L$1)</f>
        <v>193.49637194302608</v>
      </c>
      <c r="M98" s="2">
        <f>'1400'!M98/((1+M$2)^M$1)</f>
        <v>196.72131147540983</v>
      </c>
      <c r="N98" s="2">
        <f>'1400'!N98/((1+N$2)^N$1)</f>
        <v>200</v>
      </c>
      <c r="O98" s="5">
        <v>200</v>
      </c>
      <c r="P98" s="1" t="s">
        <v>76</v>
      </c>
      <c r="Q98" s="1">
        <v>1026</v>
      </c>
      <c r="R98" s="1" t="s">
        <v>93</v>
      </c>
      <c r="S98" s="1">
        <f t="shared" si="3"/>
        <v>95</v>
      </c>
    </row>
    <row r="99" spans="1:19" ht="22.2" x14ac:dyDescent="0.3">
      <c r="A99" s="1"/>
      <c r="B99" s="7">
        <f t="shared" si="4"/>
        <v>1097.5032001533175</v>
      </c>
      <c r="C99" s="2">
        <f>'1400'!C99/((1+C$2)^C$1)</f>
        <v>83.374946664111434</v>
      </c>
      <c r="D99" s="2">
        <f>'1400'!D99/((1+D$2)^D$1)</f>
        <v>84.764529108513273</v>
      </c>
      <c r="E99" s="2">
        <f>'1400'!E99/((1+E$2)^E$1)</f>
        <v>86.177271260321817</v>
      </c>
      <c r="F99" s="2">
        <f>'1400'!F99/((1+F$2)^F$1)</f>
        <v>87.613559114660518</v>
      </c>
      <c r="G99" s="2">
        <f>'1400'!G99/((1+G$2)^G$1)</f>
        <v>89.073785099904867</v>
      </c>
      <c r="H99" s="2">
        <f>'1400'!H99/((1+H$2)^H$1)</f>
        <v>90.558348184903252</v>
      </c>
      <c r="I99" s="2">
        <f>'1400'!I99/((1+I$2)^I$1)</f>
        <v>92.067653987984968</v>
      </c>
      <c r="J99" s="2">
        <f>'1400'!J99/((1+J$2)^J$1)</f>
        <v>93.602114887784722</v>
      </c>
      <c r="K99" s="2">
        <f>'1400'!K99/((1+K$2)^K$1)</f>
        <v>95.162150135914487</v>
      </c>
      <c r="L99" s="2">
        <f>'1400'!L99/((1+L$2)^L$1)</f>
        <v>96.748185971513038</v>
      </c>
      <c r="M99" s="2">
        <f>'1400'!M99/((1+M$2)^M$1)</f>
        <v>98.360655737704917</v>
      </c>
      <c r="N99" s="2">
        <f>'1400'!N99/((1+N$2)^N$1)</f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3"/>
        <v>96</v>
      </c>
    </row>
    <row r="100" spans="1:19" ht="22.2" x14ac:dyDescent="0.3">
      <c r="A100" s="1"/>
      <c r="B100" s="7">
        <f t="shared" si="4"/>
        <v>1313.0052457770732</v>
      </c>
      <c r="C100" s="2">
        <f>'1400'!C100/((1+C$2)^C$1)</f>
        <v>125.06241999616715</v>
      </c>
      <c r="D100" s="2">
        <f>'1400'!D100/((1+D$2)^D$1)</f>
        <v>127.14679366276991</v>
      </c>
      <c r="E100" s="2">
        <f>'1400'!E100/((1+E$2)^E$1)</f>
        <v>129.26590689048274</v>
      </c>
      <c r="F100" s="2">
        <f>'1400'!F100/((1+F$2)^F$1)</f>
        <v>131.42033867199078</v>
      </c>
      <c r="G100" s="2">
        <f>'1400'!G100/((1+G$2)^G$1)</f>
        <v>133.61067764985728</v>
      </c>
      <c r="H100" s="2">
        <f>'1400'!H100/((1+H$2)^H$1)</f>
        <v>90.558348184903252</v>
      </c>
      <c r="I100" s="2">
        <f>'1400'!I100/((1+I$2)^I$1)</f>
        <v>92.067653987984968</v>
      </c>
      <c r="J100" s="2">
        <f>'1400'!J100/((1+J$2)^J$1)</f>
        <v>93.602114887784722</v>
      </c>
      <c r="K100" s="2">
        <f>'1400'!K100/((1+K$2)^K$1)</f>
        <v>95.162150135914487</v>
      </c>
      <c r="L100" s="2">
        <f>'1400'!L100/((1+L$2)^L$1)</f>
        <v>96.748185971513038</v>
      </c>
      <c r="M100" s="2">
        <f>'1400'!M100/((1+M$2)^M$1)</f>
        <v>98.360655737704917</v>
      </c>
      <c r="N100" s="2">
        <f>'1400'!N100/((1+N$2)^N$1)</f>
        <v>100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3"/>
        <v>97</v>
      </c>
    </row>
    <row r="101" spans="1:19" ht="22.2" x14ac:dyDescent="0.3">
      <c r="A101" s="1"/>
      <c r="B101" s="7">
        <f t="shared" si="4"/>
        <v>2195.006400306635</v>
      </c>
      <c r="C101" s="2">
        <f>'1400'!C101/((1+C$2)^C$1)</f>
        <v>166.74989332822287</v>
      </c>
      <c r="D101" s="2">
        <f>'1400'!D101/((1+D$2)^D$1)</f>
        <v>169.52905821702655</v>
      </c>
      <c r="E101" s="2">
        <f>'1400'!E101/((1+E$2)^E$1)</f>
        <v>172.35454252064363</v>
      </c>
      <c r="F101" s="2">
        <f>'1400'!F101/((1+F$2)^F$1)</f>
        <v>175.22711822932104</v>
      </c>
      <c r="G101" s="2">
        <f>'1400'!G101/((1+G$2)^G$1)</f>
        <v>178.14757019980973</v>
      </c>
      <c r="H101" s="2">
        <f>'1400'!H101/((1+H$2)^H$1)</f>
        <v>181.1166963698065</v>
      </c>
      <c r="I101" s="2">
        <f>'1400'!I101/((1+I$2)^I$1)</f>
        <v>184.13530797596994</v>
      </c>
      <c r="J101" s="2">
        <f>'1400'!J101/((1+J$2)^J$1)</f>
        <v>187.20422977556944</v>
      </c>
      <c r="K101" s="2">
        <f>'1400'!K101/((1+K$2)^K$1)</f>
        <v>190.32430027182897</v>
      </c>
      <c r="L101" s="2">
        <f>'1400'!L101/((1+L$2)^L$1)</f>
        <v>193.49637194302608</v>
      </c>
      <c r="M101" s="2">
        <f>'1400'!M101/((1+M$2)^M$1)</f>
        <v>196.72131147540983</v>
      </c>
      <c r="N101" s="2">
        <f>'1400'!N101/((1+N$2)^N$1)</f>
        <v>200</v>
      </c>
      <c r="O101" s="5">
        <v>200</v>
      </c>
      <c r="P101" s="1" t="s">
        <v>62</v>
      </c>
      <c r="Q101" s="1">
        <v>1006</v>
      </c>
      <c r="R101" s="1" t="s">
        <v>93</v>
      </c>
      <c r="S101" s="1">
        <f t="shared" si="3"/>
        <v>98</v>
      </c>
    </row>
    <row r="102" spans="1:19" ht="22.2" x14ac:dyDescent="0.3">
      <c r="A102" s="1"/>
      <c r="B102" s="7">
        <f t="shared" si="4"/>
        <v>1995.006400306635</v>
      </c>
      <c r="C102" s="2">
        <f>'1400'!C102/((1+C$2)^C$1)</f>
        <v>166.74989332822287</v>
      </c>
      <c r="D102" s="2">
        <f>'1400'!D102/((1+D$2)^D$1)</f>
        <v>169.52905821702655</v>
      </c>
      <c r="E102" s="2">
        <f>'1400'!E102/((1+E$2)^E$1)</f>
        <v>172.35454252064363</v>
      </c>
      <c r="F102" s="2">
        <f>'1400'!F102/((1+F$2)^F$1)</f>
        <v>175.22711822932104</v>
      </c>
      <c r="G102" s="2">
        <f>'1400'!G102/((1+G$2)^G$1)</f>
        <v>178.14757019980973</v>
      </c>
      <c r="H102" s="2">
        <f>'1400'!H102/((1+H$2)^H$1)</f>
        <v>181.1166963698065</v>
      </c>
      <c r="I102" s="2">
        <f>'1400'!I102/((1+I$2)^I$1)</f>
        <v>184.13530797596994</v>
      </c>
      <c r="J102" s="2">
        <f>'1400'!J102/((1+J$2)^J$1)</f>
        <v>187.20422977556944</v>
      </c>
      <c r="K102" s="2">
        <f>'1400'!K102/((1+K$2)^K$1)</f>
        <v>190.32430027182897</v>
      </c>
      <c r="L102" s="2">
        <f>'1400'!L102/((1+L$2)^L$1)</f>
        <v>193.49637194302608</v>
      </c>
      <c r="M102" s="2">
        <f>'1400'!M102/((1+M$2)^M$1)</f>
        <v>196.72131147540983</v>
      </c>
      <c r="N102" s="2">
        <f>'1400'!N102/((1+N$2)^N$1)</f>
        <v>0</v>
      </c>
      <c r="O102" s="5">
        <v>200</v>
      </c>
      <c r="P102" s="1" t="s">
        <v>98</v>
      </c>
      <c r="Q102" s="1">
        <v>1090</v>
      </c>
      <c r="R102" s="1"/>
      <c r="S102" s="1">
        <f t="shared" si="3"/>
        <v>99</v>
      </c>
    </row>
    <row r="103" spans="1:19" ht="22.2" x14ac:dyDescent="0.3">
      <c r="A103" s="1"/>
      <c r="B103" s="7">
        <f t="shared" si="4"/>
        <v>1095.8638558910225</v>
      </c>
      <c r="C103" s="2">
        <f>'1400'!C103/((1+C$2)^C$1)</f>
        <v>83.374946664111434</v>
      </c>
      <c r="D103" s="2">
        <f>'1400'!D103/((1+D$2)^D$1)</f>
        <v>84.764529108513273</v>
      </c>
      <c r="E103" s="2">
        <f>'1400'!E103/((1+E$2)^E$1)</f>
        <v>86.177271260321817</v>
      </c>
      <c r="F103" s="2">
        <f>'1400'!F103/((1+F$2)^F$1)</f>
        <v>87.613559114660518</v>
      </c>
      <c r="G103" s="2">
        <f>'1400'!G103/((1+G$2)^G$1)</f>
        <v>89.073785099904867</v>
      </c>
      <c r="H103" s="2">
        <f>'1400'!H103/((1+H$2)^H$1)</f>
        <v>90.558348184903252</v>
      </c>
      <c r="I103" s="2">
        <f>'1400'!I103/((1+I$2)^I$1)</f>
        <v>92.067653987984968</v>
      </c>
      <c r="J103" s="2">
        <f>'1400'!J103/((1+J$2)^J$1)</f>
        <v>93.602114887784722</v>
      </c>
      <c r="K103" s="2">
        <f>'1400'!K103/((1+K$2)^K$1)</f>
        <v>95.162150135914487</v>
      </c>
      <c r="L103" s="2">
        <f>'1400'!L103/((1+L$2)^L$1)</f>
        <v>96.748185971513038</v>
      </c>
      <c r="M103" s="2">
        <f>'1400'!M103/((1+M$2)^M$1)</f>
        <v>196.72131147540983</v>
      </c>
      <c r="N103" s="2">
        <f>'1400'!N103/((1+N$2)^N$1)</f>
        <v>0</v>
      </c>
      <c r="O103" s="5">
        <v>100</v>
      </c>
      <c r="P103" s="1" t="s">
        <v>100</v>
      </c>
      <c r="Q103" s="1">
        <v>1092</v>
      </c>
      <c r="R103" s="1"/>
      <c r="S103" s="1">
        <f t="shared" si="3"/>
        <v>100</v>
      </c>
    </row>
    <row r="104" spans="1:19" ht="22.2" x14ac:dyDescent="0.3">
      <c r="A104" s="1"/>
      <c r="B104" s="7">
        <f t="shared" si="4"/>
        <v>1995.006400306635</v>
      </c>
      <c r="C104" s="2">
        <f>'1400'!C104/((1+C$2)^C$1)</f>
        <v>166.74989332822287</v>
      </c>
      <c r="D104" s="2">
        <f>'1400'!D104/((1+D$2)^D$1)</f>
        <v>169.52905821702655</v>
      </c>
      <c r="E104" s="2">
        <f>'1400'!E104/((1+E$2)^E$1)</f>
        <v>172.35454252064363</v>
      </c>
      <c r="F104" s="2">
        <f>'1400'!F104/((1+F$2)^F$1)</f>
        <v>175.22711822932104</v>
      </c>
      <c r="G104" s="2">
        <f>'1400'!G104/((1+G$2)^G$1)</f>
        <v>178.14757019980973</v>
      </c>
      <c r="H104" s="2">
        <f>'1400'!H104/((1+H$2)^H$1)</f>
        <v>181.1166963698065</v>
      </c>
      <c r="I104" s="2">
        <f>'1400'!I104/((1+I$2)^I$1)</f>
        <v>184.13530797596994</v>
      </c>
      <c r="J104" s="2">
        <f>'1400'!J104/((1+J$2)^J$1)</f>
        <v>187.20422977556944</v>
      </c>
      <c r="K104" s="2">
        <f>'1400'!K104/((1+K$2)^K$1)</f>
        <v>190.32430027182897</v>
      </c>
      <c r="L104" s="2">
        <f>'1400'!L104/((1+L$2)^L$1)</f>
        <v>193.49637194302608</v>
      </c>
      <c r="M104" s="2">
        <f>'1400'!M104/((1+M$2)^M$1)</f>
        <v>196.72131147540983</v>
      </c>
      <c r="N104" s="2">
        <f>'1400'!N104/((1+N$2)^N$1)</f>
        <v>0</v>
      </c>
      <c r="O104" s="5">
        <v>200</v>
      </c>
      <c r="P104" s="1" t="s">
        <v>101</v>
      </c>
      <c r="Q104" s="1">
        <v>1093</v>
      </c>
      <c r="R104" s="1"/>
      <c r="S104" s="1">
        <f t="shared" si="3"/>
        <v>101</v>
      </c>
    </row>
    <row r="105" spans="1:19" ht="22.2" x14ac:dyDescent="0.3">
      <c r="A105" s="1"/>
      <c r="B105" s="7">
        <f t="shared" si="4"/>
        <v>2992.5096004599523</v>
      </c>
      <c r="C105" s="2">
        <f>'1400'!C105/((1+C$2)^C$1)</f>
        <v>250.1248399923343</v>
      </c>
      <c r="D105" s="2">
        <f>'1400'!D105/((1+D$2)^D$1)</f>
        <v>254.29358732553982</v>
      </c>
      <c r="E105" s="2">
        <f>'1400'!E105/((1+E$2)^E$1)</f>
        <v>258.53181378096548</v>
      </c>
      <c r="F105" s="2">
        <f>'1400'!F105/((1+F$2)^F$1)</f>
        <v>262.84067734398155</v>
      </c>
      <c r="G105" s="2">
        <f>'1400'!G105/((1+G$2)^G$1)</f>
        <v>267.22135529971456</v>
      </c>
      <c r="H105" s="2">
        <f>'1400'!H105/((1+H$2)^H$1)</f>
        <v>271.67504455470976</v>
      </c>
      <c r="I105" s="2">
        <f>'1400'!I105/((1+I$2)^I$1)</f>
        <v>276.20296196395492</v>
      </c>
      <c r="J105" s="2">
        <f>'1400'!J105/((1+J$2)^J$1)</f>
        <v>280.8063446633542</v>
      </c>
      <c r="K105" s="2">
        <f>'1400'!K105/((1+K$2)^K$1)</f>
        <v>285.48645040774346</v>
      </c>
      <c r="L105" s="2">
        <f>'1400'!L105/((1+L$2)^L$1)</f>
        <v>290.24455791453914</v>
      </c>
      <c r="M105" s="2">
        <f>'1400'!M105/((1+M$2)^M$1)</f>
        <v>295.08196721311475</v>
      </c>
      <c r="N105" s="2">
        <f>'1400'!N105/((1+N$2)^N$1)</f>
        <v>0</v>
      </c>
      <c r="O105" s="5">
        <v>300</v>
      </c>
      <c r="P105" s="1" t="s">
        <v>99</v>
      </c>
      <c r="Q105" s="1">
        <v>1091</v>
      </c>
      <c r="R105" s="1"/>
      <c r="S105" s="1">
        <f t="shared" si="3"/>
        <v>102</v>
      </c>
    </row>
    <row r="106" spans="1:19" ht="22.2" x14ac:dyDescent="0.3">
      <c r="A106" s="1"/>
      <c r="B106" s="7">
        <f t="shared" si="4"/>
        <v>0</v>
      </c>
      <c r="C106" s="1"/>
      <c r="D106" s="1"/>
      <c r="E106" s="1"/>
      <c r="F106" s="1"/>
      <c r="G106" s="1"/>
      <c r="H106" s="1"/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0</v>
      </c>
      <c r="P106" s="1"/>
      <c r="Q106" s="1">
        <v>1072</v>
      </c>
      <c r="R106" s="1"/>
      <c r="S106" s="1">
        <f t="shared" si="3"/>
        <v>103</v>
      </c>
    </row>
    <row r="107" spans="1:19" ht="22.2" x14ac:dyDescent="0.3">
      <c r="A107" s="1"/>
      <c r="B107" s="7">
        <f t="shared" si="4"/>
        <v>0</v>
      </c>
      <c r="C107" s="1"/>
      <c r="D107" s="1"/>
      <c r="E107" s="1"/>
      <c r="F107" s="1"/>
      <c r="G107" s="1"/>
      <c r="H107" s="1"/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5">
        <v>0</v>
      </c>
      <c r="P107" s="1"/>
      <c r="Q107" s="1">
        <v>1073</v>
      </c>
      <c r="R107" s="1"/>
      <c r="S107" s="1">
        <f t="shared" si="3"/>
        <v>104</v>
      </c>
    </row>
    <row r="108" spans="1:19" ht="22.2" x14ac:dyDescent="0.3">
      <c r="A108" s="1"/>
      <c r="B108" s="7">
        <f t="shared" si="4"/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4"/>
        <v>0</v>
      </c>
      <c r="C109" s="1"/>
      <c r="D109" s="1"/>
      <c r="E109" s="1"/>
      <c r="F109" s="1"/>
      <c r="G109" s="1"/>
      <c r="H109" s="1"/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4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4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4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4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4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120394.25469305954</v>
      </c>
      <c r="C115" s="2">
        <f t="shared" ref="C115:N115" si="5">SUM(C4:C107)</f>
        <v>9171.2441330522506</v>
      </c>
      <c r="D115" s="2">
        <f t="shared" si="5"/>
        <v>9069.8046146109318</v>
      </c>
      <c r="E115" s="2">
        <f t="shared" si="5"/>
        <v>9134.7907535941049</v>
      </c>
      <c r="F115" s="2">
        <f t="shared" si="5"/>
        <v>9637.4915026126546</v>
      </c>
      <c r="G115" s="2">
        <f t="shared" si="5"/>
        <v>9530.8950056898211</v>
      </c>
      <c r="H115" s="2">
        <f t="shared" si="5"/>
        <v>9825.5807780620053</v>
      </c>
      <c r="I115" s="2">
        <f t="shared" si="5"/>
        <v>10587.780208618271</v>
      </c>
      <c r="J115" s="2">
        <f t="shared" si="5"/>
        <v>9734.6199483296023</v>
      </c>
      <c r="K115" s="2">
        <f t="shared" si="5"/>
        <v>10467.836514950588</v>
      </c>
      <c r="L115" s="2">
        <f t="shared" si="5"/>
        <v>11029.293200752478</v>
      </c>
      <c r="M115" s="2">
        <f t="shared" si="5"/>
        <v>14704.918032786883</v>
      </c>
      <c r="N115" s="2">
        <f t="shared" si="5"/>
        <v>7500</v>
      </c>
      <c r="O115" s="8">
        <f>SUM(O4:O110)</f>
        <v>10675</v>
      </c>
      <c r="P115" s="1"/>
      <c r="R115" s="1"/>
    </row>
    <row r="116" spans="1:1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workbookViewId="0">
      <selection activeCell="K116" sqref="K116"/>
    </sheetView>
  </sheetViews>
  <sheetFormatPr defaultRowHeight="14.4" x14ac:dyDescent="0.3"/>
  <cols>
    <col min="2" max="2" width="20.5546875" bestFit="1" customWidth="1"/>
    <col min="3" max="4" width="10" bestFit="1" customWidth="1"/>
    <col min="10" max="12" width="10" bestFit="1" customWidth="1"/>
    <col min="13" max="13" width="10.33203125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67" si="0">SUM(C4:N4)</f>
        <v>35379735.415523984</v>
      </c>
      <c r="C4" s="2">
        <f>('1400'!C4/'1400'!C$115)*مجموع!$C$17</f>
        <v>3094491.7359474986</v>
      </c>
      <c r="D4" s="2">
        <f>('1400'!D4/'1400'!D$115)*مجموع!$C$16</f>
        <v>3151773.6968139214</v>
      </c>
      <c r="E4" s="2">
        <f>('1400'!E4/'1400'!E$115)*مجموع!$C$15</f>
        <v>2553971.8983101887</v>
      </c>
      <c r="F4" s="2">
        <f>('1400'!F4/'1400'!F$115)*مجموع!$C$14</f>
        <v>2515992.4908305458</v>
      </c>
      <c r="G4" s="2">
        <f>('1400'!G4/'1400'!G$115)*مجموع!$C$13</f>
        <v>2510807.5059499065</v>
      </c>
      <c r="H4" s="2">
        <f>('1400'!H4/'1400'!H$115)*مجموع!$C$12</f>
        <v>2729259.0154683874</v>
      </c>
      <c r="I4" s="2">
        <f>('1400'!I4/'1400'!I$115)*مجموع!$C$11</f>
        <v>2493272.5579617387</v>
      </c>
      <c r="J4" s="2">
        <f>('1400'!J4/'1400'!J$115)*مجموع!$C$10</f>
        <v>2941455.5870723077</v>
      </c>
      <c r="K4" s="2">
        <f>('1400'!K4/'1400'!K$115)*مجموع!$C$9</f>
        <v>3709576.621573091</v>
      </c>
      <c r="L4" s="2">
        <f>('1400'!L4/'1400'!L$115)*مجموع!$C$8</f>
        <v>3349784.9844526313</v>
      </c>
      <c r="M4" s="2">
        <f>('1400'!M4/'1400'!M$115)*مجموع!$C$7</f>
        <v>3251840.9351309701</v>
      </c>
      <c r="N4" s="2">
        <f>('1400'!N4/'1400'!N$115)*مجموع!$C$6</f>
        <v>3077508.3860127996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21817396.891030513</v>
      </c>
      <c r="C5" s="2">
        <f>('1400'!C5/'1400'!C$115)*مجموع!$C$17</f>
        <v>515748.62265791645</v>
      </c>
      <c r="D5" s="2">
        <f>('1400'!D5/'1400'!D$115)*مجموع!$C$16</f>
        <v>525295.61613565357</v>
      </c>
      <c r="E5" s="2">
        <f>('1400'!E5/'1400'!E$115)*مجموع!$C$15</f>
        <v>425661.98305169807</v>
      </c>
      <c r="F5" s="2">
        <f>('1400'!F5/'1400'!F$115)*مجموع!$C$14</f>
        <v>419332.08180509094</v>
      </c>
      <c r="G5" s="2">
        <f>('1400'!G5/'1400'!G$115)*مجموع!$C$13</f>
        <v>1255403.7529749533</v>
      </c>
      <c r="H5" s="2">
        <f>('1400'!H5/'1400'!H$115)*مجموع!$C$12</f>
        <v>2274382.5128903226</v>
      </c>
      <c r="I5" s="2">
        <f>('1400'!I5/'1400'!I$115)*مجموع!$C$11</f>
        <v>2077727.1316347825</v>
      </c>
      <c r="J5" s="2">
        <f>('1400'!J5/'1400'!J$115)*مجموع!$C$10</f>
        <v>1960970.3913815385</v>
      </c>
      <c r="K5" s="2">
        <f>('1400'!K5/'1400'!K$115)*مجموع!$C$9</f>
        <v>3709576.621573091</v>
      </c>
      <c r="L5" s="2">
        <f>('1400'!L5/'1400'!L$115)*مجموع!$C$8</f>
        <v>3349784.9844526313</v>
      </c>
      <c r="M5" s="2">
        <f>('1400'!M5/'1400'!M$115)*مجموع!$C$7</f>
        <v>3251840.9351309701</v>
      </c>
      <c r="N5" s="2">
        <f>('1400'!N5/'1400'!N$115)*مجموع!$C$6</f>
        <v>2051672.2573418666</v>
      </c>
      <c r="O5" s="5">
        <v>50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8128074.3904489139</v>
      </c>
      <c r="C6" s="2">
        <f>('1400'!C6/'1400'!C$115)*مجموع!$C$17</f>
        <v>515748.62265791645</v>
      </c>
      <c r="D6" s="2">
        <f>('1400'!D6/'1400'!D$115)*مجموع!$C$16</f>
        <v>525295.61613565357</v>
      </c>
      <c r="E6" s="2">
        <f>('1400'!E6/'1400'!E$115)*مجموع!$C$15</f>
        <v>425661.98305169807</v>
      </c>
      <c r="F6" s="2">
        <f>('1400'!F6/'1400'!F$115)*مجموع!$C$14</f>
        <v>419332.08180509094</v>
      </c>
      <c r="G6" s="2">
        <f>('1400'!G6/'1400'!G$115)*مجموع!$C$13</f>
        <v>418467.91765831772</v>
      </c>
      <c r="H6" s="2">
        <f>('1400'!H6/'1400'!H$115)*مجموع!$C$12</f>
        <v>454876.50257806451</v>
      </c>
      <c r="I6" s="2">
        <f>('1400'!I6/'1400'!I$115)*مجموع!$C$11</f>
        <v>415545.42632695648</v>
      </c>
      <c r="J6" s="2">
        <f>('1400'!J6/'1400'!J$115)*مجموع!$C$10</f>
        <v>490242.59784538462</v>
      </c>
      <c r="K6" s="2">
        <f>('1400'!K6/'1400'!K$115)*مجموع!$C$9</f>
        <v>1236525.5405243638</v>
      </c>
      <c r="L6" s="2">
        <f>('1400'!L6/'1400'!L$115)*مجموع!$C$8</f>
        <v>1116594.9948175438</v>
      </c>
      <c r="M6" s="2">
        <f>('1400'!M6/'1400'!M$115)*مجموع!$C$7</f>
        <v>1083946.97837699</v>
      </c>
      <c r="N6" s="2">
        <f>('1400'!N6/'1400'!N$115)*مجموع!$C$6</f>
        <v>1025836.1286709333</v>
      </c>
      <c r="O6" s="5">
        <v>50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8128074.3904489139</v>
      </c>
      <c r="C7" s="2">
        <f>('1400'!C7/'1400'!C$115)*مجموع!$C$17</f>
        <v>515748.62265791645</v>
      </c>
      <c r="D7" s="2">
        <f>('1400'!D7/'1400'!D$115)*مجموع!$C$16</f>
        <v>525295.61613565357</v>
      </c>
      <c r="E7" s="2">
        <f>('1400'!E7/'1400'!E$115)*مجموع!$C$15</f>
        <v>425661.98305169807</v>
      </c>
      <c r="F7" s="2">
        <f>('1400'!F7/'1400'!F$115)*مجموع!$C$14</f>
        <v>419332.08180509094</v>
      </c>
      <c r="G7" s="2">
        <f>('1400'!G7/'1400'!G$115)*مجموع!$C$13</f>
        <v>418467.91765831772</v>
      </c>
      <c r="H7" s="2">
        <f>('1400'!H7/'1400'!H$115)*مجموع!$C$12</f>
        <v>454876.50257806451</v>
      </c>
      <c r="I7" s="2">
        <f>('1400'!I7/'1400'!I$115)*مجموع!$C$11</f>
        <v>415545.42632695648</v>
      </c>
      <c r="J7" s="2">
        <f>('1400'!J7/'1400'!J$115)*مجموع!$C$10</f>
        <v>490242.59784538462</v>
      </c>
      <c r="K7" s="2">
        <f>('1400'!K7/'1400'!K$115)*مجموع!$C$9</f>
        <v>1236525.5405243638</v>
      </c>
      <c r="L7" s="2">
        <f>('1400'!L7/'1400'!L$115)*مجموع!$C$8</f>
        <v>1116594.9948175438</v>
      </c>
      <c r="M7" s="2">
        <f>('1400'!M7/'1400'!M$115)*مجموع!$C$7</f>
        <v>1083946.97837699</v>
      </c>
      <c r="N7" s="2">
        <f>('1400'!N7/'1400'!N$115)*مجموع!$C$6</f>
        <v>1025836.1286709333</v>
      </c>
      <c r="O7" s="5">
        <v>50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33566652.418489113</v>
      </c>
      <c r="C8" s="2">
        <f>('1400'!C8/'1400'!C$115)*مجموع!$C$17</f>
        <v>1031497.2453158329</v>
      </c>
      <c r="D8" s="2">
        <f>('1400'!D8/'1400'!D$115)*مجموع!$C$16</f>
        <v>1050591.2322713071</v>
      </c>
      <c r="E8" s="2">
        <f>('1400'!E8/'1400'!E$115)*مجموع!$C$15</f>
        <v>851323.96610339615</v>
      </c>
      <c r="F8" s="2">
        <f>('1400'!F8/'1400'!F$115)*مجموع!$C$14</f>
        <v>838664.16361018189</v>
      </c>
      <c r="G8" s="2">
        <f>('1400'!G8/'1400'!G$115)*مجموع!$C$13</f>
        <v>836935.83531663544</v>
      </c>
      <c r="H8" s="2">
        <f>('1400'!H8/'1400'!H$115)*مجموع!$C$12</f>
        <v>909753.00515612902</v>
      </c>
      <c r="I8" s="2">
        <f>('1400'!I8/'1400'!I$115)*مجموع!$C$11</f>
        <v>831090.85265391297</v>
      </c>
      <c r="J8" s="2">
        <f>('1400'!J8/'1400'!J$115)*مجموع!$C$10</f>
        <v>980485.19569076924</v>
      </c>
      <c r="K8" s="2">
        <f>('1400'!K8/'1400'!K$115)*مجموع!$C$9</f>
        <v>2473051.0810487275</v>
      </c>
      <c r="L8" s="2">
        <f>('1400'!L8/'1400'!L$115)*مجموع!$C$8</f>
        <v>1116594.9948175438</v>
      </c>
      <c r="M8" s="2">
        <f>('1400'!M8/'1400'!M$115)*مجموع!$C$7</f>
        <v>20594992.589162808</v>
      </c>
      <c r="N8" s="2">
        <f>('1400'!N8/'1400'!N$115)*مجموع!$C$6</f>
        <v>2051672.2573418666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23586490.277015992</v>
      </c>
      <c r="C9" s="2">
        <f>('1400'!C9/'1400'!C$115)*مجموع!$C$17</f>
        <v>2062994.4906316658</v>
      </c>
      <c r="D9" s="2">
        <f>('1400'!D9/'1400'!D$115)*مجموع!$C$16</f>
        <v>2101182.4645426143</v>
      </c>
      <c r="E9" s="2">
        <f>('1400'!E9/'1400'!E$115)*مجموع!$C$15</f>
        <v>1702647.9322067923</v>
      </c>
      <c r="F9" s="2">
        <f>('1400'!F9/'1400'!F$115)*مجموع!$C$14</f>
        <v>1677328.3272203638</v>
      </c>
      <c r="G9" s="2">
        <f>('1400'!G9/'1400'!G$115)*مجموع!$C$13</f>
        <v>1673871.6706332709</v>
      </c>
      <c r="H9" s="2">
        <f>('1400'!H9/'1400'!H$115)*مجموع!$C$12</f>
        <v>1819506.010312258</v>
      </c>
      <c r="I9" s="2">
        <f>('1400'!I9/'1400'!I$115)*مجموع!$C$11</f>
        <v>1662181.7053078259</v>
      </c>
      <c r="J9" s="2">
        <f>('1400'!J9/'1400'!J$115)*مجموع!$C$10</f>
        <v>1960970.3913815385</v>
      </c>
      <c r="K9" s="2">
        <f>('1400'!K9/'1400'!K$115)*مجموع!$C$9</f>
        <v>2473051.0810487275</v>
      </c>
      <c r="L9" s="2">
        <f>('1400'!L9/'1400'!L$115)*مجموع!$C$8</f>
        <v>2233189.9896350875</v>
      </c>
      <c r="M9" s="2">
        <f>('1400'!M9/'1400'!M$115)*مجموع!$C$7</f>
        <v>2167893.9567539799</v>
      </c>
      <c r="N9" s="2">
        <f>('1400'!N9/'1400'!N$115)*مجموع!$C$6</f>
        <v>2051672.2573418666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21548767.943900909</v>
      </c>
      <c r="C10" s="2">
        <f>('1400'!C10/'1400'!C$115)*مجموع!$C$17</f>
        <v>1031497.2453158329</v>
      </c>
      <c r="D10" s="2">
        <f>('1400'!D10/'1400'!D$115)*مجموع!$C$16</f>
        <v>1050591.2322713071</v>
      </c>
      <c r="E10" s="2">
        <f>('1400'!E10/'1400'!E$115)*مجموع!$C$15</f>
        <v>851323.96610339615</v>
      </c>
      <c r="F10" s="2">
        <f>('1400'!F10/'1400'!F$115)*مجموع!$C$14</f>
        <v>838664.16361018189</v>
      </c>
      <c r="G10" s="2">
        <f>('1400'!G10/'1400'!G$115)*مجموع!$C$13</f>
        <v>836935.83531663544</v>
      </c>
      <c r="H10" s="2">
        <f>('1400'!H10/'1400'!H$115)*مجموع!$C$12</f>
        <v>909753.00515612902</v>
      </c>
      <c r="I10" s="2">
        <f>('1400'!I10/'1400'!I$115)*مجموع!$C$11</f>
        <v>831090.85265391297</v>
      </c>
      <c r="J10" s="2">
        <f>('1400'!J10/'1400'!J$115)*مجموع!$C$10</f>
        <v>980485.19569076924</v>
      </c>
      <c r="K10" s="2">
        <f>('1400'!K10/'1400'!K$115)*مجموع!$C$9</f>
        <v>1236525.5405243638</v>
      </c>
      <c r="L10" s="2">
        <f>('1400'!L10/'1400'!L$115)*مجموع!$C$8</f>
        <v>1116594.9948175438</v>
      </c>
      <c r="M10" s="2">
        <f>('1400'!M10/'1400'!M$115)*مجموع!$C$7</f>
        <v>10839469.7837699</v>
      </c>
      <c r="N10" s="2">
        <f>('1400'!N10/'1400'!N$115)*مجموع!$C$6</f>
        <v>1025836.1286709333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5896622.5692539979</v>
      </c>
      <c r="C11" s="2">
        <f>('1400'!C11/'1400'!C$115)*مجموع!$C$17</f>
        <v>515748.62265791645</v>
      </c>
      <c r="D11" s="2">
        <f>('1400'!D11/'1400'!D$115)*مجموع!$C$16</f>
        <v>525295.61613565357</v>
      </c>
      <c r="E11" s="2">
        <f>('1400'!E11/'1400'!E$115)*مجموع!$C$15</f>
        <v>425661.98305169807</v>
      </c>
      <c r="F11" s="2">
        <f>('1400'!F11/'1400'!F$115)*مجموع!$C$14</f>
        <v>419332.08180509094</v>
      </c>
      <c r="G11" s="2">
        <f>('1400'!G11/'1400'!G$115)*مجموع!$C$13</f>
        <v>418467.91765831772</v>
      </c>
      <c r="H11" s="2">
        <f>('1400'!H11/'1400'!H$115)*مجموع!$C$12</f>
        <v>454876.50257806451</v>
      </c>
      <c r="I11" s="2">
        <f>('1400'!I11/'1400'!I$115)*مجموع!$C$11</f>
        <v>415545.42632695648</v>
      </c>
      <c r="J11" s="2">
        <f>('1400'!J11/'1400'!J$115)*مجموع!$C$10</f>
        <v>490242.59784538462</v>
      </c>
      <c r="K11" s="2">
        <f>('1400'!K11/'1400'!K$115)*مجموع!$C$9</f>
        <v>618262.77026218188</v>
      </c>
      <c r="L11" s="2">
        <f>('1400'!L11/'1400'!L$115)*مجموع!$C$8</f>
        <v>558297.49740877189</v>
      </c>
      <c r="M11" s="2">
        <f>('1400'!M11/'1400'!M$115)*مجموع!$C$7</f>
        <v>541973.48918849498</v>
      </c>
      <c r="N11" s="2">
        <f>('1400'!N11/'1400'!N$115)*مجموع!$C$6</f>
        <v>512918.06433546665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10883492.133351866</v>
      </c>
      <c r="C12" s="2">
        <f>('1400'!C12/'1400'!C$115)*مجموع!$C$17</f>
        <v>1031497.2453158329</v>
      </c>
      <c r="D12" s="2">
        <f>('1400'!D12/'1400'!D$115)*مجموع!$C$16</f>
        <v>1050591.2322713071</v>
      </c>
      <c r="E12" s="2">
        <f>('1400'!E12/'1400'!E$115)*مجموع!$C$15</f>
        <v>851323.96610339615</v>
      </c>
      <c r="F12" s="2">
        <f>('1400'!F12/'1400'!F$115)*مجموع!$C$14</f>
        <v>838664.16361018189</v>
      </c>
      <c r="G12" s="2">
        <f>('1400'!G12/'1400'!G$115)*مجموع!$C$13</f>
        <v>836935.83531663544</v>
      </c>
      <c r="H12" s="2">
        <f>('1400'!H12/'1400'!H$115)*مجموع!$C$12</f>
        <v>0</v>
      </c>
      <c r="I12" s="2">
        <f>('1400'!I12/'1400'!I$115)*مجموع!$C$11</f>
        <v>831090.85265391297</v>
      </c>
      <c r="J12" s="2">
        <f>('1400'!J12/'1400'!J$115)*مجموع!$C$10</f>
        <v>980485.19569076924</v>
      </c>
      <c r="K12" s="2">
        <f>('1400'!K12/'1400'!K$115)*مجموع!$C$9</f>
        <v>1236525.5405243638</v>
      </c>
      <c r="L12" s="2">
        <f>('1400'!L12/'1400'!L$115)*مجموع!$C$8</f>
        <v>1116594.9948175438</v>
      </c>
      <c r="M12" s="2">
        <f>('1400'!M12/'1400'!M$115)*مجموع!$C$7</f>
        <v>1083946.97837699</v>
      </c>
      <c r="N12" s="2">
        <f>('1400'!N12/'1400'!N$115)*مجموع!$C$6</f>
        <v>1025836.1286709333</v>
      </c>
      <c r="O12" s="5">
        <v>100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5896622.5692539979</v>
      </c>
      <c r="C13" s="2">
        <f>('1400'!C13/'1400'!C$115)*مجموع!$C$17</f>
        <v>515748.62265791645</v>
      </c>
      <c r="D13" s="2">
        <f>('1400'!D13/'1400'!D$115)*مجموع!$C$16</f>
        <v>525295.61613565357</v>
      </c>
      <c r="E13" s="2">
        <f>('1400'!E13/'1400'!E$115)*مجموع!$C$15</f>
        <v>425661.98305169807</v>
      </c>
      <c r="F13" s="2">
        <f>('1400'!F13/'1400'!F$115)*مجموع!$C$14</f>
        <v>419332.08180509094</v>
      </c>
      <c r="G13" s="2">
        <f>('1400'!G13/'1400'!G$115)*مجموع!$C$13</f>
        <v>418467.91765831772</v>
      </c>
      <c r="H13" s="2">
        <f>('1400'!H13/'1400'!H$115)*مجموع!$C$12</f>
        <v>454876.50257806451</v>
      </c>
      <c r="I13" s="2">
        <f>('1400'!I13/'1400'!I$115)*مجموع!$C$11</f>
        <v>415545.42632695648</v>
      </c>
      <c r="J13" s="2">
        <f>('1400'!J13/'1400'!J$115)*مجموع!$C$10</f>
        <v>490242.59784538462</v>
      </c>
      <c r="K13" s="2">
        <f>('1400'!K13/'1400'!K$115)*مجموع!$C$9</f>
        <v>618262.77026218188</v>
      </c>
      <c r="L13" s="2">
        <f>('1400'!L13/'1400'!L$115)*مجموع!$C$8</f>
        <v>558297.49740877189</v>
      </c>
      <c r="M13" s="2">
        <f>('1400'!M13/'1400'!M$115)*مجموع!$C$7</f>
        <v>541973.48918849498</v>
      </c>
      <c r="N13" s="2">
        <f>('1400'!N13/'1400'!N$115)*مجموع!$C$6</f>
        <v>512918.06433546665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5896622.5692539979</v>
      </c>
      <c r="C14" s="2">
        <f>('1400'!C14/'1400'!C$115)*مجموع!$C$17</f>
        <v>515748.62265791645</v>
      </c>
      <c r="D14" s="2">
        <f>('1400'!D14/'1400'!D$115)*مجموع!$C$16</f>
        <v>525295.61613565357</v>
      </c>
      <c r="E14" s="2">
        <f>('1400'!E14/'1400'!E$115)*مجموع!$C$15</f>
        <v>425661.98305169807</v>
      </c>
      <c r="F14" s="2">
        <f>('1400'!F14/'1400'!F$115)*مجموع!$C$14</f>
        <v>419332.08180509094</v>
      </c>
      <c r="G14" s="2">
        <f>('1400'!G14/'1400'!G$115)*مجموع!$C$13</f>
        <v>418467.91765831772</v>
      </c>
      <c r="H14" s="2">
        <f>('1400'!H14/'1400'!H$115)*مجموع!$C$12</f>
        <v>454876.50257806451</v>
      </c>
      <c r="I14" s="2">
        <f>('1400'!I14/'1400'!I$115)*مجموع!$C$11</f>
        <v>415545.42632695648</v>
      </c>
      <c r="J14" s="2">
        <f>('1400'!J14/'1400'!J$115)*مجموع!$C$10</f>
        <v>490242.59784538462</v>
      </c>
      <c r="K14" s="2">
        <f>('1400'!K14/'1400'!K$115)*مجموع!$C$9</f>
        <v>618262.77026218188</v>
      </c>
      <c r="L14" s="2">
        <f>('1400'!L14/'1400'!L$115)*مجموع!$C$8</f>
        <v>558297.49740877189</v>
      </c>
      <c r="M14" s="2">
        <f>('1400'!M14/'1400'!M$115)*مجموع!$C$7</f>
        <v>541973.48918849498</v>
      </c>
      <c r="N14" s="2">
        <f>('1400'!N14/'1400'!N$115)*مجموع!$C$6</f>
        <v>512918.06433546665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5980316.1527856607</v>
      </c>
      <c r="C15" s="2">
        <f>('1400'!C15/'1400'!C$115)*مجموع!$C$17</f>
        <v>515748.62265791645</v>
      </c>
      <c r="D15" s="2">
        <f>('1400'!D15/'1400'!D$115)*مجموع!$C$16</f>
        <v>525295.61613565357</v>
      </c>
      <c r="E15" s="2">
        <f>('1400'!E15/'1400'!E$115)*مجموع!$C$15</f>
        <v>425661.98305169807</v>
      </c>
      <c r="F15" s="2">
        <f>('1400'!F15/'1400'!F$115)*مجموع!$C$14</f>
        <v>419332.08180509094</v>
      </c>
      <c r="G15" s="2">
        <f>('1400'!G15/'1400'!G$115)*مجموع!$C$13</f>
        <v>502161.50118998124</v>
      </c>
      <c r="H15" s="2">
        <f>('1400'!H15/'1400'!H$115)*مجموع!$C$12</f>
        <v>454876.50257806451</v>
      </c>
      <c r="I15" s="2">
        <f>('1400'!I15/'1400'!I$115)*مجموع!$C$11</f>
        <v>415545.42632695648</v>
      </c>
      <c r="J15" s="2">
        <f>('1400'!J15/'1400'!J$115)*مجموع!$C$10</f>
        <v>490242.59784538462</v>
      </c>
      <c r="K15" s="2">
        <f>('1400'!K15/'1400'!K$115)*مجموع!$C$9</f>
        <v>618262.77026218188</v>
      </c>
      <c r="L15" s="2">
        <f>('1400'!L15/'1400'!L$115)*مجموع!$C$8</f>
        <v>558297.49740877189</v>
      </c>
      <c r="M15" s="2">
        <f>('1400'!M15/'1400'!M$115)*مجموع!$C$7</f>
        <v>541973.48918849498</v>
      </c>
      <c r="N15" s="2">
        <f>('1400'!N15/'1400'!N$115)*مجموع!$C$6</f>
        <v>512918.06433546665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5896622.5692539979</v>
      </c>
      <c r="C16" s="2">
        <f>('1400'!C16/'1400'!C$115)*مجموع!$C$17</f>
        <v>515748.62265791645</v>
      </c>
      <c r="D16" s="2">
        <f>('1400'!D16/'1400'!D$115)*مجموع!$C$16</f>
        <v>525295.61613565357</v>
      </c>
      <c r="E16" s="2">
        <f>('1400'!E16/'1400'!E$115)*مجموع!$C$15</f>
        <v>425661.98305169807</v>
      </c>
      <c r="F16" s="2">
        <f>('1400'!F16/'1400'!F$115)*مجموع!$C$14</f>
        <v>419332.08180509094</v>
      </c>
      <c r="G16" s="2">
        <f>('1400'!G16/'1400'!G$115)*مجموع!$C$13</f>
        <v>418467.91765831772</v>
      </c>
      <c r="H16" s="2">
        <f>('1400'!H16/'1400'!H$115)*مجموع!$C$12</f>
        <v>454876.50257806451</v>
      </c>
      <c r="I16" s="2">
        <f>('1400'!I16/'1400'!I$115)*مجموع!$C$11</f>
        <v>415545.42632695648</v>
      </c>
      <c r="J16" s="2">
        <f>('1400'!J16/'1400'!J$115)*مجموع!$C$10</f>
        <v>490242.59784538462</v>
      </c>
      <c r="K16" s="2">
        <f>('1400'!K16/'1400'!K$115)*مجموع!$C$9</f>
        <v>618262.77026218188</v>
      </c>
      <c r="L16" s="2">
        <f>('1400'!L16/'1400'!L$115)*مجموع!$C$8</f>
        <v>558297.49740877189</v>
      </c>
      <c r="M16" s="2">
        <f>('1400'!M16/'1400'!M$115)*مجموع!$C$7</f>
        <v>541973.48918849498</v>
      </c>
      <c r="N16" s="2">
        <f>('1400'!N16/'1400'!N$115)*مجموع!$C$6</f>
        <v>512918.06433546665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5383704.5049185315</v>
      </c>
      <c r="C17" s="2">
        <f>('1400'!C17/'1400'!C$115)*مجموع!$C$17</f>
        <v>515748.62265791645</v>
      </c>
      <c r="D17" s="2">
        <f>('1400'!D17/'1400'!D$115)*مجموع!$C$16</f>
        <v>525295.61613565357</v>
      </c>
      <c r="E17" s="2">
        <f>('1400'!E17/'1400'!E$115)*مجموع!$C$15</f>
        <v>425661.98305169807</v>
      </c>
      <c r="F17" s="2">
        <f>('1400'!F17/'1400'!F$115)*مجموع!$C$14</f>
        <v>419332.08180509094</v>
      </c>
      <c r="G17" s="2">
        <f>('1400'!G17/'1400'!G$115)*مجموع!$C$13</f>
        <v>418467.91765831772</v>
      </c>
      <c r="H17" s="2">
        <f>('1400'!H17/'1400'!H$115)*مجموع!$C$12</f>
        <v>454876.50257806451</v>
      </c>
      <c r="I17" s="2">
        <f>('1400'!I17/'1400'!I$115)*مجموع!$C$11</f>
        <v>415545.42632695648</v>
      </c>
      <c r="J17" s="2">
        <f>('1400'!J17/'1400'!J$115)*مجموع!$C$10</f>
        <v>490242.59784538462</v>
      </c>
      <c r="K17" s="2">
        <f>('1400'!K17/'1400'!K$115)*مجموع!$C$9</f>
        <v>618262.77026218188</v>
      </c>
      <c r="L17" s="2">
        <f>('1400'!L17/'1400'!L$115)*مجموع!$C$8</f>
        <v>558297.49740877189</v>
      </c>
      <c r="M17" s="2">
        <f>('1400'!M17/'1400'!M$115)*مجموع!$C$7</f>
        <v>541973.48918849498</v>
      </c>
      <c r="N17" s="2">
        <f>('1400'!N17/'1400'!N$115)*مجموع!$C$6</f>
        <v>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10565135.479015598</v>
      </c>
      <c r="C18" s="2">
        <f>('1400'!C18/'1400'!C$115)*مجموع!$C$17</f>
        <v>2062994.4906316658</v>
      </c>
      <c r="D18" s="2">
        <f>('1400'!D18/'1400'!D$115)*مجموع!$C$16</f>
        <v>1050591.2322713071</v>
      </c>
      <c r="E18" s="2">
        <f>('1400'!E18/'1400'!E$115)*مجموع!$C$15</f>
        <v>851323.96610339615</v>
      </c>
      <c r="F18" s="2">
        <f>('1400'!F18/'1400'!F$115)*مجموع!$C$14</f>
        <v>838664.16361018189</v>
      </c>
      <c r="G18" s="2">
        <f>('1400'!G18/'1400'!G$115)*مجموع!$C$13</f>
        <v>0</v>
      </c>
      <c r="H18" s="2">
        <f>('1400'!H18/'1400'!H$115)*مجموع!$C$12</f>
        <v>0</v>
      </c>
      <c r="I18" s="2">
        <f>('1400'!I18/'1400'!I$115)*مجموع!$C$11</f>
        <v>831090.85265391297</v>
      </c>
      <c r="J18" s="2">
        <f>('1400'!J18/'1400'!J$115)*مجموع!$C$10</f>
        <v>980485.19569076924</v>
      </c>
      <c r="K18" s="2">
        <f>('1400'!K18/'1400'!K$115)*مجموع!$C$9</f>
        <v>1236525.5405243638</v>
      </c>
      <c r="L18" s="2">
        <f>('1400'!L18/'1400'!L$115)*مجموع!$C$8</f>
        <v>1116594.9948175438</v>
      </c>
      <c r="M18" s="2">
        <f>('1400'!M18/'1400'!M$115)*مجموع!$C$7</f>
        <v>1083946.97837699</v>
      </c>
      <c r="N18" s="2">
        <f>('1400'!N18/'1400'!N$115)*مجموع!$C$6</f>
        <v>512918.06433546665</v>
      </c>
      <c r="O18" s="5">
        <v>100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10883492.133351866</v>
      </c>
      <c r="C19" s="2">
        <f>('1400'!C19/'1400'!C$115)*مجموع!$C$17</f>
        <v>1031497.2453158329</v>
      </c>
      <c r="D19" s="2">
        <f>('1400'!D19/'1400'!D$115)*مجموع!$C$16</f>
        <v>1050591.2322713071</v>
      </c>
      <c r="E19" s="2">
        <f>('1400'!E19/'1400'!E$115)*مجموع!$C$15</f>
        <v>851323.96610339615</v>
      </c>
      <c r="F19" s="2">
        <f>('1400'!F19/'1400'!F$115)*مجموع!$C$14</f>
        <v>838664.16361018189</v>
      </c>
      <c r="G19" s="2">
        <f>('1400'!G19/'1400'!G$115)*مجموع!$C$13</f>
        <v>836935.83531663544</v>
      </c>
      <c r="H19" s="2">
        <f>('1400'!H19/'1400'!H$115)*مجموع!$C$12</f>
        <v>0</v>
      </c>
      <c r="I19" s="2">
        <f>('1400'!I19/'1400'!I$115)*مجموع!$C$11</f>
        <v>831090.85265391297</v>
      </c>
      <c r="J19" s="2">
        <f>('1400'!J19/'1400'!J$115)*مجموع!$C$10</f>
        <v>980485.19569076924</v>
      </c>
      <c r="K19" s="2">
        <f>('1400'!K19/'1400'!K$115)*مجموع!$C$9</f>
        <v>1236525.5405243638</v>
      </c>
      <c r="L19" s="2">
        <f>('1400'!L19/'1400'!L$115)*مجموع!$C$8</f>
        <v>1116594.9948175438</v>
      </c>
      <c r="M19" s="2">
        <f>('1400'!M19/'1400'!M$115)*مجموع!$C$7</f>
        <v>1083946.97837699</v>
      </c>
      <c r="N19" s="2">
        <f>('1400'!N19/'1400'!N$115)*مجموع!$C$6</f>
        <v>1025836.1286709333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5539026.7716755318</v>
      </c>
      <c r="C20" s="2">
        <f>('1400'!C20/'1400'!C$115)*مجموع!$C$17</f>
        <v>1031497.2453158329</v>
      </c>
      <c r="D20" s="2">
        <f>('1400'!D20/'1400'!D$115)*مجموع!$C$16</f>
        <v>525295.61613565357</v>
      </c>
      <c r="E20" s="2">
        <f>('1400'!E20/'1400'!E$115)*مجموع!$C$15</f>
        <v>425661.98305169807</v>
      </c>
      <c r="F20" s="2">
        <f>('1400'!F20/'1400'!F$115)*مجموع!$C$14</f>
        <v>419332.08180509094</v>
      </c>
      <c r="G20" s="2">
        <f>('1400'!G20/'1400'!G$115)*مجموع!$C$13</f>
        <v>0</v>
      </c>
      <c r="H20" s="2">
        <f>('1400'!H20/'1400'!H$115)*مجموع!$C$12</f>
        <v>0</v>
      </c>
      <c r="I20" s="2">
        <f>('1400'!I20/'1400'!I$115)*مجموع!$C$11</f>
        <v>415545.42632695648</v>
      </c>
      <c r="J20" s="2">
        <f>('1400'!J20/'1400'!J$115)*مجموع!$C$10</f>
        <v>490242.59784538462</v>
      </c>
      <c r="K20" s="2">
        <f>('1400'!K20/'1400'!K$115)*مجموع!$C$9</f>
        <v>618262.77026218188</v>
      </c>
      <c r="L20" s="2">
        <f>('1400'!L20/'1400'!L$115)*مجموع!$C$8</f>
        <v>558297.49740877189</v>
      </c>
      <c r="M20" s="2">
        <f>('1400'!M20/'1400'!M$115)*مجموع!$C$7</f>
        <v>541973.48918849498</v>
      </c>
      <c r="N20" s="2">
        <f>('1400'!N20/'1400'!N$115)*مجموع!$C$6</f>
        <v>512918.06433546665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10767409.009837063</v>
      </c>
      <c r="C21" s="2">
        <f>('1400'!C21/'1400'!C$115)*مجموع!$C$17</f>
        <v>1031497.2453158329</v>
      </c>
      <c r="D21" s="2">
        <f>('1400'!D21/'1400'!D$115)*مجموع!$C$16</f>
        <v>1050591.2322713071</v>
      </c>
      <c r="E21" s="2">
        <f>('1400'!E21/'1400'!E$115)*مجموع!$C$15</f>
        <v>851323.96610339615</v>
      </c>
      <c r="F21" s="2">
        <f>('1400'!F21/'1400'!F$115)*مجموع!$C$14</f>
        <v>838664.16361018189</v>
      </c>
      <c r="G21" s="2">
        <f>('1400'!G21/'1400'!G$115)*مجموع!$C$13</f>
        <v>836935.83531663544</v>
      </c>
      <c r="H21" s="2">
        <f>('1400'!H21/'1400'!H$115)*مجموع!$C$12</f>
        <v>909753.00515612902</v>
      </c>
      <c r="I21" s="2">
        <f>('1400'!I21/'1400'!I$115)*مجموع!$C$11</f>
        <v>831090.85265391297</v>
      </c>
      <c r="J21" s="2">
        <f>('1400'!J21/'1400'!J$115)*مجموع!$C$10</f>
        <v>980485.19569076924</v>
      </c>
      <c r="K21" s="2">
        <f>('1400'!K21/'1400'!K$115)*مجموع!$C$9</f>
        <v>1236525.5405243638</v>
      </c>
      <c r="L21" s="2">
        <f>('1400'!L21/'1400'!L$115)*مجموع!$C$8</f>
        <v>1116594.9948175438</v>
      </c>
      <c r="M21" s="2">
        <f>('1400'!M21/'1400'!M$115)*مجموع!$C$7</f>
        <v>1083946.97837699</v>
      </c>
      <c r="N21" s="2">
        <f>('1400'!N21/'1400'!N$115)*مجموع!$C$6</f>
        <v>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11023868.042004796</v>
      </c>
      <c r="C22" s="2">
        <f>('1400'!C22/'1400'!C$115)*مجموع!$C$17</f>
        <v>1031497.2453158329</v>
      </c>
      <c r="D22" s="2">
        <f>('1400'!D22/'1400'!D$115)*مجموع!$C$16</f>
        <v>1050591.2322713071</v>
      </c>
      <c r="E22" s="2">
        <f>('1400'!E22/'1400'!E$115)*مجموع!$C$15</f>
        <v>851323.96610339615</v>
      </c>
      <c r="F22" s="2">
        <f>('1400'!F22/'1400'!F$115)*مجموع!$C$14</f>
        <v>838664.16361018189</v>
      </c>
      <c r="G22" s="2">
        <f>('1400'!G22/'1400'!G$115)*مجموع!$C$13</f>
        <v>836935.83531663544</v>
      </c>
      <c r="H22" s="2">
        <f>('1400'!H22/'1400'!H$115)*مجموع!$C$12</f>
        <v>909753.00515612902</v>
      </c>
      <c r="I22" s="2">
        <f>('1400'!I22/'1400'!I$115)*مجموع!$C$11</f>
        <v>831090.85265391297</v>
      </c>
      <c r="J22" s="2">
        <f>('1400'!J22/'1400'!J$115)*مجموع!$C$10</f>
        <v>980485.19569076924</v>
      </c>
      <c r="K22" s="2">
        <f>('1400'!K22/'1400'!K$115)*مجموع!$C$9</f>
        <v>1236525.5405243638</v>
      </c>
      <c r="L22" s="2">
        <f>('1400'!L22/'1400'!L$115)*مجموع!$C$8</f>
        <v>1116594.9948175438</v>
      </c>
      <c r="M22" s="2">
        <f>('1400'!M22/'1400'!M$115)*مجموع!$C$7</f>
        <v>1083946.97837699</v>
      </c>
      <c r="N22" s="2">
        <f>('1400'!N22/'1400'!N$115)*مجموع!$C$6</f>
        <v>256459.03216773333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12914106.242851695</v>
      </c>
      <c r="C23" s="2">
        <f>('1400'!C23/'1400'!C$115)*مجموع!$C$17</f>
        <v>1031497.2453158329</v>
      </c>
      <c r="D23" s="2">
        <f>('1400'!D23/'1400'!D$115)*مجموع!$C$16</f>
        <v>1050591.2322713071</v>
      </c>
      <c r="E23" s="2">
        <f>('1400'!E23/'1400'!E$115)*مجموع!$C$15</f>
        <v>851323.96610339615</v>
      </c>
      <c r="F23" s="2">
        <f>('1400'!F23/'1400'!F$115)*مجموع!$C$14</f>
        <v>838664.16361018189</v>
      </c>
      <c r="G23" s="2">
        <f>('1400'!G23/'1400'!G$115)*مجموع!$C$13</f>
        <v>836935.83531663544</v>
      </c>
      <c r="H23" s="2">
        <f>('1400'!H23/'1400'!H$115)*مجموع!$C$12</f>
        <v>1819506.010312258</v>
      </c>
      <c r="I23" s="2">
        <f>('1400'!I23/'1400'!I$115)*مجموع!$C$11</f>
        <v>831090.85265391297</v>
      </c>
      <c r="J23" s="2">
        <f>('1400'!J23/'1400'!J$115)*مجموع!$C$10</f>
        <v>1960970.3913815385</v>
      </c>
      <c r="K23" s="2">
        <f>('1400'!K23/'1400'!K$115)*مجموع!$C$9</f>
        <v>1236525.5405243638</v>
      </c>
      <c r="L23" s="2">
        <f>('1400'!L23/'1400'!L$115)*مجموع!$C$8</f>
        <v>1116594.9948175438</v>
      </c>
      <c r="M23" s="2">
        <f>('1400'!M23/'1400'!M$115)*مجموع!$C$7</f>
        <v>1083946.97837699</v>
      </c>
      <c r="N23" s="2">
        <f>('1400'!N23/'1400'!N$115)*مجموع!$C$6</f>
        <v>256459.03216773333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11280327.07417253</v>
      </c>
      <c r="C24" s="2">
        <f>('1400'!C24/'1400'!C$115)*مجموع!$C$17</f>
        <v>1031497.2453158329</v>
      </c>
      <c r="D24" s="2">
        <f>('1400'!D24/'1400'!D$115)*مجموع!$C$16</f>
        <v>1050591.2322713071</v>
      </c>
      <c r="E24" s="2">
        <f>('1400'!E24/'1400'!E$115)*مجموع!$C$15</f>
        <v>851323.96610339615</v>
      </c>
      <c r="F24" s="2">
        <f>('1400'!F24/'1400'!F$115)*مجموع!$C$14</f>
        <v>838664.16361018189</v>
      </c>
      <c r="G24" s="2">
        <f>('1400'!G24/'1400'!G$115)*مجموع!$C$13</f>
        <v>836935.83531663544</v>
      </c>
      <c r="H24" s="2">
        <f>('1400'!H24/'1400'!H$115)*مجموع!$C$12</f>
        <v>909753.00515612902</v>
      </c>
      <c r="I24" s="2">
        <f>('1400'!I24/'1400'!I$115)*مجموع!$C$11</f>
        <v>831090.85265391297</v>
      </c>
      <c r="J24" s="2">
        <f>('1400'!J24/'1400'!J$115)*مجموع!$C$10</f>
        <v>980485.19569076924</v>
      </c>
      <c r="K24" s="2">
        <f>('1400'!K24/'1400'!K$115)*مجموع!$C$9</f>
        <v>1236525.5405243638</v>
      </c>
      <c r="L24" s="2">
        <f>('1400'!L24/'1400'!L$115)*مجموع!$C$8</f>
        <v>1116594.9948175438</v>
      </c>
      <c r="M24" s="2">
        <f>('1400'!M24/'1400'!M$115)*مجموع!$C$7</f>
        <v>1083946.97837699</v>
      </c>
      <c r="N24" s="2">
        <f>('1400'!N24/'1400'!N$115)*مجموع!$C$6</f>
        <v>512918.06433546665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11793245.138507996</v>
      </c>
      <c r="C25" s="2">
        <f>('1400'!C25/'1400'!C$115)*مجموع!$C$17</f>
        <v>1031497.2453158329</v>
      </c>
      <c r="D25" s="2">
        <f>('1400'!D25/'1400'!D$115)*مجموع!$C$16</f>
        <v>1050591.2322713071</v>
      </c>
      <c r="E25" s="2">
        <f>('1400'!E25/'1400'!E$115)*مجموع!$C$15</f>
        <v>851323.96610339615</v>
      </c>
      <c r="F25" s="2">
        <f>('1400'!F25/'1400'!F$115)*مجموع!$C$14</f>
        <v>838664.16361018189</v>
      </c>
      <c r="G25" s="2">
        <f>('1400'!G25/'1400'!G$115)*مجموع!$C$13</f>
        <v>836935.83531663544</v>
      </c>
      <c r="H25" s="2">
        <f>('1400'!H25/'1400'!H$115)*مجموع!$C$12</f>
        <v>909753.00515612902</v>
      </c>
      <c r="I25" s="2">
        <f>('1400'!I25/'1400'!I$115)*مجموع!$C$11</f>
        <v>831090.85265391297</v>
      </c>
      <c r="J25" s="2">
        <f>('1400'!J25/'1400'!J$115)*مجموع!$C$10</f>
        <v>980485.19569076924</v>
      </c>
      <c r="K25" s="2">
        <f>('1400'!K25/'1400'!K$115)*مجموع!$C$9</f>
        <v>1236525.5405243638</v>
      </c>
      <c r="L25" s="2">
        <f>('1400'!L25/'1400'!L$115)*مجموع!$C$8</f>
        <v>1116594.9948175438</v>
      </c>
      <c r="M25" s="2">
        <f>('1400'!M25/'1400'!M$115)*مجموع!$C$7</f>
        <v>1083946.97837699</v>
      </c>
      <c r="N25" s="2">
        <f>('1400'!N25/'1400'!N$115)*مجموع!$C$6</f>
        <v>1025836.1286709333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11280327.07417253</v>
      </c>
      <c r="C26" s="2">
        <f>('1400'!C26/'1400'!C$115)*مجموع!$C$17</f>
        <v>1031497.2453158329</v>
      </c>
      <c r="D26" s="2">
        <f>('1400'!D26/'1400'!D$115)*مجموع!$C$16</f>
        <v>1050591.2322713071</v>
      </c>
      <c r="E26" s="2">
        <f>('1400'!E26/'1400'!E$115)*مجموع!$C$15</f>
        <v>851323.96610339615</v>
      </c>
      <c r="F26" s="2">
        <f>('1400'!F26/'1400'!F$115)*مجموع!$C$14</f>
        <v>838664.16361018189</v>
      </c>
      <c r="G26" s="2">
        <f>('1400'!G26/'1400'!G$115)*مجموع!$C$13</f>
        <v>836935.83531663544</v>
      </c>
      <c r="H26" s="2">
        <f>('1400'!H26/'1400'!H$115)*مجموع!$C$12</f>
        <v>909753.00515612902</v>
      </c>
      <c r="I26" s="2">
        <f>('1400'!I26/'1400'!I$115)*مجموع!$C$11</f>
        <v>831090.85265391297</v>
      </c>
      <c r="J26" s="2">
        <f>('1400'!J26/'1400'!J$115)*مجموع!$C$10</f>
        <v>980485.19569076924</v>
      </c>
      <c r="K26" s="2">
        <f>('1400'!K26/'1400'!K$115)*مجموع!$C$9</f>
        <v>1236525.5405243638</v>
      </c>
      <c r="L26" s="2">
        <f>('1400'!L26/'1400'!L$115)*مجموع!$C$8</f>
        <v>1116594.9948175438</v>
      </c>
      <c r="M26" s="2">
        <f>('1400'!M26/'1400'!M$115)*مجموع!$C$7</f>
        <v>1083946.97837699</v>
      </c>
      <c r="N26" s="2">
        <f>('1400'!N26/'1400'!N$115)*مجموع!$C$6</f>
        <v>512918.06433546665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5896622.5692539979</v>
      </c>
      <c r="C27" s="2">
        <f>('1400'!C27/'1400'!C$115)*مجموع!$C$17</f>
        <v>515748.62265791645</v>
      </c>
      <c r="D27" s="2">
        <f>('1400'!D27/'1400'!D$115)*مجموع!$C$16</f>
        <v>525295.61613565357</v>
      </c>
      <c r="E27" s="2">
        <f>('1400'!E27/'1400'!E$115)*مجموع!$C$15</f>
        <v>425661.98305169807</v>
      </c>
      <c r="F27" s="2">
        <f>('1400'!F27/'1400'!F$115)*مجموع!$C$14</f>
        <v>419332.08180509094</v>
      </c>
      <c r="G27" s="2">
        <f>('1400'!G27/'1400'!G$115)*مجموع!$C$13</f>
        <v>418467.91765831772</v>
      </c>
      <c r="H27" s="2">
        <f>('1400'!H27/'1400'!H$115)*مجموع!$C$12</f>
        <v>454876.50257806451</v>
      </c>
      <c r="I27" s="2">
        <f>('1400'!I27/'1400'!I$115)*مجموع!$C$11</f>
        <v>415545.42632695648</v>
      </c>
      <c r="J27" s="2">
        <f>('1400'!J27/'1400'!J$115)*مجموع!$C$10</f>
        <v>490242.59784538462</v>
      </c>
      <c r="K27" s="2">
        <f>('1400'!K27/'1400'!K$115)*مجموع!$C$9</f>
        <v>618262.77026218188</v>
      </c>
      <c r="L27" s="2">
        <f>('1400'!L27/'1400'!L$115)*مجموع!$C$8</f>
        <v>558297.49740877189</v>
      </c>
      <c r="M27" s="2">
        <f>('1400'!M27/'1400'!M$115)*مجموع!$C$7</f>
        <v>541973.48918849498</v>
      </c>
      <c r="N27" s="2">
        <f>('1400'!N27/'1400'!N$115)*مجموع!$C$6</f>
        <v>512918.06433546665</v>
      </c>
      <c r="O27" s="5">
        <v>50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5896622.5692539979</v>
      </c>
      <c r="C28" s="2">
        <f>('1400'!C28/'1400'!C$115)*مجموع!$C$17</f>
        <v>515748.62265791645</v>
      </c>
      <c r="D28" s="2">
        <f>('1400'!D28/'1400'!D$115)*مجموع!$C$16</f>
        <v>525295.61613565357</v>
      </c>
      <c r="E28" s="2">
        <f>('1400'!E28/'1400'!E$115)*مجموع!$C$15</f>
        <v>425661.98305169807</v>
      </c>
      <c r="F28" s="2">
        <f>('1400'!F28/'1400'!F$115)*مجموع!$C$14</f>
        <v>419332.08180509094</v>
      </c>
      <c r="G28" s="2">
        <f>('1400'!G28/'1400'!G$115)*مجموع!$C$13</f>
        <v>418467.91765831772</v>
      </c>
      <c r="H28" s="2">
        <f>('1400'!H28/'1400'!H$115)*مجموع!$C$12</f>
        <v>454876.50257806451</v>
      </c>
      <c r="I28" s="2">
        <f>('1400'!I28/'1400'!I$115)*مجموع!$C$11</f>
        <v>415545.42632695648</v>
      </c>
      <c r="J28" s="2">
        <f>('1400'!J28/'1400'!J$115)*مجموع!$C$10</f>
        <v>490242.59784538462</v>
      </c>
      <c r="K28" s="2">
        <f>('1400'!K28/'1400'!K$115)*مجموع!$C$9</f>
        <v>618262.77026218188</v>
      </c>
      <c r="L28" s="2">
        <f>('1400'!L28/'1400'!L$115)*مجموع!$C$8</f>
        <v>558297.49740877189</v>
      </c>
      <c r="M28" s="2">
        <f>('1400'!M28/'1400'!M$115)*مجموع!$C$7</f>
        <v>541973.48918849498</v>
      </c>
      <c r="N28" s="2">
        <f>('1400'!N28/'1400'!N$115)*مجموع!$C$6</f>
        <v>512918.06433546665</v>
      </c>
      <c r="O28" s="5">
        <v>50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5896622.5692539979</v>
      </c>
      <c r="C29" s="2">
        <f>('1400'!C29/'1400'!C$115)*مجموع!$C$17</f>
        <v>515748.62265791645</v>
      </c>
      <c r="D29" s="2">
        <f>('1400'!D29/'1400'!D$115)*مجموع!$C$16</f>
        <v>525295.61613565357</v>
      </c>
      <c r="E29" s="2">
        <f>('1400'!E29/'1400'!E$115)*مجموع!$C$15</f>
        <v>425661.98305169807</v>
      </c>
      <c r="F29" s="2">
        <f>('1400'!F29/'1400'!F$115)*مجموع!$C$14</f>
        <v>419332.08180509094</v>
      </c>
      <c r="G29" s="2">
        <f>('1400'!G29/'1400'!G$115)*مجموع!$C$13</f>
        <v>418467.91765831772</v>
      </c>
      <c r="H29" s="2">
        <f>('1400'!H29/'1400'!H$115)*مجموع!$C$12</f>
        <v>454876.50257806451</v>
      </c>
      <c r="I29" s="2">
        <f>('1400'!I29/'1400'!I$115)*مجموع!$C$11</f>
        <v>415545.42632695648</v>
      </c>
      <c r="J29" s="2">
        <f>('1400'!J29/'1400'!J$115)*مجموع!$C$10</f>
        <v>490242.59784538462</v>
      </c>
      <c r="K29" s="2">
        <f>('1400'!K29/'1400'!K$115)*مجموع!$C$9</f>
        <v>618262.77026218188</v>
      </c>
      <c r="L29" s="2">
        <f>('1400'!L29/'1400'!L$115)*مجموع!$C$8</f>
        <v>558297.49740877189</v>
      </c>
      <c r="M29" s="2">
        <f>('1400'!M29/'1400'!M$115)*مجموع!$C$7</f>
        <v>541973.48918849498</v>
      </c>
      <c r="N29" s="2">
        <f>('1400'!N29/'1400'!N$115)*مجموع!$C$6</f>
        <v>512918.06433546665</v>
      </c>
      <c r="O29" s="5">
        <v>50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1577743.7823417706</v>
      </c>
      <c r="C30" s="2">
        <f>('1400'!C30/'1400'!C$115)*مجموع!$C$17</f>
        <v>0</v>
      </c>
      <c r="D30" s="2">
        <f>('1400'!D30/'1400'!D$115)*مجموع!$C$16</f>
        <v>0</v>
      </c>
      <c r="E30" s="2">
        <f>('1400'!E30/'1400'!E$115)*مجموع!$C$15</f>
        <v>0</v>
      </c>
      <c r="F30" s="2">
        <f>('1400'!F30/'1400'!F$115)*مجموع!$C$14</f>
        <v>0</v>
      </c>
      <c r="G30" s="2">
        <f>('1400'!G30/'1400'!G$115)*مجموع!$C$13</f>
        <v>0</v>
      </c>
      <c r="H30" s="2">
        <f>('1400'!H30/'1400'!H$115)*مجموع!$C$12</f>
        <v>227438.25128903225</v>
      </c>
      <c r="I30" s="2">
        <f>('1400'!I30/'1400'!I$115)*مجموع!$C$11</f>
        <v>207772.71316347824</v>
      </c>
      <c r="J30" s="2">
        <f>('1400'!J30/'1400'!J$115)*مجموع!$C$10</f>
        <v>245121.29892269231</v>
      </c>
      <c r="K30" s="2">
        <f>('1400'!K30/'1400'!K$115)*مجموع!$C$9</f>
        <v>618262.77026218188</v>
      </c>
      <c r="L30" s="2">
        <f>('1400'!L30/'1400'!L$115)*مجموع!$C$8</f>
        <v>279148.74870438594</v>
      </c>
      <c r="M30" s="2">
        <f>('1400'!M30/'1400'!M$115)*مجموع!$C$7</f>
        <v>0</v>
      </c>
      <c r="N30" s="2">
        <f>('1400'!N30/'1400'!N$115)*مجموع!$C$6</f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16402257.581125351</v>
      </c>
      <c r="C31" s="2">
        <f>('1400'!C31/'1400'!C$115)*مجموع!$C$17</f>
        <v>2062994.4906316658</v>
      </c>
      <c r="D31" s="2">
        <f>('1400'!D31/'1400'!D$115)*مجموع!$C$16</f>
        <v>2101182.4645426143</v>
      </c>
      <c r="E31" s="2">
        <f>('1400'!E31/'1400'!E$115)*مجموع!$C$15</f>
        <v>1702647.9322067923</v>
      </c>
      <c r="F31" s="2">
        <f>('1400'!F31/'1400'!F$115)*مجموع!$C$14</f>
        <v>1677328.3272203638</v>
      </c>
      <c r="G31" s="2">
        <f>('1400'!G31/'1400'!G$115)*مجموع!$C$13</f>
        <v>1673871.6706332709</v>
      </c>
      <c r="H31" s="2">
        <f>('1400'!H31/'1400'!H$115)*مجموع!$C$12</f>
        <v>909753.00515612902</v>
      </c>
      <c r="I31" s="2">
        <f>('1400'!I31/'1400'!I$115)*مجموع!$C$11</f>
        <v>831090.85265391297</v>
      </c>
      <c r="J31" s="2">
        <f>('1400'!J31/'1400'!J$115)*مجموع!$C$10</f>
        <v>980485.19569076924</v>
      </c>
      <c r="K31" s="2">
        <f>('1400'!K31/'1400'!K$115)*مجموع!$C$9</f>
        <v>1236525.5405243638</v>
      </c>
      <c r="L31" s="2">
        <f>('1400'!L31/'1400'!L$115)*مجموع!$C$8</f>
        <v>1116594.9948175438</v>
      </c>
      <c r="M31" s="2">
        <f>('1400'!M31/'1400'!M$115)*مجموع!$C$7</f>
        <v>1083946.97837699</v>
      </c>
      <c r="N31" s="2">
        <f>('1400'!N31/'1400'!N$115)*مجموع!$C$6</f>
        <v>1025836.1286709333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7726206.1850791378</v>
      </c>
      <c r="C32" s="2">
        <f>('1400'!C32/'1400'!C$115)*مجموع!$C$17</f>
        <v>0</v>
      </c>
      <c r="D32" s="2">
        <f>('1400'!D32/'1400'!D$115)*مجموع!$C$16</f>
        <v>0</v>
      </c>
      <c r="E32" s="2">
        <f>('1400'!E32/'1400'!E$115)*مجموع!$C$15</f>
        <v>0</v>
      </c>
      <c r="F32" s="2">
        <f>('1400'!F32/'1400'!F$115)*مجموع!$C$14</f>
        <v>0</v>
      </c>
      <c r="G32" s="2">
        <f>('1400'!G32/'1400'!G$115)*مجموع!$C$13</f>
        <v>0</v>
      </c>
      <c r="H32" s="2">
        <f>('1400'!H32/'1400'!H$115)*مجموع!$C$12</f>
        <v>909753.00515612902</v>
      </c>
      <c r="I32" s="2">
        <f>('1400'!I32/'1400'!I$115)*مجموع!$C$11</f>
        <v>831090.85265391297</v>
      </c>
      <c r="J32" s="2">
        <f>('1400'!J32/'1400'!J$115)*مجموع!$C$10</f>
        <v>980485.19569076924</v>
      </c>
      <c r="K32" s="2">
        <f>('1400'!K32/'1400'!K$115)*مجموع!$C$9</f>
        <v>1236525.5405243638</v>
      </c>
      <c r="L32" s="2">
        <f>('1400'!L32/'1400'!L$115)*مجموع!$C$8</f>
        <v>1116594.9948175438</v>
      </c>
      <c r="M32" s="2">
        <f>('1400'!M32/'1400'!M$115)*مجموع!$C$7</f>
        <v>1625920.467565485</v>
      </c>
      <c r="N32" s="2">
        <f>('1400'!N32/'1400'!N$115)*مجموع!$C$6</f>
        <v>1025836.1286709333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1025836.1286709333</v>
      </c>
      <c r="C33" s="2">
        <f>('1400'!C33/'1400'!C$115)*مجموع!$C$17</f>
        <v>0</v>
      </c>
      <c r="D33" s="2">
        <f>('1400'!D33/'1400'!D$115)*مجموع!$C$16</f>
        <v>0</v>
      </c>
      <c r="E33" s="2">
        <f>('1400'!E33/'1400'!E$115)*مجموع!$C$15</f>
        <v>0</v>
      </c>
      <c r="F33" s="2">
        <f>('1400'!F33/'1400'!F$115)*مجموع!$C$14</f>
        <v>0</v>
      </c>
      <c r="G33" s="2">
        <f>('1400'!G33/'1400'!G$115)*مجموع!$C$13</f>
        <v>0</v>
      </c>
      <c r="H33" s="2">
        <f>('1400'!H33/'1400'!H$115)*مجموع!$C$12</f>
        <v>0</v>
      </c>
      <c r="I33" s="2">
        <f>('1400'!I33/'1400'!I$115)*مجموع!$C$11</f>
        <v>0</v>
      </c>
      <c r="J33" s="2">
        <f>('1400'!J33/'1400'!J$115)*مجموع!$C$10</f>
        <v>0</v>
      </c>
      <c r="K33" s="2">
        <f>('1400'!K33/'1400'!K$115)*مجموع!$C$9</f>
        <v>0</v>
      </c>
      <c r="L33" s="2">
        <f>('1400'!L33/'1400'!L$115)*مجموع!$C$8</f>
        <v>0</v>
      </c>
      <c r="M33" s="2">
        <f>('1400'!M33/'1400'!M$115)*مجموع!$C$7</f>
        <v>0</v>
      </c>
      <c r="N33" s="2">
        <f>('1400'!N33/'1400'!N$115)*مجموع!$C$6</f>
        <v>1025836.1286709333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11793245.138507996</v>
      </c>
      <c r="C34" s="2">
        <f>('1400'!C34/'1400'!C$115)*مجموع!$C$17</f>
        <v>1031497.2453158329</v>
      </c>
      <c r="D34" s="2">
        <f>('1400'!D34/'1400'!D$115)*مجموع!$C$16</f>
        <v>1050591.2322713071</v>
      </c>
      <c r="E34" s="2">
        <f>('1400'!E34/'1400'!E$115)*مجموع!$C$15</f>
        <v>851323.96610339615</v>
      </c>
      <c r="F34" s="2">
        <f>('1400'!F34/'1400'!F$115)*مجموع!$C$14</f>
        <v>838664.16361018189</v>
      </c>
      <c r="G34" s="2">
        <f>('1400'!G34/'1400'!G$115)*مجموع!$C$13</f>
        <v>836935.83531663544</v>
      </c>
      <c r="H34" s="2">
        <f>('1400'!H34/'1400'!H$115)*مجموع!$C$12</f>
        <v>909753.00515612902</v>
      </c>
      <c r="I34" s="2">
        <f>('1400'!I34/'1400'!I$115)*مجموع!$C$11</f>
        <v>831090.85265391297</v>
      </c>
      <c r="J34" s="2">
        <f>('1400'!J34/'1400'!J$115)*مجموع!$C$10</f>
        <v>980485.19569076924</v>
      </c>
      <c r="K34" s="2">
        <f>('1400'!K34/'1400'!K$115)*مجموع!$C$9</f>
        <v>1236525.5405243638</v>
      </c>
      <c r="L34" s="2">
        <f>('1400'!L34/'1400'!L$115)*مجموع!$C$8</f>
        <v>1116594.9948175438</v>
      </c>
      <c r="M34" s="2">
        <f>('1400'!M34/'1400'!M$115)*مجموع!$C$7</f>
        <v>1083946.97837699</v>
      </c>
      <c r="N34" s="2">
        <f>('1400'!N34/'1400'!N$115)*مجموع!$C$6</f>
        <v>1025836.1286709333</v>
      </c>
      <c r="O34" s="5">
        <v>100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512918.06433546665</v>
      </c>
      <c r="C35" s="2">
        <f>('1400'!C35/'1400'!C$115)*مجموع!$C$17</f>
        <v>0</v>
      </c>
      <c r="D35" s="2">
        <f>('1400'!D35/'1400'!D$115)*مجموع!$C$16</f>
        <v>0</v>
      </c>
      <c r="E35" s="2">
        <f>('1400'!E35/'1400'!E$115)*مجموع!$C$15</f>
        <v>0</v>
      </c>
      <c r="F35" s="2">
        <f>('1400'!F35/'1400'!F$115)*مجموع!$C$14</f>
        <v>0</v>
      </c>
      <c r="G35" s="2">
        <f>('1400'!G35/'1400'!G$115)*مجموع!$C$13</f>
        <v>0</v>
      </c>
      <c r="H35" s="2">
        <f>('1400'!H35/'1400'!H$115)*مجموع!$C$12</f>
        <v>0</v>
      </c>
      <c r="I35" s="2">
        <f>('1400'!I35/'1400'!I$115)*مجموع!$C$11</f>
        <v>0</v>
      </c>
      <c r="J35" s="2">
        <f>('1400'!J35/'1400'!J$115)*مجموع!$C$10</f>
        <v>0</v>
      </c>
      <c r="K35" s="2">
        <f>('1400'!K35/'1400'!K$115)*مجموع!$C$9</f>
        <v>0</v>
      </c>
      <c r="L35" s="2">
        <f>('1400'!L35/'1400'!L$115)*مجموع!$C$8</f>
        <v>0</v>
      </c>
      <c r="M35" s="2">
        <f>('1400'!M35/'1400'!M$115)*مجموع!$C$7</f>
        <v>0</v>
      </c>
      <c r="N35" s="2">
        <f>('1400'!N35/'1400'!N$115)*مجموع!$C$6</f>
        <v>512918.06433546665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si="0"/>
        <v>2680812.0210894467</v>
      </c>
      <c r="C36" s="2">
        <f>('1400'!C36/'1400'!C$115)*مجموع!$C$17</f>
        <v>0</v>
      </c>
      <c r="D36" s="2">
        <f>('1400'!D36/'1400'!D$115)*مجموع!$C$16</f>
        <v>0</v>
      </c>
      <c r="E36" s="2">
        <f>('1400'!E36/'1400'!E$115)*مجموع!$C$15</f>
        <v>0</v>
      </c>
      <c r="F36" s="2">
        <f>('1400'!F36/'1400'!F$115)*مجموع!$C$14</f>
        <v>0</v>
      </c>
      <c r="G36" s="2">
        <f>('1400'!G36/'1400'!G$115)*مجموع!$C$13</f>
        <v>0</v>
      </c>
      <c r="H36" s="2">
        <f>('1400'!H36/'1400'!H$115)*مجموع!$C$12</f>
        <v>0</v>
      </c>
      <c r="I36" s="2">
        <f>('1400'!I36/'1400'!I$115)*مجموع!$C$11</f>
        <v>0</v>
      </c>
      <c r="J36" s="2">
        <f>('1400'!J36/'1400'!J$115)*مجموع!$C$10</f>
        <v>0</v>
      </c>
      <c r="K36" s="2">
        <f>('1400'!K36/'1400'!K$115)*مجموع!$C$9</f>
        <v>0</v>
      </c>
      <c r="L36" s="2">
        <f>('1400'!L36/'1400'!L$115)*مجموع!$C$8</f>
        <v>0</v>
      </c>
      <c r="M36" s="2">
        <f>('1400'!M36/'1400'!M$115)*مجموع!$C$7</f>
        <v>2167893.9567539799</v>
      </c>
      <c r="N36" s="2">
        <f>('1400'!N36/'1400'!N$115)*مجموع!$C$6</f>
        <v>512918.06433546665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0"/>
        <v>2680812.0210894467</v>
      </c>
      <c r="C37" s="2">
        <f>('1400'!C37/'1400'!C$115)*مجموع!$C$17</f>
        <v>0</v>
      </c>
      <c r="D37" s="2">
        <f>('1400'!D37/'1400'!D$115)*مجموع!$C$16</f>
        <v>0</v>
      </c>
      <c r="E37" s="2">
        <f>('1400'!E37/'1400'!E$115)*مجموع!$C$15</f>
        <v>0</v>
      </c>
      <c r="F37" s="2">
        <f>('1400'!F37/'1400'!F$115)*مجموع!$C$14</f>
        <v>0</v>
      </c>
      <c r="G37" s="2">
        <f>('1400'!G37/'1400'!G$115)*مجموع!$C$13</f>
        <v>0</v>
      </c>
      <c r="H37" s="2">
        <f>('1400'!H37/'1400'!H$115)*مجموع!$C$12</f>
        <v>0</v>
      </c>
      <c r="I37" s="2">
        <f>('1400'!I37/'1400'!I$115)*مجموع!$C$11</f>
        <v>0</v>
      </c>
      <c r="J37" s="2">
        <f>('1400'!J37/'1400'!J$115)*مجموع!$C$10</f>
        <v>0</v>
      </c>
      <c r="K37" s="2">
        <f>('1400'!K37/'1400'!K$115)*مجموع!$C$9</f>
        <v>0</v>
      </c>
      <c r="L37" s="2">
        <f>('1400'!L37/'1400'!L$115)*مجموع!$C$8</f>
        <v>0</v>
      </c>
      <c r="M37" s="2">
        <f>('1400'!M37/'1400'!M$115)*مجموع!$C$7</f>
        <v>2167893.9567539799</v>
      </c>
      <c r="N37" s="2">
        <f>('1400'!N37/'1400'!N$115)*مجموع!$C$6</f>
        <v>512918.06433546665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0"/>
        <v>11793245.138507996</v>
      </c>
      <c r="C38" s="2">
        <f>('1400'!C38/'1400'!C$115)*مجموع!$C$17</f>
        <v>1031497.2453158329</v>
      </c>
      <c r="D38" s="2">
        <f>('1400'!D38/'1400'!D$115)*مجموع!$C$16</f>
        <v>1050591.2322713071</v>
      </c>
      <c r="E38" s="2">
        <f>('1400'!E38/'1400'!E$115)*مجموع!$C$15</f>
        <v>851323.96610339615</v>
      </c>
      <c r="F38" s="2">
        <f>('1400'!F38/'1400'!F$115)*مجموع!$C$14</f>
        <v>838664.16361018189</v>
      </c>
      <c r="G38" s="2">
        <f>('1400'!G38/'1400'!G$115)*مجموع!$C$13</f>
        <v>836935.83531663544</v>
      </c>
      <c r="H38" s="2">
        <f>('1400'!H38/'1400'!H$115)*مجموع!$C$12</f>
        <v>909753.00515612902</v>
      </c>
      <c r="I38" s="2">
        <f>('1400'!I38/'1400'!I$115)*مجموع!$C$11</f>
        <v>831090.85265391297</v>
      </c>
      <c r="J38" s="2">
        <f>('1400'!J38/'1400'!J$115)*مجموع!$C$10</f>
        <v>980485.19569076924</v>
      </c>
      <c r="K38" s="2">
        <f>('1400'!K38/'1400'!K$115)*مجموع!$C$9</f>
        <v>1236525.5405243638</v>
      </c>
      <c r="L38" s="2">
        <f>('1400'!L38/'1400'!L$115)*مجموع!$C$8</f>
        <v>1116594.9948175438</v>
      </c>
      <c r="M38" s="2">
        <f>('1400'!M38/'1400'!M$115)*مجموع!$C$7</f>
        <v>1083946.97837699</v>
      </c>
      <c r="N38" s="2">
        <f>('1400'!N38/'1400'!N$115)*مجموع!$C$6</f>
        <v>1025836.1286709333</v>
      </c>
      <c r="O38" s="5">
        <v>100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0"/>
        <v>21625519.885634452</v>
      </c>
      <c r="C39" s="2">
        <f>('1400'!C39/'1400'!C$115)*مجموع!$C$17</f>
        <v>2062994.4906316658</v>
      </c>
      <c r="D39" s="2">
        <f>('1400'!D39/'1400'!D$115)*مجموع!$C$16</f>
        <v>2101182.4645426143</v>
      </c>
      <c r="E39" s="2">
        <f>('1400'!E39/'1400'!E$115)*مجموع!$C$15</f>
        <v>1702647.9322067923</v>
      </c>
      <c r="F39" s="2">
        <f>('1400'!F39/'1400'!F$115)*مجموع!$C$14</f>
        <v>1677328.3272203638</v>
      </c>
      <c r="G39" s="2">
        <f>('1400'!G39/'1400'!G$115)*مجموع!$C$13</f>
        <v>1673871.6706332709</v>
      </c>
      <c r="H39" s="2">
        <f>('1400'!H39/'1400'!H$115)*مجموع!$C$12</f>
        <v>1819506.010312258</v>
      </c>
      <c r="I39" s="2">
        <f>('1400'!I39/'1400'!I$115)*مجموع!$C$11</f>
        <v>1662181.7053078259</v>
      </c>
      <c r="J39" s="2">
        <f>('1400'!J39/'1400'!J$115)*مجموع!$C$10</f>
        <v>0</v>
      </c>
      <c r="K39" s="2">
        <f>('1400'!K39/'1400'!K$115)*مجموع!$C$9</f>
        <v>2473051.0810487275</v>
      </c>
      <c r="L39" s="2">
        <f>('1400'!L39/'1400'!L$115)*مجموع!$C$8</f>
        <v>2233189.9896350875</v>
      </c>
      <c r="M39" s="2">
        <f>('1400'!M39/'1400'!M$115)*مجموع!$C$7</f>
        <v>2167893.9567539799</v>
      </c>
      <c r="N39" s="2">
        <f>('1400'!N39/'1400'!N$115)*مجموع!$C$6</f>
        <v>2051672.2573418666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0"/>
        <v>11793245.138507996</v>
      </c>
      <c r="C40" s="2">
        <f>('1400'!C40/'1400'!C$115)*مجموع!$C$17</f>
        <v>1031497.2453158329</v>
      </c>
      <c r="D40" s="2">
        <f>('1400'!D40/'1400'!D$115)*مجموع!$C$16</f>
        <v>1050591.2322713071</v>
      </c>
      <c r="E40" s="2">
        <f>('1400'!E40/'1400'!E$115)*مجموع!$C$15</f>
        <v>851323.96610339615</v>
      </c>
      <c r="F40" s="2">
        <f>('1400'!F40/'1400'!F$115)*مجموع!$C$14</f>
        <v>838664.16361018189</v>
      </c>
      <c r="G40" s="2">
        <f>('1400'!G40/'1400'!G$115)*مجموع!$C$13</f>
        <v>836935.83531663544</v>
      </c>
      <c r="H40" s="2">
        <f>('1400'!H40/'1400'!H$115)*مجموع!$C$12</f>
        <v>909753.00515612902</v>
      </c>
      <c r="I40" s="2">
        <f>('1400'!I40/'1400'!I$115)*مجموع!$C$11</f>
        <v>831090.85265391297</v>
      </c>
      <c r="J40" s="2">
        <f>('1400'!J40/'1400'!J$115)*مجموع!$C$10</f>
        <v>980485.19569076924</v>
      </c>
      <c r="K40" s="2">
        <f>('1400'!K40/'1400'!K$115)*مجموع!$C$9</f>
        <v>1236525.5405243638</v>
      </c>
      <c r="L40" s="2">
        <f>('1400'!L40/'1400'!L$115)*مجموع!$C$8</f>
        <v>1116594.9948175438</v>
      </c>
      <c r="M40" s="2">
        <f>('1400'!M40/'1400'!M$115)*مجموع!$C$7</f>
        <v>1083946.97837699</v>
      </c>
      <c r="N40" s="2">
        <f>('1400'!N40/'1400'!N$115)*مجموع!$C$6</f>
        <v>1025836.1286709333</v>
      </c>
      <c r="O40" s="5">
        <v>100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0"/>
        <v>11643850.795471139</v>
      </c>
      <c r="C41" s="2">
        <f>('1400'!C41/'1400'!C$115)*مجموع!$C$17</f>
        <v>1031497.2453158329</v>
      </c>
      <c r="D41" s="2">
        <f>('1400'!D41/'1400'!D$115)*مجموع!$C$16</f>
        <v>1050591.2322713071</v>
      </c>
      <c r="E41" s="2">
        <f>('1400'!E41/'1400'!E$115)*مجموع!$C$15</f>
        <v>851323.96610339615</v>
      </c>
      <c r="F41" s="2">
        <f>('1400'!F41/'1400'!F$115)*مجموع!$C$14</f>
        <v>838664.16361018189</v>
      </c>
      <c r="G41" s="2">
        <f>('1400'!G41/'1400'!G$115)*مجموع!$C$13</f>
        <v>836935.83531663544</v>
      </c>
      <c r="H41" s="2">
        <f>('1400'!H41/'1400'!H$115)*مجموع!$C$12</f>
        <v>909753.00515612902</v>
      </c>
      <c r="I41" s="2">
        <f>('1400'!I41/'1400'!I$115)*مجموع!$C$11</f>
        <v>1662181.7053078259</v>
      </c>
      <c r="J41" s="2">
        <f>('1400'!J41/'1400'!J$115)*مجموع!$C$10</f>
        <v>0</v>
      </c>
      <c r="K41" s="2">
        <f>('1400'!K41/'1400'!K$115)*مجموع!$C$9</f>
        <v>1236525.5405243638</v>
      </c>
      <c r="L41" s="2">
        <f>('1400'!L41/'1400'!L$115)*مجموع!$C$8</f>
        <v>1116594.9948175438</v>
      </c>
      <c r="M41" s="2">
        <f>('1400'!M41/'1400'!M$115)*مجموع!$C$7</f>
        <v>1083946.97837699</v>
      </c>
      <c r="N41" s="2">
        <f>('1400'!N41/'1400'!N$115)*مجموع!$C$6</f>
        <v>1025836.1286709333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0"/>
        <v>5821925.3977355696</v>
      </c>
      <c r="C42" s="2">
        <f>('1400'!C42/'1400'!C$115)*مجموع!$C$17</f>
        <v>515748.62265791645</v>
      </c>
      <c r="D42" s="2">
        <f>('1400'!D42/'1400'!D$115)*مجموع!$C$16</f>
        <v>525295.61613565357</v>
      </c>
      <c r="E42" s="2">
        <f>('1400'!E42/'1400'!E$115)*مجموع!$C$15</f>
        <v>425661.98305169807</v>
      </c>
      <c r="F42" s="2">
        <f>('1400'!F42/'1400'!F$115)*مجموع!$C$14</f>
        <v>419332.08180509094</v>
      </c>
      <c r="G42" s="2">
        <f>('1400'!G42/'1400'!G$115)*مجموع!$C$13</f>
        <v>418467.91765831772</v>
      </c>
      <c r="H42" s="2">
        <f>('1400'!H42/'1400'!H$115)*مجموع!$C$12</f>
        <v>454876.50257806451</v>
      </c>
      <c r="I42" s="2">
        <f>('1400'!I42/'1400'!I$115)*مجموع!$C$11</f>
        <v>831090.85265391297</v>
      </c>
      <c r="J42" s="2">
        <f>('1400'!J42/'1400'!J$115)*مجموع!$C$10</f>
        <v>0</v>
      </c>
      <c r="K42" s="2">
        <f>('1400'!K42/'1400'!K$115)*مجموع!$C$9</f>
        <v>618262.77026218188</v>
      </c>
      <c r="L42" s="2">
        <f>('1400'!L42/'1400'!L$115)*مجموع!$C$8</f>
        <v>558297.49740877189</v>
      </c>
      <c r="M42" s="2">
        <f>('1400'!M42/'1400'!M$115)*مجموع!$C$7</f>
        <v>541973.48918849498</v>
      </c>
      <c r="N42" s="2">
        <f>('1400'!N42/'1400'!N$115)*مجموع!$C$6</f>
        <v>512918.06433546665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0"/>
        <v>5860213.9843342509</v>
      </c>
      <c r="C43" s="2">
        <f>('1400'!C43/'1400'!C$115)*مجموع!$C$17</f>
        <v>515748.62265791645</v>
      </c>
      <c r="D43" s="2">
        <f>('1400'!D43/'1400'!D$115)*مجموع!$C$16</f>
        <v>525295.61613565357</v>
      </c>
      <c r="E43" s="2">
        <f>('1400'!E43/'1400'!E$115)*مجموع!$C$15</f>
        <v>425661.98305169807</v>
      </c>
      <c r="F43" s="2">
        <f>('1400'!F43/'1400'!F$115)*مجموع!$C$14</f>
        <v>419332.08180509094</v>
      </c>
      <c r="G43" s="2">
        <f>('1400'!G43/'1400'!G$115)*مجموع!$C$13</f>
        <v>836935.83531663544</v>
      </c>
      <c r="H43" s="2">
        <f>('1400'!H43/'1400'!H$115)*مجموع!$C$12</f>
        <v>0</v>
      </c>
      <c r="I43" s="2">
        <f>('1400'!I43/'1400'!I$115)*مجموع!$C$11</f>
        <v>415545.42632695648</v>
      </c>
      <c r="J43" s="2">
        <f>('1400'!J43/'1400'!J$115)*مجموع!$C$10</f>
        <v>490242.59784538462</v>
      </c>
      <c r="K43" s="2">
        <f>('1400'!K43/'1400'!K$115)*مجموع!$C$9</f>
        <v>618262.77026218188</v>
      </c>
      <c r="L43" s="2">
        <f>('1400'!L43/'1400'!L$115)*مجموع!$C$8</f>
        <v>558297.49740877189</v>
      </c>
      <c r="M43" s="2">
        <f>('1400'!M43/'1400'!M$115)*مجموع!$C$7</f>
        <v>541973.48918849498</v>
      </c>
      <c r="N43" s="2">
        <f>('1400'!N43/'1400'!N$115)*مجموع!$C$6</f>
        <v>512918.06433546665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0"/>
        <v>9488359.6527162995</v>
      </c>
      <c r="C44" s="2">
        <f>('1400'!C44/'1400'!C$115)*مجموع!$C$17</f>
        <v>1031497.2453158329</v>
      </c>
      <c r="D44" s="2">
        <f>('1400'!D44/'1400'!D$115)*مجموع!$C$16</f>
        <v>1050591.2322713071</v>
      </c>
      <c r="E44" s="2">
        <f>('1400'!E44/'1400'!E$115)*مجموع!$C$15</f>
        <v>851323.96610339615</v>
      </c>
      <c r="F44" s="2">
        <f>('1400'!F44/'1400'!F$115)*مجموع!$C$14</f>
        <v>419332.08180509094</v>
      </c>
      <c r="G44" s="2">
        <f>('1400'!G44/'1400'!G$115)*مجموع!$C$13</f>
        <v>836935.83531663544</v>
      </c>
      <c r="H44" s="2">
        <f>('1400'!H44/'1400'!H$115)*مجموع!$C$12</f>
        <v>909753.00515612902</v>
      </c>
      <c r="I44" s="2">
        <f>('1400'!I44/'1400'!I$115)*مجموع!$C$11</f>
        <v>831090.85265391297</v>
      </c>
      <c r="J44" s="2">
        <f>('1400'!J44/'1400'!J$115)*مجموع!$C$10</f>
        <v>1960970.3913815385</v>
      </c>
      <c r="K44" s="2">
        <f>('1400'!K44/'1400'!K$115)*مجموع!$C$9</f>
        <v>0</v>
      </c>
      <c r="L44" s="2">
        <f>('1400'!L44/'1400'!L$115)*مجموع!$C$8</f>
        <v>0</v>
      </c>
      <c r="M44" s="2">
        <f>('1400'!M44/'1400'!M$115)*مجموع!$C$7</f>
        <v>1083946.97837699</v>
      </c>
      <c r="N44" s="2">
        <f>('1400'!N44/'1400'!N$115)*مجموع!$C$6</f>
        <v>512918.06433546665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0"/>
        <v>4078650.4510768712</v>
      </c>
      <c r="C45" s="2">
        <f>('1400'!C45/'1400'!C$115)*مجموع!$C$17</f>
        <v>515748.62265791645</v>
      </c>
      <c r="D45" s="2">
        <f>('1400'!D45/'1400'!D$115)*مجموع!$C$16</f>
        <v>0</v>
      </c>
      <c r="E45" s="2">
        <f>('1400'!E45/'1400'!E$115)*مجموع!$C$15</f>
        <v>425661.98305169807</v>
      </c>
      <c r="F45" s="2">
        <f>('1400'!F45/'1400'!F$115)*مجموع!$C$14</f>
        <v>0</v>
      </c>
      <c r="G45" s="2">
        <f>('1400'!G45/'1400'!G$115)*مجموع!$C$13</f>
        <v>0</v>
      </c>
      <c r="H45" s="2">
        <f>('1400'!H45/'1400'!H$115)*مجموع!$C$12</f>
        <v>0</v>
      </c>
      <c r="I45" s="2">
        <f>('1400'!I45/'1400'!I$115)*مجموع!$C$11</f>
        <v>415545.42632695648</v>
      </c>
      <c r="J45" s="2">
        <f>('1400'!J45/'1400'!J$115)*مجموع!$C$10</f>
        <v>490242.59784538462</v>
      </c>
      <c r="K45" s="2">
        <f>('1400'!K45/'1400'!K$115)*مجموع!$C$9</f>
        <v>618262.77026218188</v>
      </c>
      <c r="L45" s="2">
        <f>('1400'!L45/'1400'!L$115)*مجموع!$C$8</f>
        <v>558297.49740877189</v>
      </c>
      <c r="M45" s="2">
        <f>('1400'!M45/'1400'!M$115)*مجموع!$C$7</f>
        <v>541973.48918849498</v>
      </c>
      <c r="N45" s="2">
        <f>('1400'!N45/'1400'!N$115)*مجموع!$C$6</f>
        <v>512918.06433546665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0"/>
        <v>0</v>
      </c>
      <c r="C46" s="2">
        <f>('1400'!C46/'1400'!C$115)*مجموع!$C$17</f>
        <v>0</v>
      </c>
      <c r="D46" s="2">
        <f>('1400'!D46/'1400'!D$115)*مجموع!$C$16</f>
        <v>0</v>
      </c>
      <c r="E46" s="2">
        <f>('1400'!E46/'1400'!E$115)*مجموع!$C$15</f>
        <v>0</v>
      </c>
      <c r="F46" s="2">
        <f>('1400'!F46/'1400'!F$115)*مجموع!$C$14</f>
        <v>0</v>
      </c>
      <c r="G46" s="2">
        <f>('1400'!G46/'1400'!G$115)*مجموع!$C$13</f>
        <v>0</v>
      </c>
      <c r="H46" s="2">
        <f>('1400'!H46/'1400'!H$115)*مجموع!$C$12</f>
        <v>0</v>
      </c>
      <c r="I46" s="2">
        <f>('1400'!I46/'1400'!I$115)*مجموع!$C$11</f>
        <v>0</v>
      </c>
      <c r="J46" s="2">
        <f>('1400'!J46/'1400'!J$115)*مجموع!$C$10</f>
        <v>0</v>
      </c>
      <c r="K46" s="2">
        <f>('1400'!K46/'1400'!K$115)*مجموع!$C$9</f>
        <v>0</v>
      </c>
      <c r="L46" s="2">
        <f>('1400'!L46/'1400'!L$115)*مجموع!$C$8</f>
        <v>0</v>
      </c>
      <c r="M46" s="2">
        <f>('1400'!M46/'1400'!M$115)*مجموع!$C$7</f>
        <v>0</v>
      </c>
      <c r="N46" s="2">
        <f>('1400'!N46/'1400'!N$115)*مجموع!$C$6</f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0"/>
        <v>11793245.138507996</v>
      </c>
      <c r="C47" s="2">
        <f>('1400'!C47/'1400'!C$115)*مجموع!$C$17</f>
        <v>1031497.2453158329</v>
      </c>
      <c r="D47" s="2">
        <f>('1400'!D47/'1400'!D$115)*مجموع!$C$16</f>
        <v>1050591.2322713071</v>
      </c>
      <c r="E47" s="2">
        <f>('1400'!E47/'1400'!E$115)*مجموع!$C$15</f>
        <v>851323.96610339615</v>
      </c>
      <c r="F47" s="2">
        <f>('1400'!F47/'1400'!F$115)*مجموع!$C$14</f>
        <v>838664.16361018189</v>
      </c>
      <c r="G47" s="2">
        <f>('1400'!G47/'1400'!G$115)*مجموع!$C$13</f>
        <v>836935.83531663544</v>
      </c>
      <c r="H47" s="2">
        <f>('1400'!H47/'1400'!H$115)*مجموع!$C$12</f>
        <v>909753.00515612902</v>
      </c>
      <c r="I47" s="2">
        <f>('1400'!I47/'1400'!I$115)*مجموع!$C$11</f>
        <v>831090.85265391297</v>
      </c>
      <c r="J47" s="2">
        <f>('1400'!J47/'1400'!J$115)*مجموع!$C$10</f>
        <v>980485.19569076924</v>
      </c>
      <c r="K47" s="2">
        <f>('1400'!K47/'1400'!K$115)*مجموع!$C$9</f>
        <v>1236525.5405243638</v>
      </c>
      <c r="L47" s="2">
        <f>('1400'!L47/'1400'!L$115)*مجموع!$C$8</f>
        <v>1116594.9948175438</v>
      </c>
      <c r="M47" s="2">
        <f>('1400'!M47/'1400'!M$115)*مجموع!$C$7</f>
        <v>1083946.97837699</v>
      </c>
      <c r="N47" s="2">
        <f>('1400'!N47/'1400'!N$115)*مجموع!$C$6</f>
        <v>1025836.1286709333</v>
      </c>
      <c r="O47" s="5">
        <v>100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0"/>
        <v>11793245.138507996</v>
      </c>
      <c r="C48" s="2">
        <f>('1400'!C48/'1400'!C$115)*مجموع!$C$17</f>
        <v>1031497.2453158329</v>
      </c>
      <c r="D48" s="2">
        <f>('1400'!D48/'1400'!D$115)*مجموع!$C$16</f>
        <v>1050591.2322713071</v>
      </c>
      <c r="E48" s="2">
        <f>('1400'!E48/'1400'!E$115)*مجموع!$C$15</f>
        <v>851323.96610339615</v>
      </c>
      <c r="F48" s="2">
        <f>('1400'!F48/'1400'!F$115)*مجموع!$C$14</f>
        <v>838664.16361018189</v>
      </c>
      <c r="G48" s="2">
        <f>('1400'!G48/'1400'!G$115)*مجموع!$C$13</f>
        <v>836935.83531663544</v>
      </c>
      <c r="H48" s="2">
        <f>('1400'!H48/'1400'!H$115)*مجموع!$C$12</f>
        <v>909753.00515612902</v>
      </c>
      <c r="I48" s="2">
        <f>('1400'!I48/'1400'!I$115)*مجموع!$C$11</f>
        <v>831090.85265391297</v>
      </c>
      <c r="J48" s="2">
        <f>('1400'!J48/'1400'!J$115)*مجموع!$C$10</f>
        <v>980485.19569076924</v>
      </c>
      <c r="K48" s="2">
        <f>('1400'!K48/'1400'!K$115)*مجموع!$C$9</f>
        <v>1236525.5405243638</v>
      </c>
      <c r="L48" s="2">
        <f>('1400'!L48/'1400'!L$115)*مجموع!$C$8</f>
        <v>1116594.9948175438</v>
      </c>
      <c r="M48" s="2">
        <f>('1400'!M48/'1400'!M$115)*مجموع!$C$7</f>
        <v>1083946.97837699</v>
      </c>
      <c r="N48" s="2">
        <f>('1400'!N48/'1400'!N$115)*مجموع!$C$6</f>
        <v>1025836.1286709333</v>
      </c>
      <c r="O48" s="5">
        <v>100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0"/>
        <v>3437067.5137188975</v>
      </c>
      <c r="C49" s="2">
        <f>('1400'!C49/'1400'!C$115)*مجموع!$C$17</f>
        <v>0</v>
      </c>
      <c r="D49" s="2">
        <f>('1400'!D49/'1400'!D$115)*مجموع!$C$16</f>
        <v>0</v>
      </c>
      <c r="E49" s="2">
        <f>('1400'!E49/'1400'!E$115)*مجموع!$C$15</f>
        <v>0</v>
      </c>
      <c r="F49" s="2">
        <f>('1400'!F49/'1400'!F$115)*مجموع!$C$14</f>
        <v>0</v>
      </c>
      <c r="G49" s="2">
        <f>('1400'!G49/'1400'!G$115)*مجموع!$C$13</f>
        <v>0</v>
      </c>
      <c r="H49" s="2">
        <f>('1400'!H49/'1400'!H$115)*مجموع!$C$12</f>
        <v>0</v>
      </c>
      <c r="I49" s="2">
        <f>('1400'!I49/'1400'!I$115)*مجموع!$C$11</f>
        <v>0</v>
      </c>
      <c r="J49" s="2">
        <f>('1400'!J49/'1400'!J$115)*مجموع!$C$10</f>
        <v>0</v>
      </c>
      <c r="K49" s="2">
        <f>('1400'!K49/'1400'!K$115)*مجموع!$C$9</f>
        <v>1236525.5405243638</v>
      </c>
      <c r="L49" s="2">
        <f>('1400'!L49/'1400'!L$115)*مجموع!$C$8</f>
        <v>1116594.9948175438</v>
      </c>
      <c r="M49" s="2">
        <f>('1400'!M49/'1400'!M$115)*مجموع!$C$7</f>
        <v>1083946.97837699</v>
      </c>
      <c r="N49" s="2">
        <f>('1400'!N49/'1400'!N$115)*مجموع!$C$6</f>
        <v>0</v>
      </c>
      <c r="O49" s="5">
        <v>0</v>
      </c>
      <c r="P49" s="1" t="s">
        <v>86</v>
      </c>
      <c r="Q49" s="1">
        <v>1037</v>
      </c>
      <c r="R49" s="1"/>
      <c r="S49" s="1">
        <f t="shared" ref="S49:S107" si="1">S48+1</f>
        <v>46</v>
      </c>
    </row>
    <row r="50" spans="1:19" ht="22.2" x14ac:dyDescent="0.3">
      <c r="A50" s="1"/>
      <c r="B50" s="7">
        <f t="shared" si="0"/>
        <v>3437067.5137188975</v>
      </c>
      <c r="C50" s="2">
        <f>('1400'!C50/'1400'!C$115)*مجموع!$C$17</f>
        <v>0</v>
      </c>
      <c r="D50" s="2">
        <f>('1400'!D50/'1400'!D$115)*مجموع!$C$16</f>
        <v>0</v>
      </c>
      <c r="E50" s="2">
        <f>('1400'!E50/'1400'!E$115)*مجموع!$C$15</f>
        <v>0</v>
      </c>
      <c r="F50" s="2">
        <f>('1400'!F50/'1400'!F$115)*مجموع!$C$14</f>
        <v>0</v>
      </c>
      <c r="G50" s="2">
        <f>('1400'!G50/'1400'!G$115)*مجموع!$C$13</f>
        <v>0</v>
      </c>
      <c r="H50" s="2">
        <f>('1400'!H50/'1400'!H$115)*مجموع!$C$12</f>
        <v>0</v>
      </c>
      <c r="I50" s="2">
        <f>('1400'!I50/'1400'!I$115)*مجموع!$C$11</f>
        <v>0</v>
      </c>
      <c r="J50" s="2">
        <f>('1400'!J50/'1400'!J$115)*مجموع!$C$10</f>
        <v>0</v>
      </c>
      <c r="K50" s="2">
        <f>('1400'!K50/'1400'!K$115)*مجموع!$C$9</f>
        <v>1236525.5405243638</v>
      </c>
      <c r="L50" s="2">
        <f>('1400'!L50/'1400'!L$115)*مجموع!$C$8</f>
        <v>1116594.9948175438</v>
      </c>
      <c r="M50" s="2">
        <f>('1400'!M50/'1400'!M$115)*مجموع!$C$7</f>
        <v>1083946.97837699</v>
      </c>
      <c r="N50" s="2">
        <f>('1400'!N50/'1400'!N$115)*مجموع!$C$6</f>
        <v>0</v>
      </c>
      <c r="O50" s="5">
        <v>0</v>
      </c>
      <c r="P50" s="1" t="s">
        <v>87</v>
      </c>
      <c r="Q50" s="1">
        <v>1081</v>
      </c>
      <c r="R50" s="1"/>
      <c r="S50" s="1">
        <f t="shared" si="1"/>
        <v>47</v>
      </c>
    </row>
    <row r="51" spans="1:19" ht="22.2" x14ac:dyDescent="0.3">
      <c r="A51" s="1"/>
      <c r="B51" s="7">
        <f t="shared" si="0"/>
        <v>5383704.5049185315</v>
      </c>
      <c r="C51" s="2">
        <f>('1400'!C51/'1400'!C$115)*مجموع!$C$17</f>
        <v>515748.62265791645</v>
      </c>
      <c r="D51" s="2">
        <f>('1400'!D51/'1400'!D$115)*مجموع!$C$16</f>
        <v>525295.61613565357</v>
      </c>
      <c r="E51" s="2">
        <f>('1400'!E51/'1400'!E$115)*مجموع!$C$15</f>
        <v>425661.98305169807</v>
      </c>
      <c r="F51" s="2">
        <f>('1400'!F51/'1400'!F$115)*مجموع!$C$14</f>
        <v>419332.08180509094</v>
      </c>
      <c r="G51" s="2">
        <f>('1400'!G51/'1400'!G$115)*مجموع!$C$13</f>
        <v>418467.91765831772</v>
      </c>
      <c r="H51" s="2">
        <f>('1400'!H51/'1400'!H$115)*مجموع!$C$12</f>
        <v>454876.50257806451</v>
      </c>
      <c r="I51" s="2">
        <f>('1400'!I51/'1400'!I$115)*مجموع!$C$11</f>
        <v>415545.42632695648</v>
      </c>
      <c r="J51" s="2">
        <f>('1400'!J51/'1400'!J$115)*مجموع!$C$10</f>
        <v>490242.59784538462</v>
      </c>
      <c r="K51" s="2">
        <f>('1400'!K51/'1400'!K$115)*مجموع!$C$9</f>
        <v>618262.77026218188</v>
      </c>
      <c r="L51" s="2">
        <f>('1400'!L51/'1400'!L$115)*مجموع!$C$8</f>
        <v>558297.49740877189</v>
      </c>
      <c r="M51" s="2">
        <f>('1400'!M51/'1400'!M$115)*مجموع!$C$7</f>
        <v>541973.48918849498</v>
      </c>
      <c r="N51" s="2">
        <f>('1400'!N51/'1400'!N$115)*مجموع!$C$6</f>
        <v>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1"/>
        <v>48</v>
      </c>
    </row>
    <row r="52" spans="1:19" ht="22.2" x14ac:dyDescent="0.3">
      <c r="A52" s="1"/>
      <c r="B52" s="7">
        <f t="shared" si="0"/>
        <v>5383704.5049185315</v>
      </c>
      <c r="C52" s="2">
        <f>('1400'!C52/'1400'!C$115)*مجموع!$C$17</f>
        <v>515748.62265791645</v>
      </c>
      <c r="D52" s="2">
        <f>('1400'!D52/'1400'!D$115)*مجموع!$C$16</f>
        <v>525295.61613565357</v>
      </c>
      <c r="E52" s="2">
        <f>('1400'!E52/'1400'!E$115)*مجموع!$C$15</f>
        <v>425661.98305169807</v>
      </c>
      <c r="F52" s="2">
        <f>('1400'!F52/'1400'!F$115)*مجموع!$C$14</f>
        <v>419332.08180509094</v>
      </c>
      <c r="G52" s="2">
        <f>('1400'!G52/'1400'!G$115)*مجموع!$C$13</f>
        <v>418467.91765831772</v>
      </c>
      <c r="H52" s="2">
        <f>('1400'!H52/'1400'!H$115)*مجموع!$C$12</f>
        <v>454876.50257806451</v>
      </c>
      <c r="I52" s="2">
        <f>('1400'!I52/'1400'!I$115)*مجموع!$C$11</f>
        <v>415545.42632695648</v>
      </c>
      <c r="J52" s="2">
        <f>('1400'!J52/'1400'!J$115)*مجموع!$C$10</f>
        <v>490242.59784538462</v>
      </c>
      <c r="K52" s="2">
        <f>('1400'!K52/'1400'!K$115)*مجموع!$C$9</f>
        <v>618262.77026218188</v>
      </c>
      <c r="L52" s="2">
        <f>('1400'!L52/'1400'!L$115)*مجموع!$C$8</f>
        <v>558297.49740877189</v>
      </c>
      <c r="M52" s="2">
        <f>('1400'!M52/'1400'!M$115)*مجموع!$C$7</f>
        <v>541973.48918849498</v>
      </c>
      <c r="N52" s="2">
        <f>('1400'!N52/'1400'!N$115)*مجموع!$C$6</f>
        <v>0</v>
      </c>
      <c r="O52" s="5">
        <v>50</v>
      </c>
      <c r="P52" s="1" t="s">
        <v>89</v>
      </c>
      <c r="Q52" s="1">
        <v>1082</v>
      </c>
      <c r="R52" s="1" t="s">
        <v>93</v>
      </c>
      <c r="S52" s="1">
        <f t="shared" si="1"/>
        <v>49</v>
      </c>
    </row>
    <row r="53" spans="1:19" ht="22.2" x14ac:dyDescent="0.3">
      <c r="A53" s="1"/>
      <c r="B53" s="7">
        <f t="shared" si="0"/>
        <v>5383704.5049185315</v>
      </c>
      <c r="C53" s="2">
        <f>('1400'!C53/'1400'!C$115)*مجموع!$C$17</f>
        <v>515748.62265791645</v>
      </c>
      <c r="D53" s="2">
        <f>('1400'!D53/'1400'!D$115)*مجموع!$C$16</f>
        <v>525295.61613565357</v>
      </c>
      <c r="E53" s="2">
        <f>('1400'!E53/'1400'!E$115)*مجموع!$C$15</f>
        <v>425661.98305169807</v>
      </c>
      <c r="F53" s="2">
        <f>('1400'!F53/'1400'!F$115)*مجموع!$C$14</f>
        <v>419332.08180509094</v>
      </c>
      <c r="G53" s="2">
        <f>('1400'!G53/'1400'!G$115)*مجموع!$C$13</f>
        <v>418467.91765831772</v>
      </c>
      <c r="H53" s="2">
        <f>('1400'!H53/'1400'!H$115)*مجموع!$C$12</f>
        <v>454876.50257806451</v>
      </c>
      <c r="I53" s="2">
        <f>('1400'!I53/'1400'!I$115)*مجموع!$C$11</f>
        <v>415545.42632695648</v>
      </c>
      <c r="J53" s="2">
        <f>('1400'!J53/'1400'!J$115)*مجموع!$C$10</f>
        <v>490242.59784538462</v>
      </c>
      <c r="K53" s="2">
        <f>('1400'!K53/'1400'!K$115)*مجموع!$C$9</f>
        <v>618262.77026218188</v>
      </c>
      <c r="L53" s="2">
        <f>('1400'!L53/'1400'!L$115)*مجموع!$C$8</f>
        <v>558297.49740877189</v>
      </c>
      <c r="M53" s="2">
        <f>('1400'!M53/'1400'!M$115)*مجموع!$C$7</f>
        <v>541973.48918849498</v>
      </c>
      <c r="N53" s="2">
        <f>('1400'!N53/'1400'!N$115)*مجموع!$C$6</f>
        <v>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1"/>
        <v>50</v>
      </c>
    </row>
    <row r="54" spans="1:19" ht="22.2" x14ac:dyDescent="0.3">
      <c r="A54" s="1"/>
      <c r="B54" s="7">
        <f t="shared" si="0"/>
        <v>3174928.1502136979</v>
      </c>
      <c r="C54" s="2">
        <f>('1400'!C54/'1400'!C$115)*مجموع!$C$17</f>
        <v>515748.62265791645</v>
      </c>
      <c r="D54" s="2">
        <f>('1400'!D54/'1400'!D$115)*مجموع!$C$16</f>
        <v>525295.61613565357</v>
      </c>
      <c r="E54" s="2">
        <f>('1400'!E54/'1400'!E$115)*مجموع!$C$15</f>
        <v>425661.98305169807</v>
      </c>
      <c r="F54" s="2">
        <f>('1400'!F54/'1400'!F$115)*مجموع!$C$14</f>
        <v>419332.08180509094</v>
      </c>
      <c r="G54" s="2">
        <f>('1400'!G54/'1400'!G$115)*مجموع!$C$13</f>
        <v>418467.91765831772</v>
      </c>
      <c r="H54" s="2">
        <f>('1400'!H54/'1400'!H$115)*مجموع!$C$12</f>
        <v>454876.50257806451</v>
      </c>
      <c r="I54" s="2">
        <f>('1400'!I54/'1400'!I$115)*مجموع!$C$11</f>
        <v>415545.42632695648</v>
      </c>
      <c r="J54" s="2">
        <f>('1400'!J54/'1400'!J$115)*مجموع!$C$10</f>
        <v>0</v>
      </c>
      <c r="K54" s="2">
        <f>('1400'!K54/'1400'!K$115)*مجموع!$C$9</f>
        <v>0</v>
      </c>
      <c r="L54" s="2">
        <f>('1400'!L54/'1400'!L$115)*مجموع!$C$8</f>
        <v>0</v>
      </c>
      <c r="M54" s="2">
        <f>('1400'!M54/'1400'!M$115)*مجموع!$C$7</f>
        <v>0</v>
      </c>
      <c r="N54" s="2">
        <f>('1400'!N54/'1400'!N$115)*مجموع!$C$6</f>
        <v>0</v>
      </c>
      <c r="O54" s="5">
        <v>50</v>
      </c>
      <c r="P54" s="1" t="s">
        <v>112</v>
      </c>
      <c r="Q54" s="1">
        <v>1102</v>
      </c>
      <c r="R54" s="1"/>
      <c r="S54" s="1">
        <f t="shared" si="1"/>
        <v>51</v>
      </c>
    </row>
    <row r="55" spans="1:19" ht="22.2" x14ac:dyDescent="0.3">
      <c r="A55" s="1"/>
      <c r="B55" s="7">
        <f t="shared" si="0"/>
        <v>5383704.5049185315</v>
      </c>
      <c r="C55" s="2">
        <f>('1400'!C55/'1400'!C$115)*مجموع!$C$17</f>
        <v>515748.62265791645</v>
      </c>
      <c r="D55" s="2">
        <f>('1400'!D55/'1400'!D$115)*مجموع!$C$16</f>
        <v>525295.61613565357</v>
      </c>
      <c r="E55" s="2">
        <f>('1400'!E55/'1400'!E$115)*مجموع!$C$15</f>
        <v>425661.98305169807</v>
      </c>
      <c r="F55" s="2">
        <f>('1400'!F55/'1400'!F$115)*مجموع!$C$14</f>
        <v>419332.08180509094</v>
      </c>
      <c r="G55" s="2">
        <f>('1400'!G55/'1400'!G$115)*مجموع!$C$13</f>
        <v>418467.91765831772</v>
      </c>
      <c r="H55" s="2">
        <f>('1400'!H55/'1400'!H$115)*مجموع!$C$12</f>
        <v>454876.50257806451</v>
      </c>
      <c r="I55" s="2">
        <f>('1400'!I55/'1400'!I$115)*مجموع!$C$11</f>
        <v>415545.42632695648</v>
      </c>
      <c r="J55" s="2">
        <f>('1400'!J55/'1400'!J$115)*مجموع!$C$10</f>
        <v>490242.59784538462</v>
      </c>
      <c r="K55" s="2">
        <f>('1400'!K55/'1400'!K$115)*مجموع!$C$9</f>
        <v>618262.77026218188</v>
      </c>
      <c r="L55" s="2">
        <f>('1400'!L55/'1400'!L$115)*مجموع!$C$8</f>
        <v>558297.49740877189</v>
      </c>
      <c r="M55" s="2">
        <f>('1400'!M55/'1400'!M$115)*مجموع!$C$7</f>
        <v>541973.48918849498</v>
      </c>
      <c r="N55" s="2">
        <f>('1400'!N55/'1400'!N$115)*مجموع!$C$6</f>
        <v>0</v>
      </c>
      <c r="O55" s="5">
        <v>50</v>
      </c>
      <c r="P55" s="1" t="s">
        <v>97</v>
      </c>
      <c r="Q55" s="1">
        <v>1016</v>
      </c>
      <c r="R55" s="1"/>
      <c r="S55" s="1">
        <f t="shared" si="1"/>
        <v>52</v>
      </c>
    </row>
    <row r="56" spans="1:19" ht="22.2" x14ac:dyDescent="0.3">
      <c r="A56" s="1"/>
      <c r="B56" s="7">
        <f t="shared" si="0"/>
        <v>5896622.5692539979</v>
      </c>
      <c r="C56" s="2">
        <f>('1400'!C56/'1400'!C$115)*مجموع!$C$17</f>
        <v>515748.62265791645</v>
      </c>
      <c r="D56" s="2">
        <f>('1400'!D56/'1400'!D$115)*مجموع!$C$16</f>
        <v>525295.61613565357</v>
      </c>
      <c r="E56" s="2">
        <f>('1400'!E56/'1400'!E$115)*مجموع!$C$15</f>
        <v>425661.98305169807</v>
      </c>
      <c r="F56" s="2">
        <f>('1400'!F56/'1400'!F$115)*مجموع!$C$14</f>
        <v>419332.08180509094</v>
      </c>
      <c r="G56" s="2">
        <f>('1400'!G56/'1400'!G$115)*مجموع!$C$13</f>
        <v>418467.91765831772</v>
      </c>
      <c r="H56" s="2">
        <f>('1400'!H56/'1400'!H$115)*مجموع!$C$12</f>
        <v>454876.50257806451</v>
      </c>
      <c r="I56" s="2">
        <f>('1400'!I56/'1400'!I$115)*مجموع!$C$11</f>
        <v>415545.42632695648</v>
      </c>
      <c r="J56" s="2">
        <f>('1400'!J56/'1400'!J$115)*مجموع!$C$10</f>
        <v>490242.59784538462</v>
      </c>
      <c r="K56" s="2">
        <f>('1400'!K56/'1400'!K$115)*مجموع!$C$9</f>
        <v>618262.77026218188</v>
      </c>
      <c r="L56" s="2">
        <f>('1400'!L56/'1400'!L$115)*مجموع!$C$8</f>
        <v>558297.49740877189</v>
      </c>
      <c r="M56" s="2">
        <f>('1400'!M56/'1400'!M$115)*مجموع!$C$7</f>
        <v>541973.48918849498</v>
      </c>
      <c r="N56" s="2">
        <f>('1400'!N56/'1400'!N$115)*مجموع!$C$6</f>
        <v>512918.06433546665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1"/>
        <v>53</v>
      </c>
    </row>
    <row r="57" spans="1:19" ht="22.2" x14ac:dyDescent="0.3">
      <c r="A57" s="1"/>
      <c r="B57" s="7">
        <f t="shared" si="0"/>
        <v>5896622.5692539979</v>
      </c>
      <c r="C57" s="2">
        <f>('1400'!C57/'1400'!C$115)*مجموع!$C$17</f>
        <v>515748.62265791645</v>
      </c>
      <c r="D57" s="2">
        <f>('1400'!D57/'1400'!D$115)*مجموع!$C$16</f>
        <v>525295.61613565357</v>
      </c>
      <c r="E57" s="2">
        <f>('1400'!E57/'1400'!E$115)*مجموع!$C$15</f>
        <v>425661.98305169807</v>
      </c>
      <c r="F57" s="2">
        <f>('1400'!F57/'1400'!F$115)*مجموع!$C$14</f>
        <v>419332.08180509094</v>
      </c>
      <c r="G57" s="2">
        <f>('1400'!G57/'1400'!G$115)*مجموع!$C$13</f>
        <v>418467.91765831772</v>
      </c>
      <c r="H57" s="2">
        <f>('1400'!H57/'1400'!H$115)*مجموع!$C$12</f>
        <v>454876.50257806451</v>
      </c>
      <c r="I57" s="2">
        <f>('1400'!I57/'1400'!I$115)*مجموع!$C$11</f>
        <v>415545.42632695648</v>
      </c>
      <c r="J57" s="2">
        <f>('1400'!J57/'1400'!J$115)*مجموع!$C$10</f>
        <v>490242.59784538462</v>
      </c>
      <c r="K57" s="2">
        <f>('1400'!K57/'1400'!K$115)*مجموع!$C$9</f>
        <v>618262.77026218188</v>
      </c>
      <c r="L57" s="2">
        <f>('1400'!L57/'1400'!L$115)*مجموع!$C$8</f>
        <v>558297.49740877189</v>
      </c>
      <c r="M57" s="2">
        <f>('1400'!M57/'1400'!M$115)*مجموع!$C$7</f>
        <v>541973.48918849498</v>
      </c>
      <c r="N57" s="2">
        <f>('1400'!N57/'1400'!N$115)*مجموع!$C$6</f>
        <v>512918.06433546665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1"/>
        <v>54</v>
      </c>
    </row>
    <row r="58" spans="1:19" ht="22.2" x14ac:dyDescent="0.3">
      <c r="A58" s="1"/>
      <c r="B58" s="7">
        <f t="shared" si="0"/>
        <v>7073386.7968973657</v>
      </c>
      <c r="C58" s="2">
        <f>('1400'!C58/'1400'!C$115)*مجموع!$C$17</f>
        <v>515748.62265791645</v>
      </c>
      <c r="D58" s="2">
        <f>('1400'!D58/'1400'!D$115)*مجموع!$C$16</f>
        <v>525295.61613565357</v>
      </c>
      <c r="E58" s="2">
        <f>('1400'!E58/'1400'!E$115)*مجموع!$C$15</f>
        <v>425661.98305169807</v>
      </c>
      <c r="F58" s="2">
        <f>('1400'!F58/'1400'!F$115)*مجموع!$C$14</f>
        <v>419332.08180509094</v>
      </c>
      <c r="G58" s="2">
        <f>('1400'!G58/'1400'!G$115)*مجموع!$C$13</f>
        <v>0</v>
      </c>
      <c r="H58" s="2">
        <f>('1400'!H58/'1400'!H$115)*مجموع!$C$12</f>
        <v>0</v>
      </c>
      <c r="I58" s="2">
        <f>('1400'!I58/'1400'!I$115)*مجموع!$C$11</f>
        <v>0</v>
      </c>
      <c r="J58" s="2">
        <f>('1400'!J58/'1400'!J$115)*مجموع!$C$10</f>
        <v>1960970.3913815385</v>
      </c>
      <c r="K58" s="2">
        <f>('1400'!K58/'1400'!K$115)*مجموع!$C$9</f>
        <v>0</v>
      </c>
      <c r="L58" s="2">
        <f>('1400'!L58/'1400'!L$115)*مجموع!$C$8</f>
        <v>1116594.9948175438</v>
      </c>
      <c r="M58" s="2">
        <f>('1400'!M58/'1400'!M$115)*مجموع!$C$7</f>
        <v>1083946.97837699</v>
      </c>
      <c r="N58" s="2">
        <f>('1400'!N58/'1400'!N$115)*مجموع!$C$6</f>
        <v>1025836.1286709333</v>
      </c>
      <c r="O58" s="5">
        <v>0</v>
      </c>
      <c r="P58" s="1" t="s">
        <v>43</v>
      </c>
      <c r="Q58" s="1">
        <v>1038</v>
      </c>
      <c r="R58" s="1" t="s">
        <v>93</v>
      </c>
      <c r="S58" s="1">
        <f t="shared" si="1"/>
        <v>55</v>
      </c>
    </row>
    <row r="59" spans="1:19" ht="22.2" x14ac:dyDescent="0.3">
      <c r="A59" s="1"/>
      <c r="B59" s="7">
        <f t="shared" si="0"/>
        <v>67165926.326032892</v>
      </c>
      <c r="C59" s="2">
        <f>('1400'!C59/'1400'!C$115)*مجموع!$C$17</f>
        <v>6446857.7832239559</v>
      </c>
      <c r="D59" s="2">
        <f>('1400'!D59/'1400'!D$115)*مجموع!$C$16</f>
        <v>5515603.9694243623</v>
      </c>
      <c r="E59" s="2">
        <f>('1400'!E59/'1400'!E$115)*مجموع!$C$15</f>
        <v>3618126.8559394334</v>
      </c>
      <c r="F59" s="2">
        <f>('1400'!F59/'1400'!F$115)*مجموع!$C$14</f>
        <v>6499647.2679789094</v>
      </c>
      <c r="G59" s="2">
        <f>('1400'!G59/'1400'!G$115)*مجموع!$C$13</f>
        <v>4728687.4695389904</v>
      </c>
      <c r="H59" s="2">
        <f>('1400'!H59/'1400'!H$115)*مجموع!$C$12</f>
        <v>5913394.5335148387</v>
      </c>
      <c r="I59" s="2">
        <f>('1400'!I59/'1400'!I$115)*مجموع!$C$11</f>
        <v>4986545.1159234773</v>
      </c>
      <c r="J59" s="2">
        <f>('1400'!J59/'1400'!J$115)*مجموع!$C$10</f>
        <v>6863396.3698353833</v>
      </c>
      <c r="K59" s="2">
        <f>('1400'!K59/'1400'!K$115)*مجموع!$C$9</f>
        <v>6182627.7026218195</v>
      </c>
      <c r="L59" s="2">
        <f>('1400'!L59/'1400'!L$115)*مجموع!$C$8</f>
        <v>5862123.7227921048</v>
      </c>
      <c r="M59" s="2">
        <f>('1400'!M59/'1400'!M$115)*مجموع!$C$7</f>
        <v>5419734.89188495</v>
      </c>
      <c r="N59" s="2">
        <f>('1400'!N59/'1400'!N$115)*مجموع!$C$6</f>
        <v>5129180.6433546664</v>
      </c>
      <c r="O59" s="5">
        <v>500</v>
      </c>
      <c r="P59" s="1" t="s">
        <v>0</v>
      </c>
      <c r="Q59" s="1">
        <v>1049</v>
      </c>
      <c r="R59" s="1" t="s">
        <v>93</v>
      </c>
      <c r="S59" s="1">
        <f t="shared" si="1"/>
        <v>56</v>
      </c>
    </row>
    <row r="60" spans="1:19" ht="22.2" x14ac:dyDescent="0.3">
      <c r="A60" s="1"/>
      <c r="B60" s="7">
        <f t="shared" si="0"/>
        <v>39274425.311702557</v>
      </c>
      <c r="C60" s="2">
        <f>('1400'!C60/'1400'!C$115)*مجموع!$C$17</f>
        <v>3094491.7359474986</v>
      </c>
      <c r="D60" s="2">
        <f>('1400'!D60/'1400'!D$115)*مجموع!$C$16</f>
        <v>3151773.6968139214</v>
      </c>
      <c r="E60" s="2">
        <f>('1400'!E60/'1400'!E$115)*مجموع!$C$15</f>
        <v>2128309.9152584905</v>
      </c>
      <c r="F60" s="2">
        <f>('1400'!F60/'1400'!F$115)*مجموع!$C$14</f>
        <v>3354656.6544407276</v>
      </c>
      <c r="G60" s="2">
        <f>('1400'!G60/'1400'!G$115)*مجموع!$C$13</f>
        <v>2510807.5059499065</v>
      </c>
      <c r="H60" s="2">
        <f>('1400'!H60/'1400'!H$115)*مجموع!$C$12</f>
        <v>4548765.0257806452</v>
      </c>
      <c r="I60" s="2">
        <f>('1400'!I60/'1400'!I$115)*مجموع!$C$11</f>
        <v>4155454.2632695651</v>
      </c>
      <c r="J60" s="2">
        <f>('1400'!J60/'1400'!J$115)*مجموع!$C$10</f>
        <v>2941455.5870723077</v>
      </c>
      <c r="K60" s="2">
        <f>('1400'!K60/'1400'!K$115)*مجموع!$C$9</f>
        <v>3709576.621573091</v>
      </c>
      <c r="L60" s="2">
        <f>('1400'!L60/'1400'!L$115)*مجموع!$C$8</f>
        <v>3349784.9844526313</v>
      </c>
      <c r="M60" s="2">
        <f>('1400'!M60/'1400'!M$115)*مجموع!$C$7</f>
        <v>3251840.9351309701</v>
      </c>
      <c r="N60" s="2">
        <f>('1400'!N60/'1400'!N$115)*مجموع!$C$6</f>
        <v>3077508.3860127996</v>
      </c>
      <c r="O60" s="5">
        <v>300</v>
      </c>
      <c r="P60" s="1" t="s">
        <v>2</v>
      </c>
      <c r="Q60" s="1">
        <v>1039</v>
      </c>
      <c r="R60" s="1" t="s">
        <v>93</v>
      </c>
      <c r="S60" s="1">
        <f t="shared" si="1"/>
        <v>57</v>
      </c>
    </row>
    <row r="61" spans="1:19" ht="22.2" x14ac:dyDescent="0.3">
      <c r="A61" s="1"/>
      <c r="B61" s="7">
        <f t="shared" si="0"/>
        <v>23586490.277015992</v>
      </c>
      <c r="C61" s="2">
        <f>('1400'!C61/'1400'!C$115)*مجموع!$C$17</f>
        <v>2062994.4906316658</v>
      </c>
      <c r="D61" s="2">
        <f>('1400'!D61/'1400'!D$115)*مجموع!$C$16</f>
        <v>2101182.4645426143</v>
      </c>
      <c r="E61" s="2">
        <f>('1400'!E61/'1400'!E$115)*مجموع!$C$15</f>
        <v>1702647.9322067923</v>
      </c>
      <c r="F61" s="2">
        <f>('1400'!F61/'1400'!F$115)*مجموع!$C$14</f>
        <v>1677328.3272203638</v>
      </c>
      <c r="G61" s="2">
        <f>('1400'!G61/'1400'!G$115)*مجموع!$C$13</f>
        <v>1673871.6706332709</v>
      </c>
      <c r="H61" s="2">
        <f>('1400'!H61/'1400'!H$115)*مجموع!$C$12</f>
        <v>1819506.010312258</v>
      </c>
      <c r="I61" s="2">
        <f>('1400'!I61/'1400'!I$115)*مجموع!$C$11</f>
        <v>1662181.7053078259</v>
      </c>
      <c r="J61" s="2">
        <f>('1400'!J61/'1400'!J$115)*مجموع!$C$10</f>
        <v>1960970.3913815385</v>
      </c>
      <c r="K61" s="2">
        <f>('1400'!K61/'1400'!K$115)*مجموع!$C$9</f>
        <v>2473051.0810487275</v>
      </c>
      <c r="L61" s="2">
        <f>('1400'!L61/'1400'!L$115)*مجموع!$C$8</f>
        <v>2233189.9896350875</v>
      </c>
      <c r="M61" s="2">
        <f>('1400'!M61/'1400'!M$115)*مجموع!$C$7</f>
        <v>2167893.9567539799</v>
      </c>
      <c r="N61" s="2">
        <f>('1400'!N61/'1400'!N$115)*مجموع!$C$6</f>
        <v>2051672.2573418666</v>
      </c>
      <c r="O61" s="5">
        <v>200</v>
      </c>
      <c r="P61" s="1" t="s">
        <v>1</v>
      </c>
      <c r="Q61" s="1">
        <v>1063</v>
      </c>
      <c r="R61" s="1" t="s">
        <v>93</v>
      </c>
      <c r="S61" s="1">
        <f t="shared" si="1"/>
        <v>58</v>
      </c>
    </row>
    <row r="62" spans="1:19" ht="22.2" x14ac:dyDescent="0.3">
      <c r="A62" s="1"/>
      <c r="B62" s="7">
        <f t="shared" si="0"/>
        <v>23586490.277015992</v>
      </c>
      <c r="C62" s="2">
        <f>('1400'!C62/'1400'!C$115)*مجموع!$C$17</f>
        <v>2062994.4906316658</v>
      </c>
      <c r="D62" s="2">
        <f>('1400'!D62/'1400'!D$115)*مجموع!$C$16</f>
        <v>2101182.4645426143</v>
      </c>
      <c r="E62" s="2">
        <f>('1400'!E62/'1400'!E$115)*مجموع!$C$15</f>
        <v>1702647.9322067923</v>
      </c>
      <c r="F62" s="2">
        <f>('1400'!F62/'1400'!F$115)*مجموع!$C$14</f>
        <v>1677328.3272203638</v>
      </c>
      <c r="G62" s="2">
        <f>('1400'!G62/'1400'!G$115)*مجموع!$C$13</f>
        <v>1673871.6706332709</v>
      </c>
      <c r="H62" s="2">
        <f>('1400'!H62/'1400'!H$115)*مجموع!$C$12</f>
        <v>1819506.010312258</v>
      </c>
      <c r="I62" s="2">
        <f>('1400'!I62/'1400'!I$115)*مجموع!$C$11</f>
        <v>1662181.7053078259</v>
      </c>
      <c r="J62" s="2">
        <f>('1400'!J62/'1400'!J$115)*مجموع!$C$10</f>
        <v>1960970.3913815385</v>
      </c>
      <c r="K62" s="2">
        <f>('1400'!K62/'1400'!K$115)*مجموع!$C$9</f>
        <v>2473051.0810487275</v>
      </c>
      <c r="L62" s="2">
        <f>('1400'!L62/'1400'!L$115)*مجموع!$C$8</f>
        <v>2233189.9896350875</v>
      </c>
      <c r="M62" s="2">
        <f>('1400'!M62/'1400'!M$115)*مجموع!$C$7</f>
        <v>2167893.9567539799</v>
      </c>
      <c r="N62" s="2">
        <f>('1400'!N62/'1400'!N$115)*مجموع!$C$6</f>
        <v>2051672.2573418666</v>
      </c>
      <c r="O62" s="5">
        <v>200</v>
      </c>
      <c r="P62" s="1" t="s">
        <v>3</v>
      </c>
      <c r="Q62" s="1">
        <v>1041</v>
      </c>
      <c r="R62" s="1" t="s">
        <v>93</v>
      </c>
      <c r="S62" s="1">
        <f t="shared" si="1"/>
        <v>59</v>
      </c>
    </row>
    <row r="63" spans="1:19" ht="22.2" x14ac:dyDescent="0.3">
      <c r="A63" s="1"/>
      <c r="B63" s="7">
        <f t="shared" si="0"/>
        <v>10767409.009837063</v>
      </c>
      <c r="C63" s="2">
        <f>('1400'!C63/'1400'!C$115)*مجموع!$C$17</f>
        <v>1031497.2453158329</v>
      </c>
      <c r="D63" s="2">
        <f>('1400'!D63/'1400'!D$115)*مجموع!$C$16</f>
        <v>1050591.2322713071</v>
      </c>
      <c r="E63" s="2">
        <f>('1400'!E63/'1400'!E$115)*مجموع!$C$15</f>
        <v>851323.96610339615</v>
      </c>
      <c r="F63" s="2">
        <f>('1400'!F63/'1400'!F$115)*مجموع!$C$14</f>
        <v>838664.16361018189</v>
      </c>
      <c r="G63" s="2">
        <f>('1400'!G63/'1400'!G$115)*مجموع!$C$13</f>
        <v>836935.83531663544</v>
      </c>
      <c r="H63" s="2">
        <f>('1400'!H63/'1400'!H$115)*مجموع!$C$12</f>
        <v>909753.00515612902</v>
      </c>
      <c r="I63" s="2">
        <f>('1400'!I63/'1400'!I$115)*مجموع!$C$11</f>
        <v>831090.85265391297</v>
      </c>
      <c r="J63" s="2">
        <f>('1400'!J63/'1400'!J$115)*مجموع!$C$10</f>
        <v>980485.19569076924</v>
      </c>
      <c r="K63" s="2">
        <f>('1400'!K63/'1400'!K$115)*مجموع!$C$9</f>
        <v>1236525.5405243638</v>
      </c>
      <c r="L63" s="2">
        <f>('1400'!L63/'1400'!L$115)*مجموع!$C$8</f>
        <v>1116594.9948175438</v>
      </c>
      <c r="M63" s="2">
        <f>('1400'!M63/'1400'!M$115)*مجموع!$C$7</f>
        <v>1083946.97837699</v>
      </c>
      <c r="N63" s="2">
        <f>('1400'!N63/'1400'!N$115)*مجموع!$C$6</f>
        <v>0</v>
      </c>
      <c r="O63" s="5">
        <v>100</v>
      </c>
      <c r="P63" s="1" t="s">
        <v>82</v>
      </c>
      <c r="Q63" s="1">
        <v>1053</v>
      </c>
      <c r="R63" s="1" t="s">
        <v>93</v>
      </c>
      <c r="S63" s="1">
        <f t="shared" si="1"/>
        <v>60</v>
      </c>
    </row>
    <row r="64" spans="1:19" ht="22.2" x14ac:dyDescent="0.3">
      <c r="A64" s="1"/>
      <c r="B64" s="7">
        <f t="shared" si="0"/>
        <v>11280327.07417253</v>
      </c>
      <c r="C64" s="2">
        <f>('1400'!C64/'1400'!C$115)*مجموع!$C$17</f>
        <v>1031497.2453158329</v>
      </c>
      <c r="D64" s="2">
        <f>('1400'!D64/'1400'!D$115)*مجموع!$C$16</f>
        <v>1050591.2322713071</v>
      </c>
      <c r="E64" s="2">
        <f>('1400'!E64/'1400'!E$115)*مجموع!$C$15</f>
        <v>851323.96610339615</v>
      </c>
      <c r="F64" s="2">
        <f>('1400'!F64/'1400'!F$115)*مجموع!$C$14</f>
        <v>838664.16361018189</v>
      </c>
      <c r="G64" s="2">
        <f>('1400'!G64/'1400'!G$115)*مجموع!$C$13</f>
        <v>836935.83531663544</v>
      </c>
      <c r="H64" s="2">
        <f>('1400'!H64/'1400'!H$115)*مجموع!$C$12</f>
        <v>909753.00515612902</v>
      </c>
      <c r="I64" s="2">
        <f>('1400'!I64/'1400'!I$115)*مجموع!$C$11</f>
        <v>831090.85265391297</v>
      </c>
      <c r="J64" s="2">
        <f>('1400'!J64/'1400'!J$115)*مجموع!$C$10</f>
        <v>980485.19569076924</v>
      </c>
      <c r="K64" s="2">
        <f>('1400'!K64/'1400'!K$115)*مجموع!$C$9</f>
        <v>1236525.5405243638</v>
      </c>
      <c r="L64" s="2">
        <f>('1400'!L64/'1400'!L$115)*مجموع!$C$8</f>
        <v>1116594.9948175438</v>
      </c>
      <c r="M64" s="2">
        <f>('1400'!M64/'1400'!M$115)*مجموع!$C$7</f>
        <v>1083946.97837699</v>
      </c>
      <c r="N64" s="2">
        <f>('1400'!N64/'1400'!N$115)*مجموع!$C$6</f>
        <v>512918.06433546665</v>
      </c>
      <c r="O64" s="5">
        <v>100</v>
      </c>
      <c r="P64" s="1" t="s">
        <v>67</v>
      </c>
      <c r="Q64" s="1">
        <v>1054</v>
      </c>
      <c r="R64" s="1" t="s">
        <v>93</v>
      </c>
      <c r="S64" s="1">
        <f t="shared" si="1"/>
        <v>61</v>
      </c>
    </row>
    <row r="65" spans="1:19" ht="22.2" x14ac:dyDescent="0.3">
      <c r="A65" s="1"/>
      <c r="B65" s="7">
        <f t="shared" si="0"/>
        <v>10767409.009837063</v>
      </c>
      <c r="C65" s="2">
        <f>('1400'!C65/'1400'!C$115)*مجموع!$C$17</f>
        <v>1031497.2453158329</v>
      </c>
      <c r="D65" s="2">
        <f>('1400'!D65/'1400'!D$115)*مجموع!$C$16</f>
        <v>1050591.2322713071</v>
      </c>
      <c r="E65" s="2">
        <f>('1400'!E65/'1400'!E$115)*مجموع!$C$15</f>
        <v>851323.96610339615</v>
      </c>
      <c r="F65" s="2">
        <f>('1400'!F65/'1400'!F$115)*مجموع!$C$14</f>
        <v>838664.16361018189</v>
      </c>
      <c r="G65" s="2">
        <f>('1400'!G65/'1400'!G$115)*مجموع!$C$13</f>
        <v>836935.83531663544</v>
      </c>
      <c r="H65" s="2">
        <f>('1400'!H65/'1400'!H$115)*مجموع!$C$12</f>
        <v>909753.00515612902</v>
      </c>
      <c r="I65" s="2">
        <f>('1400'!I65/'1400'!I$115)*مجموع!$C$11</f>
        <v>831090.85265391297</v>
      </c>
      <c r="J65" s="2">
        <f>('1400'!J65/'1400'!J$115)*مجموع!$C$10</f>
        <v>980485.19569076924</v>
      </c>
      <c r="K65" s="2">
        <f>('1400'!K65/'1400'!K$115)*مجموع!$C$9</f>
        <v>1236525.5405243638</v>
      </c>
      <c r="L65" s="2">
        <f>('1400'!L65/'1400'!L$115)*مجموع!$C$8</f>
        <v>1116594.9948175438</v>
      </c>
      <c r="M65" s="2">
        <f>('1400'!M65/'1400'!M$115)*مجموع!$C$7</f>
        <v>1083946.97837699</v>
      </c>
      <c r="N65" s="2">
        <f>('1400'!N65/'1400'!N$115)*مجموع!$C$6</f>
        <v>0</v>
      </c>
      <c r="O65" s="5">
        <v>100</v>
      </c>
      <c r="P65" s="1" t="s">
        <v>83</v>
      </c>
      <c r="Q65" s="1">
        <v>1079</v>
      </c>
      <c r="R65" s="1" t="s">
        <v>93</v>
      </c>
      <c r="S65" s="1">
        <f t="shared" si="1"/>
        <v>62</v>
      </c>
    </row>
    <row r="66" spans="1:19" ht="22.2" x14ac:dyDescent="0.3">
      <c r="A66" s="1"/>
      <c r="B66" s="7">
        <f t="shared" si="0"/>
        <v>4862814.3726648595</v>
      </c>
      <c r="C66" s="2">
        <f>('1400'!C66/'1400'!C$115)*مجموع!$C$17</f>
        <v>515748.62265791645</v>
      </c>
      <c r="D66" s="2">
        <f>('1400'!D66/'1400'!D$115)*مجموع!$C$16</f>
        <v>525295.61613565357</v>
      </c>
      <c r="E66" s="2">
        <f>('1400'!E66/'1400'!E$115)*مجموع!$C$15</f>
        <v>425661.98305169807</v>
      </c>
      <c r="F66" s="2">
        <f>('1400'!F66/'1400'!F$115)*مجموع!$C$14</f>
        <v>419332.08180509094</v>
      </c>
      <c r="G66" s="2">
        <f>('1400'!G66/'1400'!G$115)*مجموع!$C$13</f>
        <v>418467.91765831772</v>
      </c>
      <c r="H66" s="2">
        <f>('1400'!H66/'1400'!H$115)*مجموع!$C$12</f>
        <v>454876.50257806451</v>
      </c>
      <c r="I66" s="2">
        <f>('1400'!I66/'1400'!I$115)*مجموع!$C$11</f>
        <v>0</v>
      </c>
      <c r="J66" s="2">
        <f>('1400'!J66/'1400'!J$115)*مجموع!$C$10</f>
        <v>490242.59784538462</v>
      </c>
      <c r="K66" s="2">
        <f>('1400'!K66/'1400'!K$115)*مجموع!$C$9</f>
        <v>0</v>
      </c>
      <c r="L66" s="2">
        <f>('1400'!L66/'1400'!L$115)*مجموع!$C$8</f>
        <v>558297.49740877189</v>
      </c>
      <c r="M66" s="2">
        <f>('1400'!M66/'1400'!M$115)*مجموع!$C$7</f>
        <v>541973.48918849498</v>
      </c>
      <c r="N66" s="2">
        <f>('1400'!N66/'1400'!N$115)*مجموع!$C$6</f>
        <v>512918.06433546665</v>
      </c>
      <c r="O66" s="5">
        <v>50</v>
      </c>
      <c r="P66" s="1" t="s">
        <v>26</v>
      </c>
      <c r="Q66" s="1">
        <v>1042</v>
      </c>
      <c r="R66" s="1" t="s">
        <v>93</v>
      </c>
      <c r="S66" s="1">
        <f t="shared" si="1"/>
        <v>63</v>
      </c>
    </row>
    <row r="67" spans="1:19" ht="22.2" x14ac:dyDescent="0.3">
      <c r="A67" s="1"/>
      <c r="B67" s="7">
        <f t="shared" si="0"/>
        <v>4862814.3726648595</v>
      </c>
      <c r="C67" s="2">
        <f>('1400'!C67/'1400'!C$115)*مجموع!$C$17</f>
        <v>515748.62265791645</v>
      </c>
      <c r="D67" s="2">
        <f>('1400'!D67/'1400'!D$115)*مجموع!$C$16</f>
        <v>525295.61613565357</v>
      </c>
      <c r="E67" s="2">
        <f>('1400'!E67/'1400'!E$115)*مجموع!$C$15</f>
        <v>425661.98305169807</v>
      </c>
      <c r="F67" s="2">
        <f>('1400'!F67/'1400'!F$115)*مجموع!$C$14</f>
        <v>419332.08180509094</v>
      </c>
      <c r="G67" s="2">
        <f>('1400'!G67/'1400'!G$115)*مجموع!$C$13</f>
        <v>418467.91765831772</v>
      </c>
      <c r="H67" s="2">
        <f>('1400'!H67/'1400'!H$115)*مجموع!$C$12</f>
        <v>454876.50257806451</v>
      </c>
      <c r="I67" s="2">
        <f>('1400'!I67/'1400'!I$115)*مجموع!$C$11</f>
        <v>0</v>
      </c>
      <c r="J67" s="2">
        <f>('1400'!J67/'1400'!J$115)*مجموع!$C$10</f>
        <v>490242.59784538462</v>
      </c>
      <c r="K67" s="2">
        <f>('1400'!K67/'1400'!K$115)*مجموع!$C$9</f>
        <v>0</v>
      </c>
      <c r="L67" s="2">
        <f>('1400'!L67/'1400'!L$115)*مجموع!$C$8</f>
        <v>558297.49740877189</v>
      </c>
      <c r="M67" s="2">
        <f>('1400'!M67/'1400'!M$115)*مجموع!$C$7</f>
        <v>541973.48918849498</v>
      </c>
      <c r="N67" s="2">
        <f>('1400'!N67/'1400'!N$115)*مجموع!$C$6</f>
        <v>512918.06433546665</v>
      </c>
      <c r="O67" s="5">
        <v>50</v>
      </c>
      <c r="P67" s="1" t="s">
        <v>68</v>
      </c>
      <c r="Q67" s="1">
        <v>1064</v>
      </c>
      <c r="R67" s="1" t="s">
        <v>93</v>
      </c>
      <c r="S67" s="1">
        <f t="shared" si="1"/>
        <v>64</v>
      </c>
    </row>
    <row r="68" spans="1:19" ht="22.2" x14ac:dyDescent="0.3">
      <c r="A68" s="1"/>
      <c r="B68" s="7">
        <f t="shared" ref="B68:B114" si="2">SUM(C68:N68)</f>
        <v>4862814.3726648595</v>
      </c>
      <c r="C68" s="2">
        <f>('1400'!C68/'1400'!C$115)*مجموع!$C$17</f>
        <v>515748.62265791645</v>
      </c>
      <c r="D68" s="2">
        <f>('1400'!D68/'1400'!D$115)*مجموع!$C$16</f>
        <v>525295.61613565357</v>
      </c>
      <c r="E68" s="2">
        <f>('1400'!E68/'1400'!E$115)*مجموع!$C$15</f>
        <v>425661.98305169807</v>
      </c>
      <c r="F68" s="2">
        <f>('1400'!F68/'1400'!F$115)*مجموع!$C$14</f>
        <v>419332.08180509094</v>
      </c>
      <c r="G68" s="2">
        <f>('1400'!G68/'1400'!G$115)*مجموع!$C$13</f>
        <v>418467.91765831772</v>
      </c>
      <c r="H68" s="2">
        <f>('1400'!H68/'1400'!H$115)*مجموع!$C$12</f>
        <v>454876.50257806451</v>
      </c>
      <c r="I68" s="2">
        <f>('1400'!I68/'1400'!I$115)*مجموع!$C$11</f>
        <v>0</v>
      </c>
      <c r="J68" s="2">
        <f>('1400'!J68/'1400'!J$115)*مجموع!$C$10</f>
        <v>490242.59784538462</v>
      </c>
      <c r="K68" s="2">
        <f>('1400'!K68/'1400'!K$115)*مجموع!$C$9</f>
        <v>0</v>
      </c>
      <c r="L68" s="2">
        <f>('1400'!L68/'1400'!L$115)*مجموع!$C$8</f>
        <v>558297.49740877189</v>
      </c>
      <c r="M68" s="2">
        <f>('1400'!M68/'1400'!M$115)*مجموع!$C$7</f>
        <v>541973.48918849498</v>
      </c>
      <c r="N68" s="2">
        <f>('1400'!N68/'1400'!N$115)*مجموع!$C$6</f>
        <v>512918.06433546665</v>
      </c>
      <c r="O68" s="5">
        <v>50</v>
      </c>
      <c r="P68" s="1" t="s">
        <v>69</v>
      </c>
      <c r="Q68" s="1">
        <v>1065</v>
      </c>
      <c r="R68" s="1" t="s">
        <v>93</v>
      </c>
      <c r="S68" s="1">
        <f t="shared" si="1"/>
        <v>65</v>
      </c>
    </row>
    <row r="69" spans="1:19" ht="22.2" x14ac:dyDescent="0.3">
      <c r="A69" s="1"/>
      <c r="B69" s="7">
        <f t="shared" si="2"/>
        <v>4862814.3726648595</v>
      </c>
      <c r="C69" s="2">
        <f>('1400'!C69/'1400'!C$115)*مجموع!$C$17</f>
        <v>515748.62265791645</v>
      </c>
      <c r="D69" s="2">
        <f>('1400'!D69/'1400'!D$115)*مجموع!$C$16</f>
        <v>525295.61613565357</v>
      </c>
      <c r="E69" s="2">
        <f>('1400'!E69/'1400'!E$115)*مجموع!$C$15</f>
        <v>425661.98305169807</v>
      </c>
      <c r="F69" s="2">
        <f>('1400'!F69/'1400'!F$115)*مجموع!$C$14</f>
        <v>419332.08180509094</v>
      </c>
      <c r="G69" s="2">
        <f>('1400'!G69/'1400'!G$115)*مجموع!$C$13</f>
        <v>418467.91765831772</v>
      </c>
      <c r="H69" s="2">
        <f>('1400'!H69/'1400'!H$115)*مجموع!$C$12</f>
        <v>454876.50257806451</v>
      </c>
      <c r="I69" s="2">
        <f>('1400'!I69/'1400'!I$115)*مجموع!$C$11</f>
        <v>0</v>
      </c>
      <c r="J69" s="2">
        <f>('1400'!J69/'1400'!J$115)*مجموع!$C$10</f>
        <v>490242.59784538462</v>
      </c>
      <c r="K69" s="2">
        <f>('1400'!K69/'1400'!K$115)*مجموع!$C$9</f>
        <v>0</v>
      </c>
      <c r="L69" s="2">
        <f>('1400'!L69/'1400'!L$115)*مجموع!$C$8</f>
        <v>558297.49740877189</v>
      </c>
      <c r="M69" s="2">
        <f>('1400'!M69/'1400'!M$115)*مجموع!$C$7</f>
        <v>541973.48918849498</v>
      </c>
      <c r="N69" s="2">
        <f>('1400'!N69/'1400'!N$115)*مجموع!$C$6</f>
        <v>512918.06433546665</v>
      </c>
      <c r="O69" s="5">
        <v>50</v>
      </c>
      <c r="P69" s="1" t="s">
        <v>70</v>
      </c>
      <c r="Q69" s="1">
        <v>1066</v>
      </c>
      <c r="R69" s="1" t="s">
        <v>93</v>
      </c>
      <c r="S69" s="1">
        <f t="shared" si="1"/>
        <v>66</v>
      </c>
    </row>
    <row r="70" spans="1:19" ht="22.2" x14ac:dyDescent="0.3">
      <c r="A70" s="1"/>
      <c r="B70" s="7">
        <f t="shared" si="2"/>
        <v>5896622.5692539979</v>
      </c>
      <c r="C70" s="2">
        <f>('1400'!C70/'1400'!C$115)*مجموع!$C$17</f>
        <v>515748.62265791645</v>
      </c>
      <c r="D70" s="2">
        <f>('1400'!D70/'1400'!D$115)*مجموع!$C$16</f>
        <v>525295.61613565357</v>
      </c>
      <c r="E70" s="2">
        <f>('1400'!E70/'1400'!E$115)*مجموع!$C$15</f>
        <v>425661.98305169807</v>
      </c>
      <c r="F70" s="2">
        <f>('1400'!F70/'1400'!F$115)*مجموع!$C$14</f>
        <v>419332.08180509094</v>
      </c>
      <c r="G70" s="2">
        <f>('1400'!G70/'1400'!G$115)*مجموع!$C$13</f>
        <v>418467.91765831772</v>
      </c>
      <c r="H70" s="2">
        <f>('1400'!H70/'1400'!H$115)*مجموع!$C$12</f>
        <v>454876.50257806451</v>
      </c>
      <c r="I70" s="2">
        <f>('1400'!I70/'1400'!I$115)*مجموع!$C$11</f>
        <v>415545.42632695648</v>
      </c>
      <c r="J70" s="2">
        <f>('1400'!J70/'1400'!J$115)*مجموع!$C$10</f>
        <v>490242.59784538462</v>
      </c>
      <c r="K70" s="2">
        <f>('1400'!K70/'1400'!K$115)*مجموع!$C$9</f>
        <v>618262.77026218188</v>
      </c>
      <c r="L70" s="2">
        <f>('1400'!L70/'1400'!L$115)*مجموع!$C$8</f>
        <v>558297.49740877189</v>
      </c>
      <c r="M70" s="2">
        <f>('1400'!M70/'1400'!M$115)*مجموع!$C$7</f>
        <v>541973.48918849498</v>
      </c>
      <c r="N70" s="2">
        <f>('1400'!N70/'1400'!N$115)*مجموع!$C$6</f>
        <v>512918.06433546665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1"/>
        <v>67</v>
      </c>
    </row>
    <row r="71" spans="1:19" ht="22.2" x14ac:dyDescent="0.3">
      <c r="A71" s="1"/>
      <c r="B71" s="7">
        <f t="shared" si="2"/>
        <v>5896622.5692539979</v>
      </c>
      <c r="C71" s="2">
        <f>('1400'!C71/'1400'!C$115)*مجموع!$C$17</f>
        <v>515748.62265791645</v>
      </c>
      <c r="D71" s="2">
        <f>('1400'!D71/'1400'!D$115)*مجموع!$C$16</f>
        <v>525295.61613565357</v>
      </c>
      <c r="E71" s="2">
        <f>('1400'!E71/'1400'!E$115)*مجموع!$C$15</f>
        <v>425661.98305169807</v>
      </c>
      <c r="F71" s="2">
        <f>('1400'!F71/'1400'!F$115)*مجموع!$C$14</f>
        <v>419332.08180509094</v>
      </c>
      <c r="G71" s="2">
        <f>('1400'!G71/'1400'!G$115)*مجموع!$C$13</f>
        <v>418467.91765831772</v>
      </c>
      <c r="H71" s="2">
        <f>('1400'!H71/'1400'!H$115)*مجموع!$C$12</f>
        <v>454876.50257806451</v>
      </c>
      <c r="I71" s="2">
        <f>('1400'!I71/'1400'!I$115)*مجموع!$C$11</f>
        <v>415545.42632695648</v>
      </c>
      <c r="J71" s="2">
        <f>('1400'!J71/'1400'!J$115)*مجموع!$C$10</f>
        <v>490242.59784538462</v>
      </c>
      <c r="K71" s="2">
        <f>('1400'!K71/'1400'!K$115)*مجموع!$C$9</f>
        <v>618262.77026218188</v>
      </c>
      <c r="L71" s="2">
        <f>('1400'!L71/'1400'!L$115)*مجموع!$C$8</f>
        <v>558297.49740877189</v>
      </c>
      <c r="M71" s="2">
        <f>('1400'!M71/'1400'!M$115)*مجموع!$C$7</f>
        <v>541973.48918849498</v>
      </c>
      <c r="N71" s="2">
        <f>('1400'!N71/'1400'!N$115)*مجموع!$C$6</f>
        <v>512918.06433546665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1"/>
        <v>68</v>
      </c>
    </row>
    <row r="72" spans="1:19" ht="22.2" x14ac:dyDescent="0.3">
      <c r="A72" s="1"/>
      <c r="B72" s="7">
        <f t="shared" si="2"/>
        <v>5896622.5692539979</v>
      </c>
      <c r="C72" s="2">
        <f>('1400'!C72/'1400'!C$115)*مجموع!$C$17</f>
        <v>515748.62265791645</v>
      </c>
      <c r="D72" s="2">
        <f>('1400'!D72/'1400'!D$115)*مجموع!$C$16</f>
        <v>525295.61613565357</v>
      </c>
      <c r="E72" s="2">
        <f>('1400'!E72/'1400'!E$115)*مجموع!$C$15</f>
        <v>425661.98305169807</v>
      </c>
      <c r="F72" s="2">
        <f>('1400'!F72/'1400'!F$115)*مجموع!$C$14</f>
        <v>419332.08180509094</v>
      </c>
      <c r="G72" s="2">
        <f>('1400'!G72/'1400'!G$115)*مجموع!$C$13</f>
        <v>418467.91765831772</v>
      </c>
      <c r="H72" s="2">
        <f>('1400'!H72/'1400'!H$115)*مجموع!$C$12</f>
        <v>454876.50257806451</v>
      </c>
      <c r="I72" s="2">
        <f>('1400'!I72/'1400'!I$115)*مجموع!$C$11</f>
        <v>415545.42632695648</v>
      </c>
      <c r="J72" s="2">
        <f>('1400'!J72/'1400'!J$115)*مجموع!$C$10</f>
        <v>490242.59784538462</v>
      </c>
      <c r="K72" s="2">
        <f>('1400'!K72/'1400'!K$115)*مجموع!$C$9</f>
        <v>618262.77026218188</v>
      </c>
      <c r="L72" s="2">
        <f>('1400'!L72/'1400'!L$115)*مجموع!$C$8</f>
        <v>558297.49740877189</v>
      </c>
      <c r="M72" s="2">
        <f>('1400'!M72/'1400'!M$115)*مجموع!$C$7</f>
        <v>541973.48918849498</v>
      </c>
      <c r="N72" s="2">
        <f>('1400'!N72/'1400'!N$115)*مجموع!$C$6</f>
        <v>512918.06433546665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1"/>
        <v>69</v>
      </c>
    </row>
    <row r="73" spans="1:19" ht="22.2" x14ac:dyDescent="0.3">
      <c r="A73" s="1"/>
      <c r="B73" s="7">
        <f t="shared" si="2"/>
        <v>5896622.5692539979</v>
      </c>
      <c r="C73" s="2">
        <f>('1400'!C73/'1400'!C$115)*مجموع!$C$17</f>
        <v>515748.62265791645</v>
      </c>
      <c r="D73" s="2">
        <f>('1400'!D73/'1400'!D$115)*مجموع!$C$16</f>
        <v>525295.61613565357</v>
      </c>
      <c r="E73" s="2">
        <f>('1400'!E73/'1400'!E$115)*مجموع!$C$15</f>
        <v>425661.98305169807</v>
      </c>
      <c r="F73" s="2">
        <f>('1400'!F73/'1400'!F$115)*مجموع!$C$14</f>
        <v>419332.08180509094</v>
      </c>
      <c r="G73" s="2">
        <f>('1400'!G73/'1400'!G$115)*مجموع!$C$13</f>
        <v>418467.91765831772</v>
      </c>
      <c r="H73" s="2">
        <f>('1400'!H73/'1400'!H$115)*مجموع!$C$12</f>
        <v>454876.50257806451</v>
      </c>
      <c r="I73" s="2">
        <f>('1400'!I73/'1400'!I$115)*مجموع!$C$11</f>
        <v>415545.42632695648</v>
      </c>
      <c r="J73" s="2">
        <f>('1400'!J73/'1400'!J$115)*مجموع!$C$10</f>
        <v>490242.59784538462</v>
      </c>
      <c r="K73" s="2">
        <f>('1400'!K73/'1400'!K$115)*مجموع!$C$9</f>
        <v>618262.77026218188</v>
      </c>
      <c r="L73" s="2">
        <f>('1400'!L73/'1400'!L$115)*مجموع!$C$8</f>
        <v>558297.49740877189</v>
      </c>
      <c r="M73" s="2">
        <f>('1400'!M73/'1400'!M$115)*مجموع!$C$7</f>
        <v>541973.48918849498</v>
      </c>
      <c r="N73" s="2">
        <f>('1400'!N73/'1400'!N$115)*مجموع!$C$6</f>
        <v>512918.06433546665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1"/>
        <v>70</v>
      </c>
    </row>
    <row r="74" spans="1:19" ht="22.2" x14ac:dyDescent="0.3">
      <c r="A74" s="1"/>
      <c r="B74" s="7">
        <f t="shared" si="2"/>
        <v>5896622.5692539979</v>
      </c>
      <c r="C74" s="2">
        <f>('1400'!C74/'1400'!C$115)*مجموع!$C$17</f>
        <v>515748.62265791645</v>
      </c>
      <c r="D74" s="2">
        <f>('1400'!D74/'1400'!D$115)*مجموع!$C$16</f>
        <v>525295.61613565357</v>
      </c>
      <c r="E74" s="2">
        <f>('1400'!E74/'1400'!E$115)*مجموع!$C$15</f>
        <v>425661.98305169807</v>
      </c>
      <c r="F74" s="2">
        <f>('1400'!F74/'1400'!F$115)*مجموع!$C$14</f>
        <v>419332.08180509094</v>
      </c>
      <c r="G74" s="2">
        <f>('1400'!G74/'1400'!G$115)*مجموع!$C$13</f>
        <v>418467.91765831772</v>
      </c>
      <c r="H74" s="2">
        <f>('1400'!H74/'1400'!H$115)*مجموع!$C$12</f>
        <v>454876.50257806451</v>
      </c>
      <c r="I74" s="2">
        <f>('1400'!I74/'1400'!I$115)*مجموع!$C$11</f>
        <v>415545.42632695648</v>
      </c>
      <c r="J74" s="2">
        <f>('1400'!J74/'1400'!J$115)*مجموع!$C$10</f>
        <v>490242.59784538462</v>
      </c>
      <c r="K74" s="2">
        <f>('1400'!K74/'1400'!K$115)*مجموع!$C$9</f>
        <v>618262.77026218188</v>
      </c>
      <c r="L74" s="2">
        <f>('1400'!L74/'1400'!L$115)*مجموع!$C$8</f>
        <v>558297.49740877189</v>
      </c>
      <c r="M74" s="2">
        <f>('1400'!M74/'1400'!M$115)*مجموع!$C$7</f>
        <v>541973.48918849498</v>
      </c>
      <c r="N74" s="2">
        <f>('1400'!N74/'1400'!N$115)*مجموع!$C$6</f>
        <v>512918.06433546665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1"/>
        <v>71</v>
      </c>
    </row>
    <row r="75" spans="1:19" ht="22.2" x14ac:dyDescent="0.3">
      <c r="A75" s="1"/>
      <c r="B75" s="7">
        <f t="shared" si="2"/>
        <v>5896622.5692539979</v>
      </c>
      <c r="C75" s="2">
        <f>('1400'!C75/'1400'!C$115)*مجموع!$C$17</f>
        <v>515748.62265791645</v>
      </c>
      <c r="D75" s="2">
        <f>('1400'!D75/'1400'!D$115)*مجموع!$C$16</f>
        <v>525295.61613565357</v>
      </c>
      <c r="E75" s="2">
        <f>('1400'!E75/'1400'!E$115)*مجموع!$C$15</f>
        <v>425661.98305169807</v>
      </c>
      <c r="F75" s="2">
        <f>('1400'!F75/'1400'!F$115)*مجموع!$C$14</f>
        <v>419332.08180509094</v>
      </c>
      <c r="G75" s="2">
        <f>('1400'!G75/'1400'!G$115)*مجموع!$C$13</f>
        <v>418467.91765831772</v>
      </c>
      <c r="H75" s="2">
        <f>('1400'!H75/'1400'!H$115)*مجموع!$C$12</f>
        <v>454876.50257806451</v>
      </c>
      <c r="I75" s="2">
        <f>('1400'!I75/'1400'!I$115)*مجموع!$C$11</f>
        <v>415545.42632695648</v>
      </c>
      <c r="J75" s="2">
        <f>('1400'!J75/'1400'!J$115)*مجموع!$C$10</f>
        <v>490242.59784538462</v>
      </c>
      <c r="K75" s="2">
        <f>('1400'!K75/'1400'!K$115)*مجموع!$C$9</f>
        <v>618262.77026218188</v>
      </c>
      <c r="L75" s="2">
        <f>('1400'!L75/'1400'!L$115)*مجموع!$C$8</f>
        <v>558297.49740877189</v>
      </c>
      <c r="M75" s="2">
        <f>('1400'!M75/'1400'!M$115)*مجموع!$C$7</f>
        <v>541973.48918849498</v>
      </c>
      <c r="N75" s="2">
        <f>('1400'!N75/'1400'!N$115)*مجموع!$C$6</f>
        <v>512918.06433546665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1"/>
        <v>72</v>
      </c>
    </row>
    <row r="76" spans="1:19" ht="22.2" x14ac:dyDescent="0.3">
      <c r="A76" s="1"/>
      <c r="B76" s="7">
        <f t="shared" si="2"/>
        <v>10767409.009837063</v>
      </c>
      <c r="C76" s="2">
        <f>('1400'!C76/'1400'!C$115)*مجموع!$C$17</f>
        <v>1031497.2453158329</v>
      </c>
      <c r="D76" s="2">
        <f>('1400'!D76/'1400'!D$115)*مجموع!$C$16</f>
        <v>1050591.2322713071</v>
      </c>
      <c r="E76" s="2">
        <f>('1400'!E76/'1400'!E$115)*مجموع!$C$15</f>
        <v>851323.96610339615</v>
      </c>
      <c r="F76" s="2">
        <f>('1400'!F76/'1400'!F$115)*مجموع!$C$14</f>
        <v>838664.16361018189</v>
      </c>
      <c r="G76" s="2">
        <f>('1400'!G76/'1400'!G$115)*مجموع!$C$13</f>
        <v>836935.83531663544</v>
      </c>
      <c r="H76" s="2">
        <f>('1400'!H76/'1400'!H$115)*مجموع!$C$12</f>
        <v>909753.00515612902</v>
      </c>
      <c r="I76" s="2">
        <f>('1400'!I76/'1400'!I$115)*مجموع!$C$11</f>
        <v>831090.85265391297</v>
      </c>
      <c r="J76" s="2">
        <f>('1400'!J76/'1400'!J$115)*مجموع!$C$10</f>
        <v>980485.19569076924</v>
      </c>
      <c r="K76" s="2">
        <f>('1400'!K76/'1400'!K$115)*مجموع!$C$9</f>
        <v>1236525.5405243638</v>
      </c>
      <c r="L76" s="2">
        <f>('1400'!L76/'1400'!L$115)*مجموع!$C$8</f>
        <v>1116594.9948175438</v>
      </c>
      <c r="M76" s="2">
        <f>('1400'!M76/'1400'!M$115)*مجموع!$C$7</f>
        <v>1083946.97837699</v>
      </c>
      <c r="N76" s="2">
        <f>('1400'!N76/'1400'!N$115)*مجموع!$C$6</f>
        <v>0</v>
      </c>
      <c r="O76" s="5">
        <v>100</v>
      </c>
      <c r="P76" s="1" t="s">
        <v>81</v>
      </c>
      <c r="Q76" s="1">
        <v>1076</v>
      </c>
      <c r="R76" s="1" t="s">
        <v>93</v>
      </c>
      <c r="S76" s="1">
        <f t="shared" si="1"/>
        <v>73</v>
      </c>
    </row>
    <row r="77" spans="1:19" ht="22.2" x14ac:dyDescent="0.3">
      <c r="A77" s="1"/>
      <c r="B77" s="7">
        <f t="shared" si="2"/>
        <v>10767409.009837063</v>
      </c>
      <c r="C77" s="2">
        <f>('1400'!C77/'1400'!C$115)*مجموع!$C$17</f>
        <v>1031497.2453158329</v>
      </c>
      <c r="D77" s="2">
        <f>('1400'!D77/'1400'!D$115)*مجموع!$C$16</f>
        <v>1050591.2322713071</v>
      </c>
      <c r="E77" s="2">
        <f>('1400'!E77/'1400'!E$115)*مجموع!$C$15</f>
        <v>851323.96610339615</v>
      </c>
      <c r="F77" s="2">
        <f>('1400'!F77/'1400'!F$115)*مجموع!$C$14</f>
        <v>838664.16361018189</v>
      </c>
      <c r="G77" s="2">
        <f>('1400'!G77/'1400'!G$115)*مجموع!$C$13</f>
        <v>836935.83531663544</v>
      </c>
      <c r="H77" s="2">
        <f>('1400'!H77/'1400'!H$115)*مجموع!$C$12</f>
        <v>909753.00515612902</v>
      </c>
      <c r="I77" s="2">
        <f>('1400'!I77/'1400'!I$115)*مجموع!$C$11</f>
        <v>831090.85265391297</v>
      </c>
      <c r="J77" s="2">
        <f>('1400'!J77/'1400'!J$115)*مجموع!$C$10</f>
        <v>980485.19569076924</v>
      </c>
      <c r="K77" s="2">
        <f>('1400'!K77/'1400'!K$115)*مجموع!$C$9</f>
        <v>1236525.5405243638</v>
      </c>
      <c r="L77" s="2">
        <f>('1400'!L77/'1400'!L$115)*مجموع!$C$8</f>
        <v>1116594.9948175438</v>
      </c>
      <c r="M77" s="2">
        <f>('1400'!M77/'1400'!M$115)*مجموع!$C$7</f>
        <v>1083946.97837699</v>
      </c>
      <c r="N77" s="2">
        <f>('1400'!N77/'1400'!N$115)*مجموع!$C$6</f>
        <v>0</v>
      </c>
      <c r="O77" s="5">
        <v>100</v>
      </c>
      <c r="P77" s="1" t="s">
        <v>102</v>
      </c>
      <c r="Q77" s="1">
        <v>1077</v>
      </c>
      <c r="R77" s="1" t="s">
        <v>93</v>
      </c>
      <c r="S77" s="1">
        <f t="shared" si="1"/>
        <v>74</v>
      </c>
    </row>
    <row r="78" spans="1:19" ht="22.2" x14ac:dyDescent="0.3">
      <c r="A78" s="1"/>
      <c r="B78" s="7">
        <f t="shared" si="2"/>
        <v>10767409.009837063</v>
      </c>
      <c r="C78" s="2">
        <f>('1400'!C78/'1400'!C$115)*مجموع!$C$17</f>
        <v>1031497.2453158329</v>
      </c>
      <c r="D78" s="2">
        <f>('1400'!D78/'1400'!D$115)*مجموع!$C$16</f>
        <v>1050591.2322713071</v>
      </c>
      <c r="E78" s="2">
        <f>('1400'!E78/'1400'!E$115)*مجموع!$C$15</f>
        <v>851323.96610339615</v>
      </c>
      <c r="F78" s="2">
        <f>('1400'!F78/'1400'!F$115)*مجموع!$C$14</f>
        <v>838664.16361018189</v>
      </c>
      <c r="G78" s="2">
        <f>('1400'!G78/'1400'!G$115)*مجموع!$C$13</f>
        <v>836935.83531663544</v>
      </c>
      <c r="H78" s="2">
        <f>('1400'!H78/'1400'!H$115)*مجموع!$C$12</f>
        <v>909753.00515612902</v>
      </c>
      <c r="I78" s="2">
        <f>('1400'!I78/'1400'!I$115)*مجموع!$C$11</f>
        <v>831090.85265391297</v>
      </c>
      <c r="J78" s="2">
        <f>('1400'!J78/'1400'!J$115)*مجموع!$C$10</f>
        <v>980485.19569076924</v>
      </c>
      <c r="K78" s="2">
        <f>('1400'!K78/'1400'!K$115)*مجموع!$C$9</f>
        <v>1236525.5405243638</v>
      </c>
      <c r="L78" s="2">
        <f>('1400'!L78/'1400'!L$115)*مجموع!$C$8</f>
        <v>1116594.9948175438</v>
      </c>
      <c r="M78" s="2">
        <f>('1400'!M78/'1400'!M$115)*مجموع!$C$7</f>
        <v>1083946.97837699</v>
      </c>
      <c r="N78" s="2">
        <f>('1400'!N78/'1400'!N$115)*مجموع!$C$6</f>
        <v>0</v>
      </c>
      <c r="O78" s="5">
        <v>100</v>
      </c>
      <c r="P78" s="1" t="s">
        <v>80</v>
      </c>
      <c r="Q78" s="1">
        <v>1075</v>
      </c>
      <c r="R78" s="1" t="s">
        <v>93</v>
      </c>
      <c r="S78" s="1">
        <f t="shared" si="1"/>
        <v>75</v>
      </c>
    </row>
    <row r="79" spans="1:19" ht="22.2" x14ac:dyDescent="0.3">
      <c r="A79" s="1"/>
      <c r="B79" s="7">
        <f t="shared" si="2"/>
        <v>10767409.009837063</v>
      </c>
      <c r="C79" s="2">
        <f>('1400'!C79/'1400'!C$115)*مجموع!$C$17</f>
        <v>1031497.2453158329</v>
      </c>
      <c r="D79" s="2">
        <f>('1400'!D79/'1400'!D$115)*مجموع!$C$16</f>
        <v>1050591.2322713071</v>
      </c>
      <c r="E79" s="2">
        <f>('1400'!E79/'1400'!E$115)*مجموع!$C$15</f>
        <v>851323.96610339615</v>
      </c>
      <c r="F79" s="2">
        <f>('1400'!F79/'1400'!F$115)*مجموع!$C$14</f>
        <v>838664.16361018189</v>
      </c>
      <c r="G79" s="2">
        <f>('1400'!G79/'1400'!G$115)*مجموع!$C$13</f>
        <v>836935.83531663544</v>
      </c>
      <c r="H79" s="2">
        <f>('1400'!H79/'1400'!H$115)*مجموع!$C$12</f>
        <v>909753.00515612902</v>
      </c>
      <c r="I79" s="2">
        <f>('1400'!I79/'1400'!I$115)*مجموع!$C$11</f>
        <v>831090.85265391297</v>
      </c>
      <c r="J79" s="2">
        <f>('1400'!J79/'1400'!J$115)*مجموع!$C$10</f>
        <v>980485.19569076924</v>
      </c>
      <c r="K79" s="2">
        <f>('1400'!K79/'1400'!K$115)*مجموع!$C$9</f>
        <v>1236525.5405243638</v>
      </c>
      <c r="L79" s="2">
        <f>('1400'!L79/'1400'!L$115)*مجموع!$C$8</f>
        <v>1116594.9948175438</v>
      </c>
      <c r="M79" s="2">
        <f>('1400'!M79/'1400'!M$115)*مجموع!$C$7</f>
        <v>1083946.97837699</v>
      </c>
      <c r="N79" s="2">
        <f>('1400'!N79/'1400'!N$115)*مجموع!$C$6</f>
        <v>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1"/>
        <v>76</v>
      </c>
    </row>
    <row r="80" spans="1:19" ht="22.2" x14ac:dyDescent="0.3">
      <c r="A80" s="1"/>
      <c r="B80" s="7">
        <f t="shared" si="2"/>
        <v>10767409.009837063</v>
      </c>
      <c r="C80" s="2">
        <f>('1400'!C80/'1400'!C$115)*مجموع!$C$17</f>
        <v>1031497.2453158329</v>
      </c>
      <c r="D80" s="2">
        <f>('1400'!D80/'1400'!D$115)*مجموع!$C$16</f>
        <v>1050591.2322713071</v>
      </c>
      <c r="E80" s="2">
        <f>('1400'!E80/'1400'!E$115)*مجموع!$C$15</f>
        <v>851323.96610339615</v>
      </c>
      <c r="F80" s="2">
        <f>('1400'!F80/'1400'!F$115)*مجموع!$C$14</f>
        <v>838664.16361018189</v>
      </c>
      <c r="G80" s="2">
        <f>('1400'!G80/'1400'!G$115)*مجموع!$C$13</f>
        <v>836935.83531663544</v>
      </c>
      <c r="H80" s="2">
        <f>('1400'!H80/'1400'!H$115)*مجموع!$C$12</f>
        <v>909753.00515612902</v>
      </c>
      <c r="I80" s="2">
        <f>('1400'!I80/'1400'!I$115)*مجموع!$C$11</f>
        <v>831090.85265391297</v>
      </c>
      <c r="J80" s="2">
        <f>('1400'!J80/'1400'!J$115)*مجموع!$C$10</f>
        <v>980485.19569076924</v>
      </c>
      <c r="K80" s="2">
        <f>('1400'!K80/'1400'!K$115)*مجموع!$C$9</f>
        <v>1236525.5405243638</v>
      </c>
      <c r="L80" s="2">
        <f>('1400'!L80/'1400'!L$115)*مجموع!$C$8</f>
        <v>1116594.9948175438</v>
      </c>
      <c r="M80" s="2">
        <f>('1400'!M80/'1400'!M$115)*مجموع!$C$7</f>
        <v>1083946.97837699</v>
      </c>
      <c r="N80" s="2">
        <f>('1400'!N80/'1400'!N$115)*مجموع!$C$6</f>
        <v>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1"/>
        <v>77</v>
      </c>
    </row>
    <row r="81" spans="1:19" ht="22.2" x14ac:dyDescent="0.3">
      <c r="A81" s="1"/>
      <c r="B81" s="7">
        <f t="shared" si="2"/>
        <v>10767409.009837063</v>
      </c>
      <c r="C81" s="2">
        <f>('1400'!C81/'1400'!C$115)*مجموع!$C$17</f>
        <v>1031497.2453158329</v>
      </c>
      <c r="D81" s="2">
        <f>('1400'!D81/'1400'!D$115)*مجموع!$C$16</f>
        <v>1050591.2322713071</v>
      </c>
      <c r="E81" s="2">
        <f>('1400'!E81/'1400'!E$115)*مجموع!$C$15</f>
        <v>851323.96610339615</v>
      </c>
      <c r="F81" s="2">
        <f>('1400'!F81/'1400'!F$115)*مجموع!$C$14</f>
        <v>838664.16361018189</v>
      </c>
      <c r="G81" s="2">
        <f>('1400'!G81/'1400'!G$115)*مجموع!$C$13</f>
        <v>836935.83531663544</v>
      </c>
      <c r="H81" s="2">
        <f>('1400'!H81/'1400'!H$115)*مجموع!$C$12</f>
        <v>909753.00515612902</v>
      </c>
      <c r="I81" s="2">
        <f>('1400'!I81/'1400'!I$115)*مجموع!$C$11</f>
        <v>831090.85265391297</v>
      </c>
      <c r="J81" s="2">
        <f>('1400'!J81/'1400'!J$115)*مجموع!$C$10</f>
        <v>980485.19569076924</v>
      </c>
      <c r="K81" s="2">
        <f>('1400'!K81/'1400'!K$115)*مجموع!$C$9</f>
        <v>1236525.5405243638</v>
      </c>
      <c r="L81" s="2">
        <f>('1400'!L81/'1400'!L$115)*مجموع!$C$8</f>
        <v>1116594.9948175438</v>
      </c>
      <c r="M81" s="2">
        <f>('1400'!M81/'1400'!M$115)*مجموع!$C$7</f>
        <v>1083946.97837699</v>
      </c>
      <c r="N81" s="2">
        <f>('1400'!N81/'1400'!N$115)*مجموع!$C$6</f>
        <v>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si="1"/>
        <v>78</v>
      </c>
    </row>
    <row r="82" spans="1:19" ht="22.2" x14ac:dyDescent="0.3">
      <c r="A82" s="1"/>
      <c r="B82" s="7">
        <f t="shared" si="2"/>
        <v>10767409.009837063</v>
      </c>
      <c r="C82" s="2">
        <f>('1400'!C82/'1400'!C$115)*مجموع!$C$17</f>
        <v>1031497.2453158329</v>
      </c>
      <c r="D82" s="2">
        <f>('1400'!D82/'1400'!D$115)*مجموع!$C$16</f>
        <v>1050591.2322713071</v>
      </c>
      <c r="E82" s="2">
        <f>('1400'!E82/'1400'!E$115)*مجموع!$C$15</f>
        <v>851323.96610339615</v>
      </c>
      <c r="F82" s="2">
        <f>('1400'!F82/'1400'!F$115)*مجموع!$C$14</f>
        <v>838664.16361018189</v>
      </c>
      <c r="G82" s="2">
        <f>('1400'!G82/'1400'!G$115)*مجموع!$C$13</f>
        <v>836935.83531663544</v>
      </c>
      <c r="H82" s="2">
        <f>('1400'!H82/'1400'!H$115)*مجموع!$C$12</f>
        <v>909753.00515612902</v>
      </c>
      <c r="I82" s="2">
        <f>('1400'!I82/'1400'!I$115)*مجموع!$C$11</f>
        <v>831090.85265391297</v>
      </c>
      <c r="J82" s="2">
        <f>('1400'!J82/'1400'!J$115)*مجموع!$C$10</f>
        <v>980485.19569076924</v>
      </c>
      <c r="K82" s="2">
        <f>('1400'!K82/'1400'!K$115)*مجموع!$C$9</f>
        <v>1236525.5405243638</v>
      </c>
      <c r="L82" s="2">
        <f>('1400'!L82/'1400'!L$115)*مجموع!$C$8</f>
        <v>1116594.9948175438</v>
      </c>
      <c r="M82" s="2">
        <f>('1400'!M82/'1400'!M$115)*مجموع!$C$7</f>
        <v>1083946.97837699</v>
      </c>
      <c r="N82" s="2">
        <f>('1400'!N82/'1400'!N$115)*مجموع!$C$6</f>
        <v>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1"/>
        <v>79</v>
      </c>
    </row>
    <row r="83" spans="1:19" ht="22.2" x14ac:dyDescent="0.3">
      <c r="A83" s="1"/>
      <c r="B83" s="7">
        <f t="shared" si="2"/>
        <v>21534818.019674126</v>
      </c>
      <c r="C83" s="2">
        <f>('1400'!C83/'1400'!C$115)*مجموع!$C$17</f>
        <v>2062994.4906316658</v>
      </c>
      <c r="D83" s="2">
        <f>('1400'!D83/'1400'!D$115)*مجموع!$C$16</f>
        <v>2101182.4645426143</v>
      </c>
      <c r="E83" s="2">
        <f>('1400'!E83/'1400'!E$115)*مجموع!$C$15</f>
        <v>1702647.9322067923</v>
      </c>
      <c r="F83" s="2">
        <f>('1400'!F83/'1400'!F$115)*مجموع!$C$14</f>
        <v>1677328.3272203638</v>
      </c>
      <c r="G83" s="2">
        <f>('1400'!G83/'1400'!G$115)*مجموع!$C$13</f>
        <v>1673871.6706332709</v>
      </c>
      <c r="H83" s="2">
        <f>('1400'!H83/'1400'!H$115)*مجموع!$C$12</f>
        <v>1819506.010312258</v>
      </c>
      <c r="I83" s="2">
        <f>('1400'!I83/'1400'!I$115)*مجموع!$C$11</f>
        <v>1662181.7053078259</v>
      </c>
      <c r="J83" s="2">
        <f>('1400'!J83/'1400'!J$115)*مجموع!$C$10</f>
        <v>1960970.3913815385</v>
      </c>
      <c r="K83" s="2">
        <f>('1400'!K83/'1400'!K$115)*مجموع!$C$9</f>
        <v>2473051.0810487275</v>
      </c>
      <c r="L83" s="2">
        <f>('1400'!L83/'1400'!L$115)*مجموع!$C$8</f>
        <v>2233189.9896350875</v>
      </c>
      <c r="M83" s="2">
        <f>('1400'!M83/'1400'!M$115)*مجموع!$C$7</f>
        <v>2167893.9567539799</v>
      </c>
      <c r="N83" s="2">
        <f>('1400'!N83/'1400'!N$115)*مجموع!$C$6</f>
        <v>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1"/>
        <v>80</v>
      </c>
    </row>
    <row r="84" spans="1:19" ht="22.2" x14ac:dyDescent="0.3">
      <c r="A84" s="1"/>
      <c r="B84" s="7">
        <f t="shared" si="2"/>
        <v>10767409.009837063</v>
      </c>
      <c r="C84" s="2">
        <f>('1400'!C84/'1400'!C$115)*مجموع!$C$17</f>
        <v>1031497.2453158329</v>
      </c>
      <c r="D84" s="2">
        <f>('1400'!D84/'1400'!D$115)*مجموع!$C$16</f>
        <v>1050591.2322713071</v>
      </c>
      <c r="E84" s="2">
        <f>('1400'!E84/'1400'!E$115)*مجموع!$C$15</f>
        <v>851323.96610339615</v>
      </c>
      <c r="F84" s="2">
        <f>('1400'!F84/'1400'!F$115)*مجموع!$C$14</f>
        <v>838664.16361018189</v>
      </c>
      <c r="G84" s="2">
        <f>('1400'!G84/'1400'!G$115)*مجموع!$C$13</f>
        <v>836935.83531663544</v>
      </c>
      <c r="H84" s="2">
        <f>('1400'!H84/'1400'!H$115)*مجموع!$C$12</f>
        <v>909753.00515612902</v>
      </c>
      <c r="I84" s="2">
        <f>('1400'!I84/'1400'!I$115)*مجموع!$C$11</f>
        <v>831090.85265391297</v>
      </c>
      <c r="J84" s="2">
        <f>('1400'!J84/'1400'!J$115)*مجموع!$C$10</f>
        <v>980485.19569076924</v>
      </c>
      <c r="K84" s="2">
        <f>('1400'!K84/'1400'!K$115)*مجموع!$C$9</f>
        <v>1236525.5405243638</v>
      </c>
      <c r="L84" s="2">
        <f>('1400'!L84/'1400'!L$115)*مجموع!$C$8</f>
        <v>1116594.9948175438</v>
      </c>
      <c r="M84" s="2">
        <f>('1400'!M84/'1400'!M$115)*مجموع!$C$7</f>
        <v>1083946.97837699</v>
      </c>
      <c r="N84" s="2">
        <f>('1400'!N84/'1400'!N$115)*مجموع!$C$6</f>
        <v>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1"/>
        <v>81</v>
      </c>
    </row>
    <row r="85" spans="1:19" ht="22.2" x14ac:dyDescent="0.3">
      <c r="A85" s="1"/>
      <c r="B85" s="7">
        <f t="shared" si="2"/>
        <v>10767409.009837063</v>
      </c>
      <c r="C85" s="2">
        <f>('1400'!C85/'1400'!C$115)*مجموع!$C$17</f>
        <v>1031497.2453158329</v>
      </c>
      <c r="D85" s="2">
        <f>('1400'!D85/'1400'!D$115)*مجموع!$C$16</f>
        <v>1050591.2322713071</v>
      </c>
      <c r="E85" s="2">
        <f>('1400'!E85/'1400'!E$115)*مجموع!$C$15</f>
        <v>851323.96610339615</v>
      </c>
      <c r="F85" s="2">
        <f>('1400'!F85/'1400'!F$115)*مجموع!$C$14</f>
        <v>838664.16361018189</v>
      </c>
      <c r="G85" s="2">
        <f>('1400'!G85/'1400'!G$115)*مجموع!$C$13</f>
        <v>836935.83531663544</v>
      </c>
      <c r="H85" s="2">
        <f>('1400'!H85/'1400'!H$115)*مجموع!$C$12</f>
        <v>909753.00515612902</v>
      </c>
      <c r="I85" s="2">
        <f>('1400'!I85/'1400'!I$115)*مجموع!$C$11</f>
        <v>831090.85265391297</v>
      </c>
      <c r="J85" s="2">
        <f>('1400'!J85/'1400'!J$115)*مجموع!$C$10</f>
        <v>980485.19569076924</v>
      </c>
      <c r="K85" s="2">
        <f>('1400'!K85/'1400'!K$115)*مجموع!$C$9</f>
        <v>1236525.5405243638</v>
      </c>
      <c r="L85" s="2">
        <f>('1400'!L85/'1400'!L$115)*مجموع!$C$8</f>
        <v>1116594.9948175438</v>
      </c>
      <c r="M85" s="2">
        <f>('1400'!M85/'1400'!M$115)*مجموع!$C$7</f>
        <v>1083946.97837699</v>
      </c>
      <c r="N85" s="2">
        <f>('1400'!N85/'1400'!N$115)*مجموع!$C$6</f>
        <v>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1"/>
        <v>82</v>
      </c>
    </row>
    <row r="86" spans="1:19" ht="22.2" x14ac:dyDescent="0.3">
      <c r="A86" s="1"/>
      <c r="B86" s="7">
        <f t="shared" si="2"/>
        <v>10767409.009837063</v>
      </c>
      <c r="C86" s="2">
        <f>('1400'!C86/'1400'!C$115)*مجموع!$C$17</f>
        <v>1031497.2453158329</v>
      </c>
      <c r="D86" s="2">
        <f>('1400'!D86/'1400'!D$115)*مجموع!$C$16</f>
        <v>1050591.2322713071</v>
      </c>
      <c r="E86" s="2">
        <f>('1400'!E86/'1400'!E$115)*مجموع!$C$15</f>
        <v>851323.96610339615</v>
      </c>
      <c r="F86" s="2">
        <f>('1400'!F86/'1400'!F$115)*مجموع!$C$14</f>
        <v>838664.16361018189</v>
      </c>
      <c r="G86" s="2">
        <f>('1400'!G86/'1400'!G$115)*مجموع!$C$13</f>
        <v>836935.83531663544</v>
      </c>
      <c r="H86" s="2">
        <f>('1400'!H86/'1400'!H$115)*مجموع!$C$12</f>
        <v>909753.00515612902</v>
      </c>
      <c r="I86" s="2">
        <f>('1400'!I86/'1400'!I$115)*مجموع!$C$11</f>
        <v>831090.85265391297</v>
      </c>
      <c r="J86" s="2">
        <f>('1400'!J86/'1400'!J$115)*مجموع!$C$10</f>
        <v>980485.19569076924</v>
      </c>
      <c r="K86" s="2">
        <f>('1400'!K86/'1400'!K$115)*مجموع!$C$9</f>
        <v>1236525.5405243638</v>
      </c>
      <c r="L86" s="2">
        <f>('1400'!L86/'1400'!L$115)*مجموع!$C$8</f>
        <v>1116594.9948175438</v>
      </c>
      <c r="M86" s="2">
        <f>('1400'!M86/'1400'!M$115)*مجموع!$C$7</f>
        <v>1083946.97837699</v>
      </c>
      <c r="N86" s="2">
        <f>('1400'!N86/'1400'!N$115)*مجموع!$C$6</f>
        <v>0</v>
      </c>
      <c r="O86" s="5">
        <v>100</v>
      </c>
      <c r="P86" s="1" t="s">
        <v>104</v>
      </c>
      <c r="Q86" s="1">
        <v>1095</v>
      </c>
      <c r="R86" s="1"/>
      <c r="S86" s="1">
        <f t="shared" si="1"/>
        <v>83</v>
      </c>
    </row>
    <row r="87" spans="1:19" ht="22.2" x14ac:dyDescent="0.3">
      <c r="A87" s="1"/>
      <c r="B87" s="7">
        <f t="shared" si="2"/>
        <v>10767409.009837063</v>
      </c>
      <c r="C87" s="2">
        <f>('1400'!C87/'1400'!C$115)*مجموع!$C$17</f>
        <v>1031497.2453158329</v>
      </c>
      <c r="D87" s="2">
        <f>('1400'!D87/'1400'!D$115)*مجموع!$C$16</f>
        <v>1050591.2322713071</v>
      </c>
      <c r="E87" s="2">
        <f>('1400'!E87/'1400'!E$115)*مجموع!$C$15</f>
        <v>851323.96610339615</v>
      </c>
      <c r="F87" s="2">
        <f>('1400'!F87/'1400'!F$115)*مجموع!$C$14</f>
        <v>838664.16361018189</v>
      </c>
      <c r="G87" s="2">
        <f>('1400'!G87/'1400'!G$115)*مجموع!$C$13</f>
        <v>836935.83531663544</v>
      </c>
      <c r="H87" s="2">
        <f>('1400'!H87/'1400'!H$115)*مجموع!$C$12</f>
        <v>909753.00515612902</v>
      </c>
      <c r="I87" s="2">
        <f>('1400'!I87/'1400'!I$115)*مجموع!$C$11</f>
        <v>831090.85265391297</v>
      </c>
      <c r="J87" s="2">
        <f>('1400'!J87/'1400'!J$115)*مجموع!$C$10</f>
        <v>980485.19569076924</v>
      </c>
      <c r="K87" s="2">
        <f>('1400'!K87/'1400'!K$115)*مجموع!$C$9</f>
        <v>1236525.5405243638</v>
      </c>
      <c r="L87" s="2">
        <f>('1400'!L87/'1400'!L$115)*مجموع!$C$8</f>
        <v>1116594.9948175438</v>
      </c>
      <c r="M87" s="2">
        <f>('1400'!M87/'1400'!M$115)*مجموع!$C$7</f>
        <v>1083946.97837699</v>
      </c>
      <c r="N87" s="2">
        <f>('1400'!N87/'1400'!N$115)*مجموع!$C$6</f>
        <v>0</v>
      </c>
      <c r="O87" s="5">
        <v>100</v>
      </c>
      <c r="P87" s="1" t="s">
        <v>106</v>
      </c>
      <c r="Q87" s="1">
        <v>1096</v>
      </c>
      <c r="R87" s="1"/>
      <c r="S87" s="1">
        <f t="shared" si="1"/>
        <v>84</v>
      </c>
    </row>
    <row r="88" spans="1:19" ht="22.2" x14ac:dyDescent="0.3">
      <c r="A88" s="1"/>
      <c r="B88" s="7">
        <f t="shared" si="2"/>
        <v>10767409.009837063</v>
      </c>
      <c r="C88" s="2">
        <f>('1400'!C88/'1400'!C$115)*مجموع!$C$17</f>
        <v>1031497.2453158329</v>
      </c>
      <c r="D88" s="2">
        <f>('1400'!D88/'1400'!D$115)*مجموع!$C$16</f>
        <v>1050591.2322713071</v>
      </c>
      <c r="E88" s="2">
        <f>('1400'!E88/'1400'!E$115)*مجموع!$C$15</f>
        <v>851323.96610339615</v>
      </c>
      <c r="F88" s="2">
        <f>('1400'!F88/'1400'!F$115)*مجموع!$C$14</f>
        <v>838664.16361018189</v>
      </c>
      <c r="G88" s="2">
        <f>('1400'!G88/'1400'!G$115)*مجموع!$C$13</f>
        <v>836935.83531663544</v>
      </c>
      <c r="H88" s="2">
        <f>('1400'!H88/'1400'!H$115)*مجموع!$C$12</f>
        <v>909753.00515612902</v>
      </c>
      <c r="I88" s="2">
        <f>('1400'!I88/'1400'!I$115)*مجموع!$C$11</f>
        <v>831090.85265391297</v>
      </c>
      <c r="J88" s="2">
        <f>('1400'!J88/'1400'!J$115)*مجموع!$C$10</f>
        <v>980485.19569076924</v>
      </c>
      <c r="K88" s="2">
        <f>('1400'!K88/'1400'!K$115)*مجموع!$C$9</f>
        <v>1236525.5405243638</v>
      </c>
      <c r="L88" s="2">
        <f>('1400'!L88/'1400'!L$115)*مجموع!$C$8</f>
        <v>1116594.9948175438</v>
      </c>
      <c r="M88" s="2">
        <f>('1400'!M88/'1400'!M$115)*مجموع!$C$7</f>
        <v>1083946.97837699</v>
      </c>
      <c r="N88" s="2">
        <f>('1400'!N88/'1400'!N$115)*مجموع!$C$6</f>
        <v>0</v>
      </c>
      <c r="O88" s="5">
        <v>100</v>
      </c>
      <c r="P88" s="1" t="s">
        <v>105</v>
      </c>
      <c r="Q88" s="1">
        <v>1097</v>
      </c>
      <c r="R88" s="1"/>
      <c r="S88" s="1">
        <f t="shared" si="1"/>
        <v>85</v>
      </c>
    </row>
    <row r="89" spans="1:19" ht="22.2" x14ac:dyDescent="0.3">
      <c r="A89" s="1"/>
      <c r="B89" s="7">
        <f t="shared" si="2"/>
        <v>10767409.009837063</v>
      </c>
      <c r="C89" s="2">
        <f>('1400'!C89/'1400'!C$115)*مجموع!$C$17</f>
        <v>1031497.2453158329</v>
      </c>
      <c r="D89" s="2">
        <f>('1400'!D89/'1400'!D$115)*مجموع!$C$16</f>
        <v>1050591.2322713071</v>
      </c>
      <c r="E89" s="2">
        <f>('1400'!E89/'1400'!E$115)*مجموع!$C$15</f>
        <v>851323.96610339615</v>
      </c>
      <c r="F89" s="2">
        <f>('1400'!F89/'1400'!F$115)*مجموع!$C$14</f>
        <v>838664.16361018189</v>
      </c>
      <c r="G89" s="2">
        <f>('1400'!G89/'1400'!G$115)*مجموع!$C$13</f>
        <v>836935.83531663544</v>
      </c>
      <c r="H89" s="2">
        <f>('1400'!H89/'1400'!H$115)*مجموع!$C$12</f>
        <v>909753.00515612902</v>
      </c>
      <c r="I89" s="2">
        <f>('1400'!I89/'1400'!I$115)*مجموع!$C$11</f>
        <v>831090.85265391297</v>
      </c>
      <c r="J89" s="2">
        <f>('1400'!J89/'1400'!J$115)*مجموع!$C$10</f>
        <v>980485.19569076924</v>
      </c>
      <c r="K89" s="2">
        <f>('1400'!K89/'1400'!K$115)*مجموع!$C$9</f>
        <v>1236525.5405243638</v>
      </c>
      <c r="L89" s="2">
        <f>('1400'!L89/'1400'!L$115)*مجموع!$C$8</f>
        <v>1116594.9948175438</v>
      </c>
      <c r="M89" s="2">
        <f>('1400'!M89/'1400'!M$115)*مجموع!$C$7</f>
        <v>1083946.97837699</v>
      </c>
      <c r="N89" s="2">
        <f>('1400'!N89/'1400'!N$115)*مجموع!$C$6</f>
        <v>0</v>
      </c>
      <c r="O89" s="5">
        <v>100</v>
      </c>
      <c r="P89" s="1" t="s">
        <v>26</v>
      </c>
      <c r="Q89" s="1">
        <v>1098</v>
      </c>
      <c r="R89" s="1"/>
      <c r="S89" s="1">
        <f t="shared" si="1"/>
        <v>86</v>
      </c>
    </row>
    <row r="90" spans="1:19" ht="22.2" x14ac:dyDescent="0.3">
      <c r="A90" s="1"/>
      <c r="B90" s="7">
        <f t="shared" si="2"/>
        <v>9674219.7110430487</v>
      </c>
      <c r="C90" s="2">
        <f>('1400'!C90/'1400'!C$115)*مجموع!$C$17</f>
        <v>1031497.2453158329</v>
      </c>
      <c r="D90" s="2">
        <f>('1400'!D90/'1400'!D$115)*مجموع!$C$16</f>
        <v>1050591.2322713071</v>
      </c>
      <c r="E90" s="2">
        <f>('1400'!E90/'1400'!E$115)*مجموع!$C$15</f>
        <v>851323.96610339615</v>
      </c>
      <c r="F90" s="2">
        <f>('1400'!F90/'1400'!F$115)*مجموع!$C$14</f>
        <v>838664.16361018189</v>
      </c>
      <c r="G90" s="2">
        <f>('1400'!G90/'1400'!G$115)*مجموع!$C$13</f>
        <v>836935.83531663544</v>
      </c>
      <c r="H90" s="2">
        <f>('1400'!H90/'1400'!H$115)*مجموع!$C$12</f>
        <v>909753.00515612902</v>
      </c>
      <c r="I90" s="2">
        <f>('1400'!I90/'1400'!I$115)*مجموع!$C$11</f>
        <v>4155454.2632695651</v>
      </c>
      <c r="J90" s="2">
        <f>('1400'!J90/'1400'!J$115)*مجموع!$C$10</f>
        <v>0</v>
      </c>
      <c r="K90" s="2">
        <f>('1400'!K90/'1400'!K$115)*مجموع!$C$9</f>
        <v>0</v>
      </c>
      <c r="L90" s="2">
        <f>('1400'!L90/'1400'!L$115)*مجموع!$C$8</f>
        <v>0</v>
      </c>
      <c r="M90" s="2">
        <f>('1400'!M90/'1400'!M$115)*مجموع!$C$7</f>
        <v>0</v>
      </c>
      <c r="N90" s="2">
        <f>('1400'!N90/'1400'!N$115)*مجموع!$C$6</f>
        <v>0</v>
      </c>
      <c r="O90" s="5">
        <v>100</v>
      </c>
      <c r="P90" s="1" t="s">
        <v>113</v>
      </c>
      <c r="Q90" s="1">
        <v>1103</v>
      </c>
      <c r="R90" s="1"/>
      <c r="S90" s="1">
        <f t="shared" si="1"/>
        <v>87</v>
      </c>
    </row>
    <row r="91" spans="1:19" ht="22.2" x14ac:dyDescent="0.3">
      <c r="A91" s="1"/>
      <c r="B91" s="7">
        <f t="shared" si="2"/>
        <v>1832585.3740295414</v>
      </c>
      <c r="C91" s="2">
        <f>('1400'!C91/'1400'!C$115)*مجموع!$C$17</f>
        <v>257874.31132895823</v>
      </c>
      <c r="D91" s="2">
        <f>('1400'!D91/'1400'!D$115)*مجموع!$C$16</f>
        <v>262647.80806782679</v>
      </c>
      <c r="E91" s="2">
        <f>('1400'!E91/'1400'!E$115)*مجموع!$C$15</f>
        <v>212830.99152584904</v>
      </c>
      <c r="F91" s="2">
        <f>('1400'!F91/'1400'!F$115)*مجموع!$C$14</f>
        <v>209666.04090254547</v>
      </c>
      <c r="G91" s="2">
        <f>('1400'!G91/'1400'!G$115)*مجموع!$C$13</f>
        <v>209233.95882915886</v>
      </c>
      <c r="H91" s="2">
        <f>('1400'!H91/'1400'!H$115)*مجموع!$C$12</f>
        <v>227438.25128903225</v>
      </c>
      <c r="I91" s="2">
        <f>('1400'!I91/'1400'!I$115)*مجموع!$C$11</f>
        <v>207772.71316347824</v>
      </c>
      <c r="J91" s="2">
        <f>('1400'!J91/'1400'!J$115)*مجموع!$C$10</f>
        <v>245121.29892269231</v>
      </c>
      <c r="K91" s="2">
        <f>('1400'!K91/'1400'!K$115)*مجموع!$C$9</f>
        <v>0</v>
      </c>
      <c r="L91" s="2">
        <f>('1400'!L91/'1400'!L$115)*مجموع!$C$8</f>
        <v>0</v>
      </c>
      <c r="M91" s="2">
        <f>('1400'!M91/'1400'!M$115)*مجموع!$C$7</f>
        <v>0</v>
      </c>
      <c r="N91" s="2">
        <f>('1400'!N91/'1400'!N$115)*مجموع!$C$6</f>
        <v>0</v>
      </c>
      <c r="O91" s="5">
        <v>25</v>
      </c>
      <c r="P91" s="1" t="s">
        <v>109</v>
      </c>
      <c r="Q91" s="1">
        <v>1099</v>
      </c>
      <c r="R91" s="1"/>
      <c r="S91" s="1">
        <f t="shared" si="1"/>
        <v>88</v>
      </c>
    </row>
    <row r="92" spans="1:19" ht="22.2" x14ac:dyDescent="0.3">
      <c r="A92" s="1"/>
      <c r="B92" s="7">
        <f t="shared" si="2"/>
        <v>1832585.3740295414</v>
      </c>
      <c r="C92" s="2">
        <f>('1400'!C92/'1400'!C$115)*مجموع!$C$17</f>
        <v>257874.31132895823</v>
      </c>
      <c r="D92" s="2">
        <f>('1400'!D92/'1400'!D$115)*مجموع!$C$16</f>
        <v>262647.80806782679</v>
      </c>
      <c r="E92" s="2">
        <f>('1400'!E92/'1400'!E$115)*مجموع!$C$15</f>
        <v>212830.99152584904</v>
      </c>
      <c r="F92" s="2">
        <f>('1400'!F92/'1400'!F$115)*مجموع!$C$14</f>
        <v>209666.04090254547</v>
      </c>
      <c r="G92" s="2">
        <f>('1400'!G92/'1400'!G$115)*مجموع!$C$13</f>
        <v>209233.95882915886</v>
      </c>
      <c r="H92" s="2">
        <f>('1400'!H92/'1400'!H$115)*مجموع!$C$12</f>
        <v>227438.25128903225</v>
      </c>
      <c r="I92" s="2">
        <f>('1400'!I92/'1400'!I$115)*مجموع!$C$11</f>
        <v>207772.71316347824</v>
      </c>
      <c r="J92" s="2">
        <f>('1400'!J92/'1400'!J$115)*مجموع!$C$10</f>
        <v>245121.29892269231</v>
      </c>
      <c r="K92" s="2">
        <f>('1400'!K92/'1400'!K$115)*مجموع!$C$9</f>
        <v>0</v>
      </c>
      <c r="L92" s="2">
        <f>('1400'!L92/'1400'!L$115)*مجموع!$C$8</f>
        <v>0</v>
      </c>
      <c r="M92" s="2">
        <f>('1400'!M92/'1400'!M$115)*مجموع!$C$7</f>
        <v>0</v>
      </c>
      <c r="N92" s="2">
        <f>('1400'!N92/'1400'!N$115)*مجموع!$C$6</f>
        <v>0</v>
      </c>
      <c r="O92" s="5">
        <v>25</v>
      </c>
      <c r="P92" s="1" t="s">
        <v>110</v>
      </c>
      <c r="Q92" s="1">
        <v>1100</v>
      </c>
      <c r="R92" s="1"/>
      <c r="S92" s="1">
        <f t="shared" si="1"/>
        <v>89</v>
      </c>
    </row>
    <row r="93" spans="1:19" ht="22.2" x14ac:dyDescent="0.3">
      <c r="A93" s="1"/>
      <c r="B93" s="7">
        <f t="shared" si="2"/>
        <v>1832585.3740295414</v>
      </c>
      <c r="C93" s="2">
        <f>('1400'!C93/'1400'!C$115)*مجموع!$C$17</f>
        <v>257874.31132895823</v>
      </c>
      <c r="D93" s="2">
        <f>('1400'!D93/'1400'!D$115)*مجموع!$C$16</f>
        <v>262647.80806782679</v>
      </c>
      <c r="E93" s="2">
        <f>('1400'!E93/'1400'!E$115)*مجموع!$C$15</f>
        <v>212830.99152584904</v>
      </c>
      <c r="F93" s="2">
        <f>('1400'!F93/'1400'!F$115)*مجموع!$C$14</f>
        <v>209666.04090254547</v>
      </c>
      <c r="G93" s="2">
        <f>('1400'!G93/'1400'!G$115)*مجموع!$C$13</f>
        <v>209233.95882915886</v>
      </c>
      <c r="H93" s="2">
        <f>('1400'!H93/'1400'!H$115)*مجموع!$C$12</f>
        <v>227438.25128903225</v>
      </c>
      <c r="I93" s="2">
        <f>('1400'!I93/'1400'!I$115)*مجموع!$C$11</f>
        <v>207772.71316347824</v>
      </c>
      <c r="J93" s="2">
        <f>('1400'!J93/'1400'!J$115)*مجموع!$C$10</f>
        <v>245121.29892269231</v>
      </c>
      <c r="K93" s="2">
        <f>('1400'!K93/'1400'!K$115)*مجموع!$C$9</f>
        <v>0</v>
      </c>
      <c r="L93" s="2">
        <f>('1400'!L93/'1400'!L$115)*مجموع!$C$8</f>
        <v>0</v>
      </c>
      <c r="M93" s="2">
        <f>('1400'!M93/'1400'!M$115)*مجموع!$C$7</f>
        <v>0</v>
      </c>
      <c r="N93" s="2">
        <f>('1400'!N93/'1400'!N$115)*مجموع!$C$6</f>
        <v>0</v>
      </c>
      <c r="O93" s="5">
        <v>25</v>
      </c>
      <c r="P93" s="1" t="s">
        <v>111</v>
      </c>
      <c r="Q93" s="1">
        <v>1101</v>
      </c>
      <c r="R93" s="1"/>
      <c r="S93" s="1">
        <f t="shared" si="1"/>
        <v>90</v>
      </c>
    </row>
    <row r="94" spans="1:19" ht="22.2" x14ac:dyDescent="0.3">
      <c r="A94" s="1"/>
      <c r="B94" s="7">
        <f t="shared" si="2"/>
        <v>59111502.816805132</v>
      </c>
      <c r="C94" s="2">
        <f>('1400'!C94/'1400'!C$115)*مجموع!$C$17</f>
        <v>5157486.2265791651</v>
      </c>
      <c r="D94" s="2">
        <f>('1400'!D94/'1400'!D$115)*مجموع!$C$16</f>
        <v>5252956.1613565357</v>
      </c>
      <c r="E94" s="2">
        <f>('1400'!E94/'1400'!E$115)*مجموع!$C$15</f>
        <v>4256619.830516981</v>
      </c>
      <c r="F94" s="2">
        <f>('1400'!F94/'1400'!F$115)*مجموع!$C$14</f>
        <v>4193320.8180509098</v>
      </c>
      <c r="G94" s="2">
        <f>('1400'!G94/'1400'!G$115)*مجموع!$C$13</f>
        <v>4184679.1765831769</v>
      </c>
      <c r="H94" s="2">
        <f>('1400'!H94/'1400'!H$115)*مجموع!$C$12</f>
        <v>4548765.0257806452</v>
      </c>
      <c r="I94" s="2">
        <f>('1400'!I94/'1400'!I$115)*مجموع!$C$11</f>
        <v>4155454.2632695651</v>
      </c>
      <c r="J94" s="2">
        <f>('1400'!J94/'1400'!J$115)*مجموع!$C$10</f>
        <v>4902425.9784538457</v>
      </c>
      <c r="K94" s="2">
        <f>('1400'!K94/'1400'!K$115)*مجموع!$C$9</f>
        <v>6182627.7026218195</v>
      </c>
      <c r="L94" s="2">
        <f>('1400'!L94/'1400'!L$115)*مجموع!$C$8</f>
        <v>5582974.9740877189</v>
      </c>
      <c r="M94" s="2">
        <f>('1400'!M94/'1400'!M$115)*مجموع!$C$7</f>
        <v>8129602.3378274255</v>
      </c>
      <c r="N94" s="2">
        <f>('1400'!N94/'1400'!N$115)*مجموع!$C$6</f>
        <v>2564590.3216773332</v>
      </c>
      <c r="O94" s="5">
        <v>500</v>
      </c>
      <c r="P94" s="1" t="s">
        <v>40</v>
      </c>
      <c r="Q94" s="1">
        <v>1020</v>
      </c>
      <c r="R94" s="1" t="s">
        <v>93</v>
      </c>
      <c r="S94" s="1">
        <f t="shared" si="1"/>
        <v>91</v>
      </c>
    </row>
    <row r="95" spans="1:19" ht="22.2" x14ac:dyDescent="0.3">
      <c r="A95" s="1"/>
      <c r="B95" s="7">
        <f t="shared" si="2"/>
        <v>86138034.319558576</v>
      </c>
      <c r="C95" s="2">
        <f>('1400'!C95/'1400'!C$115)*مجموع!$C$17</f>
        <v>6188983.4718949972</v>
      </c>
      <c r="D95" s="2">
        <f>('1400'!D95/'1400'!D$115)*مجموع!$C$16</f>
        <v>6303547.3936278429</v>
      </c>
      <c r="E95" s="2">
        <f>('1400'!E95/'1400'!E$115)*مجموع!$C$15</f>
        <v>5107943.7966203773</v>
      </c>
      <c r="F95" s="2">
        <f>('1400'!F95/'1400'!F$115)*مجموع!$C$14</f>
        <v>5031984.9816610916</v>
      </c>
      <c r="G95" s="2">
        <f>('1400'!G95/'1400'!G$115)*مجموع!$C$13</f>
        <v>5021615.0118998131</v>
      </c>
      <c r="H95" s="2">
        <f>('1400'!H95/'1400'!H$115)*مجموع!$C$12</f>
        <v>5458518.0309367748</v>
      </c>
      <c r="I95" s="2">
        <f>('1400'!I95/'1400'!I$115)*مجموع!$C$11</f>
        <v>4986545.1159234773</v>
      </c>
      <c r="J95" s="2">
        <f>('1400'!J95/'1400'!J$115)*مجموع!$C$10</f>
        <v>5882911.1741446154</v>
      </c>
      <c r="K95" s="2">
        <f>('1400'!K95/'1400'!K$115)*مجموع!$C$9</f>
        <v>9892204.32419491</v>
      </c>
      <c r="L95" s="2">
        <f>('1400'!L95/'1400'!L$115)*مجموع!$C$8</f>
        <v>11165949.948175438</v>
      </c>
      <c r="M95" s="2">
        <f>('1400'!M95/'1400'!M$115)*مجموع!$C$7</f>
        <v>10839469.7837699</v>
      </c>
      <c r="N95" s="2">
        <f>('1400'!N95/'1400'!N$115)*مجموع!$C$6</f>
        <v>10258361.286709333</v>
      </c>
      <c r="O95" s="5">
        <v>600</v>
      </c>
      <c r="P95" s="1" t="s">
        <v>27</v>
      </c>
      <c r="Q95" s="1">
        <v>1050</v>
      </c>
      <c r="R95" s="1" t="s">
        <v>93</v>
      </c>
      <c r="S95" s="1">
        <f t="shared" si="1"/>
        <v>92</v>
      </c>
    </row>
    <row r="96" spans="1:19" ht="22.2" x14ac:dyDescent="0.3">
      <c r="A96" s="1"/>
      <c r="B96" s="7">
        <f t="shared" si="2"/>
        <v>48934619.070731476</v>
      </c>
      <c r="C96" s="2">
        <f>('1400'!C96/'1400'!C$115)*مجموع!$C$17</f>
        <v>5157486.2265791651</v>
      </c>
      <c r="D96" s="2">
        <f>('1400'!D96/'1400'!D$115)*مجموع!$C$16</f>
        <v>5252956.1613565357</v>
      </c>
      <c r="E96" s="2">
        <f>('1400'!E96/'1400'!E$115)*مجموع!$C$15</f>
        <v>4256619.830516981</v>
      </c>
      <c r="F96" s="2">
        <f>('1400'!F96/'1400'!F$115)*مجموع!$C$14</f>
        <v>4193320.8180509098</v>
      </c>
      <c r="G96" s="2">
        <f>('1400'!G96/'1400'!G$115)*مجموع!$C$13</f>
        <v>4184679.1765831769</v>
      </c>
      <c r="H96" s="2">
        <f>('1400'!H96/'1400'!H$115)*مجموع!$C$12</f>
        <v>4548765.0257806452</v>
      </c>
      <c r="I96" s="2">
        <f>('1400'!I96/'1400'!I$115)*مجموع!$C$11</f>
        <v>4155454.2632695651</v>
      </c>
      <c r="J96" s="2">
        <f>('1400'!J96/'1400'!J$115)*مجموع!$C$10</f>
        <v>0</v>
      </c>
      <c r="K96" s="2">
        <f>('1400'!K96/'1400'!K$115)*مجموع!$C$9</f>
        <v>6182627.7026218195</v>
      </c>
      <c r="L96" s="2">
        <f>('1400'!L96/'1400'!L$115)*مجموع!$C$8</f>
        <v>5582974.9740877189</v>
      </c>
      <c r="M96" s="2">
        <f>('1400'!M96/'1400'!M$115)*مجموع!$C$7</f>
        <v>5419734.89188495</v>
      </c>
      <c r="N96" s="2">
        <f>('1400'!N96/'1400'!N$115)*مجموع!$C$6</f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1"/>
        <v>93</v>
      </c>
    </row>
    <row r="97" spans="1:19" ht="22.2" x14ac:dyDescent="0.3">
      <c r="A97" s="1"/>
      <c r="B97" s="7">
        <f t="shared" si="2"/>
        <v>11793245.138507996</v>
      </c>
      <c r="C97" s="2">
        <f>('1400'!C97/'1400'!C$115)*مجموع!$C$17</f>
        <v>1031497.2453158329</v>
      </c>
      <c r="D97" s="2">
        <f>('1400'!D97/'1400'!D$115)*مجموع!$C$16</f>
        <v>1050591.2322713071</v>
      </c>
      <c r="E97" s="2">
        <f>('1400'!E97/'1400'!E$115)*مجموع!$C$15</f>
        <v>851323.96610339615</v>
      </c>
      <c r="F97" s="2">
        <f>('1400'!F97/'1400'!F$115)*مجموع!$C$14</f>
        <v>838664.16361018189</v>
      </c>
      <c r="G97" s="2">
        <f>('1400'!G97/'1400'!G$115)*مجموع!$C$13</f>
        <v>836935.83531663544</v>
      </c>
      <c r="H97" s="2">
        <f>('1400'!H97/'1400'!H$115)*مجموع!$C$12</f>
        <v>909753.00515612902</v>
      </c>
      <c r="I97" s="2">
        <f>('1400'!I97/'1400'!I$115)*مجموع!$C$11</f>
        <v>831090.85265391297</v>
      </c>
      <c r="J97" s="2">
        <f>('1400'!J97/'1400'!J$115)*مجموع!$C$10</f>
        <v>980485.19569076924</v>
      </c>
      <c r="K97" s="2">
        <f>('1400'!K97/'1400'!K$115)*مجموع!$C$9</f>
        <v>1236525.5405243638</v>
      </c>
      <c r="L97" s="2">
        <f>('1400'!L97/'1400'!L$115)*مجموع!$C$8</f>
        <v>1116594.9948175438</v>
      </c>
      <c r="M97" s="2">
        <f>('1400'!M97/'1400'!M$115)*مجموع!$C$7</f>
        <v>1083946.97837699</v>
      </c>
      <c r="N97" s="2">
        <f>('1400'!N97/'1400'!N$115)*مجموع!$C$6</f>
        <v>1025836.1286709333</v>
      </c>
      <c r="O97" s="5">
        <v>100</v>
      </c>
      <c r="P97" s="1" t="s">
        <v>61</v>
      </c>
      <c r="Q97" s="1">
        <v>1021</v>
      </c>
      <c r="R97" s="1" t="s">
        <v>93</v>
      </c>
      <c r="S97" s="1">
        <f t="shared" si="1"/>
        <v>94</v>
      </c>
    </row>
    <row r="98" spans="1:19" ht="22.2" x14ac:dyDescent="0.3">
      <c r="A98" s="1"/>
      <c r="B98" s="7">
        <f t="shared" si="2"/>
        <v>23586490.277015992</v>
      </c>
      <c r="C98" s="2">
        <f>('1400'!C98/'1400'!C$115)*مجموع!$C$17</f>
        <v>2062994.4906316658</v>
      </c>
      <c r="D98" s="2">
        <f>('1400'!D98/'1400'!D$115)*مجموع!$C$16</f>
        <v>2101182.4645426143</v>
      </c>
      <c r="E98" s="2">
        <f>('1400'!E98/'1400'!E$115)*مجموع!$C$15</f>
        <v>1702647.9322067923</v>
      </c>
      <c r="F98" s="2">
        <f>('1400'!F98/'1400'!F$115)*مجموع!$C$14</f>
        <v>1677328.3272203638</v>
      </c>
      <c r="G98" s="2">
        <f>('1400'!G98/'1400'!G$115)*مجموع!$C$13</f>
        <v>1673871.6706332709</v>
      </c>
      <c r="H98" s="2">
        <f>('1400'!H98/'1400'!H$115)*مجموع!$C$12</f>
        <v>1819506.010312258</v>
      </c>
      <c r="I98" s="2">
        <f>('1400'!I98/'1400'!I$115)*مجموع!$C$11</f>
        <v>1662181.7053078259</v>
      </c>
      <c r="J98" s="2">
        <f>('1400'!J98/'1400'!J$115)*مجموع!$C$10</f>
        <v>1960970.3913815385</v>
      </c>
      <c r="K98" s="2">
        <f>('1400'!K98/'1400'!K$115)*مجموع!$C$9</f>
        <v>2473051.0810487275</v>
      </c>
      <c r="L98" s="2">
        <f>('1400'!L98/'1400'!L$115)*مجموع!$C$8</f>
        <v>2233189.9896350875</v>
      </c>
      <c r="M98" s="2">
        <f>('1400'!M98/'1400'!M$115)*مجموع!$C$7</f>
        <v>2167893.9567539799</v>
      </c>
      <c r="N98" s="2">
        <f>('1400'!N98/'1400'!N$115)*مجموع!$C$6</f>
        <v>2051672.2573418666</v>
      </c>
      <c r="O98" s="5">
        <v>200</v>
      </c>
      <c r="P98" s="1" t="s">
        <v>76</v>
      </c>
      <c r="Q98" s="1">
        <v>1026</v>
      </c>
      <c r="R98" s="1" t="s">
        <v>93</v>
      </c>
      <c r="S98" s="1">
        <f t="shared" si="1"/>
        <v>95</v>
      </c>
    </row>
    <row r="99" spans="1:19" ht="22.2" x14ac:dyDescent="0.3">
      <c r="A99" s="1"/>
      <c r="B99" s="7">
        <f t="shared" si="2"/>
        <v>11793245.138507996</v>
      </c>
      <c r="C99" s="2">
        <f>('1400'!C99/'1400'!C$115)*مجموع!$C$17</f>
        <v>1031497.2453158329</v>
      </c>
      <c r="D99" s="2">
        <f>('1400'!D99/'1400'!D$115)*مجموع!$C$16</f>
        <v>1050591.2322713071</v>
      </c>
      <c r="E99" s="2">
        <f>('1400'!E99/'1400'!E$115)*مجموع!$C$15</f>
        <v>851323.96610339615</v>
      </c>
      <c r="F99" s="2">
        <f>('1400'!F99/'1400'!F$115)*مجموع!$C$14</f>
        <v>838664.16361018189</v>
      </c>
      <c r="G99" s="2">
        <f>('1400'!G99/'1400'!G$115)*مجموع!$C$13</f>
        <v>836935.83531663544</v>
      </c>
      <c r="H99" s="2">
        <f>('1400'!H99/'1400'!H$115)*مجموع!$C$12</f>
        <v>909753.00515612902</v>
      </c>
      <c r="I99" s="2">
        <f>('1400'!I99/'1400'!I$115)*مجموع!$C$11</f>
        <v>831090.85265391297</v>
      </c>
      <c r="J99" s="2">
        <f>('1400'!J99/'1400'!J$115)*مجموع!$C$10</f>
        <v>980485.19569076924</v>
      </c>
      <c r="K99" s="2">
        <f>('1400'!K99/'1400'!K$115)*مجموع!$C$9</f>
        <v>1236525.5405243638</v>
      </c>
      <c r="L99" s="2">
        <f>('1400'!L99/'1400'!L$115)*مجموع!$C$8</f>
        <v>1116594.9948175438</v>
      </c>
      <c r="M99" s="2">
        <f>('1400'!M99/'1400'!M$115)*مجموع!$C$7</f>
        <v>1083946.97837699</v>
      </c>
      <c r="N99" s="2">
        <f>('1400'!N99/'1400'!N$115)*مجموع!$C$6</f>
        <v>1025836.1286709333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1"/>
        <v>96</v>
      </c>
    </row>
    <row r="100" spans="1:19" ht="22.2" x14ac:dyDescent="0.3">
      <c r="A100" s="1"/>
      <c r="B100" s="7">
        <f t="shared" si="2"/>
        <v>14097751.359816672</v>
      </c>
      <c r="C100" s="2">
        <f>('1400'!C100/'1400'!C$115)*مجموع!$C$17</f>
        <v>1547245.8679737493</v>
      </c>
      <c r="D100" s="2">
        <f>('1400'!D100/'1400'!D$115)*مجموع!$C$16</f>
        <v>1575886.8484069607</v>
      </c>
      <c r="E100" s="2">
        <f>('1400'!E100/'1400'!E$115)*مجموع!$C$15</f>
        <v>1276985.9491550943</v>
      </c>
      <c r="F100" s="2">
        <f>('1400'!F100/'1400'!F$115)*مجموع!$C$14</f>
        <v>1257996.2454152729</v>
      </c>
      <c r="G100" s="2">
        <f>('1400'!G100/'1400'!G$115)*مجموع!$C$13</f>
        <v>1255403.7529749533</v>
      </c>
      <c r="H100" s="2">
        <f>('1400'!H100/'1400'!H$115)*مجموع!$C$12</f>
        <v>909753.00515612902</v>
      </c>
      <c r="I100" s="2">
        <f>('1400'!I100/'1400'!I$115)*مجموع!$C$11</f>
        <v>831090.85265391297</v>
      </c>
      <c r="J100" s="2">
        <f>('1400'!J100/'1400'!J$115)*مجموع!$C$10</f>
        <v>980485.19569076924</v>
      </c>
      <c r="K100" s="2">
        <f>('1400'!K100/'1400'!K$115)*مجموع!$C$9</f>
        <v>1236525.5405243638</v>
      </c>
      <c r="L100" s="2">
        <f>('1400'!L100/'1400'!L$115)*مجموع!$C$8</f>
        <v>1116594.9948175438</v>
      </c>
      <c r="M100" s="2">
        <f>('1400'!M100/'1400'!M$115)*مجموع!$C$7</f>
        <v>1083946.97837699</v>
      </c>
      <c r="N100" s="2">
        <f>('1400'!N100/'1400'!N$115)*مجموع!$C$6</f>
        <v>1025836.1286709333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1"/>
        <v>97</v>
      </c>
    </row>
    <row r="101" spans="1:19" ht="22.2" x14ac:dyDescent="0.3">
      <c r="A101" s="1"/>
      <c r="B101" s="7">
        <f t="shared" si="2"/>
        <v>23586490.277015992</v>
      </c>
      <c r="C101" s="2">
        <f>('1400'!C101/'1400'!C$115)*مجموع!$C$17</f>
        <v>2062994.4906316658</v>
      </c>
      <c r="D101" s="2">
        <f>('1400'!D101/'1400'!D$115)*مجموع!$C$16</f>
        <v>2101182.4645426143</v>
      </c>
      <c r="E101" s="2">
        <f>('1400'!E101/'1400'!E$115)*مجموع!$C$15</f>
        <v>1702647.9322067923</v>
      </c>
      <c r="F101" s="2">
        <f>('1400'!F101/'1400'!F$115)*مجموع!$C$14</f>
        <v>1677328.3272203638</v>
      </c>
      <c r="G101" s="2">
        <f>('1400'!G101/'1400'!G$115)*مجموع!$C$13</f>
        <v>1673871.6706332709</v>
      </c>
      <c r="H101" s="2">
        <f>('1400'!H101/'1400'!H$115)*مجموع!$C$12</f>
        <v>1819506.010312258</v>
      </c>
      <c r="I101" s="2">
        <f>('1400'!I101/'1400'!I$115)*مجموع!$C$11</f>
        <v>1662181.7053078259</v>
      </c>
      <c r="J101" s="2">
        <f>('1400'!J101/'1400'!J$115)*مجموع!$C$10</f>
        <v>1960970.3913815385</v>
      </c>
      <c r="K101" s="2">
        <f>('1400'!K101/'1400'!K$115)*مجموع!$C$9</f>
        <v>2473051.0810487275</v>
      </c>
      <c r="L101" s="2">
        <f>('1400'!L101/'1400'!L$115)*مجموع!$C$8</f>
        <v>2233189.9896350875</v>
      </c>
      <c r="M101" s="2">
        <f>('1400'!M101/'1400'!M$115)*مجموع!$C$7</f>
        <v>2167893.9567539799</v>
      </c>
      <c r="N101" s="2">
        <f>('1400'!N101/'1400'!N$115)*مجموع!$C$6</f>
        <v>2051672.2573418666</v>
      </c>
      <c r="O101" s="5">
        <v>200</v>
      </c>
      <c r="P101" s="1" t="s">
        <v>62</v>
      </c>
      <c r="Q101" s="1">
        <v>1006</v>
      </c>
      <c r="R101" s="1" t="s">
        <v>93</v>
      </c>
      <c r="S101" s="1">
        <f t="shared" si="1"/>
        <v>98</v>
      </c>
    </row>
    <row r="102" spans="1:19" ht="22.2" x14ac:dyDescent="0.3">
      <c r="A102" s="1"/>
      <c r="B102" s="7">
        <f t="shared" si="2"/>
        <v>21534818.019674126</v>
      </c>
      <c r="C102" s="2">
        <f>('1400'!C102/'1400'!C$115)*مجموع!$C$17</f>
        <v>2062994.4906316658</v>
      </c>
      <c r="D102" s="2">
        <f>('1400'!D102/'1400'!D$115)*مجموع!$C$16</f>
        <v>2101182.4645426143</v>
      </c>
      <c r="E102" s="2">
        <f>('1400'!E102/'1400'!E$115)*مجموع!$C$15</f>
        <v>1702647.9322067923</v>
      </c>
      <c r="F102" s="2">
        <f>('1400'!F102/'1400'!F$115)*مجموع!$C$14</f>
        <v>1677328.3272203638</v>
      </c>
      <c r="G102" s="2">
        <f>('1400'!G102/'1400'!G$115)*مجموع!$C$13</f>
        <v>1673871.6706332709</v>
      </c>
      <c r="H102" s="2">
        <f>('1400'!H102/'1400'!H$115)*مجموع!$C$12</f>
        <v>1819506.010312258</v>
      </c>
      <c r="I102" s="2">
        <f>('1400'!I102/'1400'!I$115)*مجموع!$C$11</f>
        <v>1662181.7053078259</v>
      </c>
      <c r="J102" s="2">
        <f>('1400'!J102/'1400'!J$115)*مجموع!$C$10</f>
        <v>1960970.3913815385</v>
      </c>
      <c r="K102" s="2">
        <f>('1400'!K102/'1400'!K$115)*مجموع!$C$9</f>
        <v>2473051.0810487275</v>
      </c>
      <c r="L102" s="2">
        <f>('1400'!L102/'1400'!L$115)*مجموع!$C$8</f>
        <v>2233189.9896350875</v>
      </c>
      <c r="M102" s="2">
        <f>('1400'!M102/'1400'!M$115)*مجموع!$C$7</f>
        <v>2167893.9567539799</v>
      </c>
      <c r="N102" s="2">
        <f>('1400'!N102/'1400'!N$115)*مجموع!$C$6</f>
        <v>0</v>
      </c>
      <c r="O102" s="5">
        <v>200</v>
      </c>
      <c r="P102" s="1" t="s">
        <v>98</v>
      </c>
      <c r="Q102" s="1">
        <v>1090</v>
      </c>
      <c r="R102" s="1"/>
      <c r="S102" s="1">
        <f t="shared" si="1"/>
        <v>99</v>
      </c>
    </row>
    <row r="103" spans="1:19" ht="22.2" x14ac:dyDescent="0.3">
      <c r="A103" s="1"/>
      <c r="B103" s="7">
        <f t="shared" si="2"/>
        <v>11851355.988214053</v>
      </c>
      <c r="C103" s="2">
        <f>('1400'!C103/'1400'!C$115)*مجموع!$C$17</f>
        <v>1031497.2453158329</v>
      </c>
      <c r="D103" s="2">
        <f>('1400'!D103/'1400'!D$115)*مجموع!$C$16</f>
        <v>1050591.2322713071</v>
      </c>
      <c r="E103" s="2">
        <f>('1400'!E103/'1400'!E$115)*مجموع!$C$15</f>
        <v>851323.96610339615</v>
      </c>
      <c r="F103" s="2">
        <f>('1400'!F103/'1400'!F$115)*مجموع!$C$14</f>
        <v>838664.16361018189</v>
      </c>
      <c r="G103" s="2">
        <f>('1400'!G103/'1400'!G$115)*مجموع!$C$13</f>
        <v>836935.83531663544</v>
      </c>
      <c r="H103" s="2">
        <f>('1400'!H103/'1400'!H$115)*مجموع!$C$12</f>
        <v>909753.00515612902</v>
      </c>
      <c r="I103" s="2">
        <f>('1400'!I103/'1400'!I$115)*مجموع!$C$11</f>
        <v>831090.85265391297</v>
      </c>
      <c r="J103" s="2">
        <f>('1400'!J103/'1400'!J$115)*مجموع!$C$10</f>
        <v>980485.19569076924</v>
      </c>
      <c r="K103" s="2">
        <f>('1400'!K103/'1400'!K$115)*مجموع!$C$9</f>
        <v>1236525.5405243638</v>
      </c>
      <c r="L103" s="2">
        <f>('1400'!L103/'1400'!L$115)*مجموع!$C$8</f>
        <v>1116594.9948175438</v>
      </c>
      <c r="M103" s="2">
        <f>('1400'!M103/'1400'!M$115)*مجموع!$C$7</f>
        <v>2167893.9567539799</v>
      </c>
      <c r="N103" s="2">
        <f>('1400'!N103/'1400'!N$115)*مجموع!$C$6</f>
        <v>0</v>
      </c>
      <c r="O103" s="5">
        <v>100</v>
      </c>
      <c r="P103" s="1" t="s">
        <v>100</v>
      </c>
      <c r="Q103" s="1">
        <v>1092</v>
      </c>
      <c r="R103" s="1"/>
      <c r="S103" s="1">
        <f t="shared" si="1"/>
        <v>100</v>
      </c>
    </row>
    <row r="104" spans="1:19" ht="22.2" x14ac:dyDescent="0.3">
      <c r="A104" s="1"/>
      <c r="B104" s="7">
        <f t="shared" si="2"/>
        <v>21534818.019674126</v>
      </c>
      <c r="C104" s="2">
        <f>('1400'!C104/'1400'!C$115)*مجموع!$C$17</f>
        <v>2062994.4906316658</v>
      </c>
      <c r="D104" s="2">
        <f>('1400'!D104/'1400'!D$115)*مجموع!$C$16</f>
        <v>2101182.4645426143</v>
      </c>
      <c r="E104" s="2">
        <f>('1400'!E104/'1400'!E$115)*مجموع!$C$15</f>
        <v>1702647.9322067923</v>
      </c>
      <c r="F104" s="2">
        <f>('1400'!F104/'1400'!F$115)*مجموع!$C$14</f>
        <v>1677328.3272203638</v>
      </c>
      <c r="G104" s="2">
        <f>('1400'!G104/'1400'!G$115)*مجموع!$C$13</f>
        <v>1673871.6706332709</v>
      </c>
      <c r="H104" s="2">
        <f>('1400'!H104/'1400'!H$115)*مجموع!$C$12</f>
        <v>1819506.010312258</v>
      </c>
      <c r="I104" s="2">
        <f>('1400'!I104/'1400'!I$115)*مجموع!$C$11</f>
        <v>1662181.7053078259</v>
      </c>
      <c r="J104" s="2">
        <f>('1400'!J104/'1400'!J$115)*مجموع!$C$10</f>
        <v>1960970.3913815385</v>
      </c>
      <c r="K104" s="2">
        <f>('1400'!K104/'1400'!K$115)*مجموع!$C$9</f>
        <v>2473051.0810487275</v>
      </c>
      <c r="L104" s="2">
        <f>('1400'!L104/'1400'!L$115)*مجموع!$C$8</f>
        <v>2233189.9896350875</v>
      </c>
      <c r="M104" s="2">
        <f>('1400'!M104/'1400'!M$115)*مجموع!$C$7</f>
        <v>2167893.9567539799</v>
      </c>
      <c r="N104" s="2">
        <f>('1400'!N104/'1400'!N$115)*مجموع!$C$6</f>
        <v>0</v>
      </c>
      <c r="O104" s="5">
        <v>200</v>
      </c>
      <c r="P104" s="1" t="s">
        <v>101</v>
      </c>
      <c r="Q104" s="1">
        <v>1093</v>
      </c>
      <c r="R104" s="1"/>
      <c r="S104" s="1">
        <f t="shared" si="1"/>
        <v>101</v>
      </c>
    </row>
    <row r="105" spans="1:19" ht="22.2" x14ac:dyDescent="0.3">
      <c r="A105" s="1"/>
      <c r="B105" s="7">
        <f t="shared" si="2"/>
        <v>32302227.029511187</v>
      </c>
      <c r="C105" s="2">
        <f>('1400'!C105/'1400'!C$115)*مجموع!$C$17</f>
        <v>3094491.7359474986</v>
      </c>
      <c r="D105" s="2">
        <f>('1400'!D105/'1400'!D$115)*مجموع!$C$16</f>
        <v>3151773.6968139214</v>
      </c>
      <c r="E105" s="2">
        <f>('1400'!E105/'1400'!E$115)*مجموع!$C$15</f>
        <v>2553971.8983101887</v>
      </c>
      <c r="F105" s="2">
        <f>('1400'!F105/'1400'!F$115)*مجموع!$C$14</f>
        <v>2515992.4908305458</v>
      </c>
      <c r="G105" s="2">
        <f>('1400'!G105/'1400'!G$115)*مجموع!$C$13</f>
        <v>2510807.5059499065</v>
      </c>
      <c r="H105" s="2">
        <f>('1400'!H105/'1400'!H$115)*مجموع!$C$12</f>
        <v>2729259.0154683874</v>
      </c>
      <c r="I105" s="2">
        <f>('1400'!I105/'1400'!I$115)*مجموع!$C$11</f>
        <v>2493272.5579617387</v>
      </c>
      <c r="J105" s="2">
        <f>('1400'!J105/'1400'!J$115)*مجموع!$C$10</f>
        <v>2941455.5870723077</v>
      </c>
      <c r="K105" s="2">
        <f>('1400'!K105/'1400'!K$115)*مجموع!$C$9</f>
        <v>3709576.621573091</v>
      </c>
      <c r="L105" s="2">
        <f>('1400'!L105/'1400'!L$115)*مجموع!$C$8</f>
        <v>3349784.9844526313</v>
      </c>
      <c r="M105" s="2">
        <f>('1400'!M105/'1400'!M$115)*مجموع!$C$7</f>
        <v>3251840.9351309701</v>
      </c>
      <c r="N105" s="2">
        <f>('1400'!N105/'1400'!N$115)*مجموع!$C$6</f>
        <v>0</v>
      </c>
      <c r="O105" s="5">
        <v>300</v>
      </c>
      <c r="P105" s="1" t="s">
        <v>99</v>
      </c>
      <c r="Q105" s="1">
        <v>1091</v>
      </c>
      <c r="R105" s="1"/>
      <c r="S105" s="1">
        <f t="shared" si="1"/>
        <v>102</v>
      </c>
    </row>
    <row r="106" spans="1:19" ht="22.2" x14ac:dyDescent="0.3">
      <c r="A106" s="1"/>
      <c r="B106" s="7">
        <f t="shared" si="2"/>
        <v>0</v>
      </c>
      <c r="C106" s="2">
        <f>('1400'!C106/'1400'!C$115)*مجموع!$C$17</f>
        <v>0</v>
      </c>
      <c r="D106" s="2">
        <f>('1400'!D106/'1400'!D$115)*مجموع!$C$16</f>
        <v>0</v>
      </c>
      <c r="E106" s="2">
        <f>('1400'!E106/'1400'!E$115)*مجموع!$C$15</f>
        <v>0</v>
      </c>
      <c r="F106" s="2">
        <f>('1400'!F106/'1400'!F$115)*مجموع!$C$14</f>
        <v>0</v>
      </c>
      <c r="G106" s="2">
        <f>('1400'!G106/'1400'!G$115)*مجموع!$C$13</f>
        <v>0</v>
      </c>
      <c r="H106" s="2">
        <f>('1400'!H106/'1400'!H$115)*مجموع!$C$12</f>
        <v>0</v>
      </c>
      <c r="I106" s="2">
        <f>('1400'!I106/'1400'!I$115)*مجموع!$C$11</f>
        <v>0</v>
      </c>
      <c r="J106" s="2">
        <f>('1400'!J106/'1400'!J$115)*مجموع!$C$10</f>
        <v>0</v>
      </c>
      <c r="K106" s="2">
        <f>('1400'!K106/'1400'!K$115)*مجموع!$C$9</f>
        <v>0</v>
      </c>
      <c r="L106" s="2">
        <f>('1400'!L106/'1400'!L$115)*مجموع!$C$8</f>
        <v>0</v>
      </c>
      <c r="M106" s="2">
        <f>('1400'!M106/'1400'!M$115)*مجموع!$C$7</f>
        <v>0</v>
      </c>
      <c r="N106" s="2">
        <f>('1400'!N106/'1400'!N$115)*مجموع!$C$6</f>
        <v>0</v>
      </c>
      <c r="O106" s="5">
        <v>0</v>
      </c>
      <c r="P106" s="1"/>
      <c r="Q106" s="1">
        <v>1072</v>
      </c>
      <c r="R106" s="1"/>
      <c r="S106" s="1">
        <f t="shared" si="1"/>
        <v>103</v>
      </c>
    </row>
    <row r="107" spans="1:19" ht="22.2" x14ac:dyDescent="0.3">
      <c r="A107" s="1"/>
      <c r="B107" s="7">
        <f t="shared" si="2"/>
        <v>0</v>
      </c>
      <c r="C107" s="2">
        <f>('1400'!C107/'1400'!C$115)*مجموع!$C$17</f>
        <v>0</v>
      </c>
      <c r="D107" s="2">
        <f>('1400'!D107/'1400'!D$115)*مجموع!$C$16</f>
        <v>0</v>
      </c>
      <c r="E107" s="2">
        <f>('1400'!E107/'1400'!E$115)*مجموع!$C$15</f>
        <v>0</v>
      </c>
      <c r="F107" s="2">
        <f>('1400'!F107/'1400'!F$115)*مجموع!$C$14</f>
        <v>0</v>
      </c>
      <c r="G107" s="2">
        <f>('1400'!G107/'1400'!G$115)*مجموع!$C$13</f>
        <v>0</v>
      </c>
      <c r="H107" s="2">
        <f>('1400'!H107/'1400'!H$115)*مجموع!$C$12</f>
        <v>0</v>
      </c>
      <c r="I107" s="2">
        <f>('1400'!I107/'1400'!I$115)*مجموع!$C$11</f>
        <v>0</v>
      </c>
      <c r="J107" s="2">
        <f>('1400'!J107/'1400'!J$115)*مجموع!$C$10</f>
        <v>0</v>
      </c>
      <c r="K107" s="2">
        <f>('1400'!K107/'1400'!K$115)*مجموع!$C$9</f>
        <v>0</v>
      </c>
      <c r="L107" s="2">
        <f>('1400'!L107/'1400'!L$115)*مجموع!$C$8</f>
        <v>0</v>
      </c>
      <c r="M107" s="2">
        <f>('1400'!M107/'1400'!M$115)*مجموع!$C$7</f>
        <v>0</v>
      </c>
      <c r="N107" s="2">
        <f>('1400'!N107/'1400'!N$115)*مجموع!$C$6</f>
        <v>0</v>
      </c>
      <c r="O107" s="5">
        <v>0</v>
      </c>
      <c r="P107" s="1"/>
      <c r="Q107" s="1">
        <v>1073</v>
      </c>
      <c r="R107" s="1"/>
      <c r="S107" s="1">
        <f t="shared" si="1"/>
        <v>104</v>
      </c>
    </row>
    <row r="108" spans="1:19" ht="22.2" x14ac:dyDescent="0.3">
      <c r="A108" s="1"/>
      <c r="B108" s="7">
        <f t="shared" si="2"/>
        <v>0</v>
      </c>
      <c r="C108" s="2">
        <f>('1400'!C108/'1400'!C$115)*مجموع!$C$17</f>
        <v>0</v>
      </c>
      <c r="D108" s="2">
        <f>('1400'!D108/'1400'!D$115)*مجموع!$C$16</f>
        <v>0</v>
      </c>
      <c r="E108" s="2">
        <f>('1400'!E108/'1400'!E$115)*مجموع!$C$15</f>
        <v>0</v>
      </c>
      <c r="F108" s="2">
        <f>('1400'!F108/'1400'!F$115)*مجموع!$C$14</f>
        <v>0</v>
      </c>
      <c r="G108" s="2">
        <f>('1400'!G108/'1400'!G$115)*مجموع!$C$13</f>
        <v>0</v>
      </c>
      <c r="H108" s="2">
        <f>('1400'!H108/'1400'!H$115)*مجموع!$C$12</f>
        <v>0</v>
      </c>
      <c r="I108" s="2">
        <f>('1400'!I108/'1400'!I$115)*مجموع!$C$11</f>
        <v>0</v>
      </c>
      <c r="J108" s="2">
        <f>('1400'!J108/'1400'!J$115)*مجموع!$C$10</f>
        <v>0</v>
      </c>
      <c r="K108" s="2">
        <f>('1400'!K108/'1400'!K$115)*مجموع!$C$9</f>
        <v>0</v>
      </c>
      <c r="L108" s="2">
        <f>('1400'!L108/'1400'!L$115)*مجموع!$C$8</f>
        <v>0</v>
      </c>
      <c r="M108" s="2">
        <f>('1400'!M108/'1400'!M$115)*مجموع!$C$7</f>
        <v>0</v>
      </c>
      <c r="N108" s="2">
        <f>('1400'!N108/'1400'!N$115)*مجموع!$C$6</f>
        <v>0</v>
      </c>
      <c r="O108" s="5">
        <v>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2"/>
        <v>0</v>
      </c>
      <c r="C109" s="2">
        <f>('1400'!C109/'1400'!C$115)*مجموع!$C$17</f>
        <v>0</v>
      </c>
      <c r="D109" s="2">
        <f>('1400'!D109/'1400'!D$115)*مجموع!$C$16</f>
        <v>0</v>
      </c>
      <c r="E109" s="2">
        <f>('1400'!E109/'1400'!E$115)*مجموع!$C$15</f>
        <v>0</v>
      </c>
      <c r="F109" s="2">
        <f>('1400'!F109/'1400'!F$115)*مجموع!$C$14</f>
        <v>0</v>
      </c>
      <c r="G109" s="2">
        <f>('1400'!G109/'1400'!G$115)*مجموع!$C$13</f>
        <v>0</v>
      </c>
      <c r="H109" s="2">
        <f>('1400'!H109/'1400'!H$115)*مجموع!$C$12</f>
        <v>0</v>
      </c>
      <c r="I109" s="2">
        <f>('1400'!I109/'1400'!I$115)*مجموع!$C$11</f>
        <v>0</v>
      </c>
      <c r="J109" s="2">
        <f>('1400'!J109/'1400'!J$115)*مجموع!$C$10</f>
        <v>0</v>
      </c>
      <c r="K109" s="2">
        <f>('1400'!K109/'1400'!K$115)*مجموع!$C$9</f>
        <v>0</v>
      </c>
      <c r="L109" s="2">
        <f>('1400'!L109/'1400'!L$115)*مجموع!$C$8</f>
        <v>0</v>
      </c>
      <c r="M109" s="2">
        <f>('1400'!M109/'1400'!M$115)*مجموع!$C$7</f>
        <v>0</v>
      </c>
      <c r="N109" s="2">
        <f>('1400'!N109/'1400'!N$115)*مجموع!$C$6</f>
        <v>0</v>
      </c>
      <c r="O109" s="5">
        <v>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2"/>
        <v>0</v>
      </c>
      <c r="C110" s="2">
        <f>('1400'!C110/'1400'!C$115)*مجموع!$C$17</f>
        <v>0</v>
      </c>
      <c r="D110" s="2">
        <f>('1400'!D110/'1400'!D$115)*مجموع!$C$16</f>
        <v>0</v>
      </c>
      <c r="E110" s="2">
        <f>('1400'!E110/'1400'!E$115)*مجموع!$C$15</f>
        <v>0</v>
      </c>
      <c r="F110" s="2">
        <f>('1400'!F110/'1400'!F$115)*مجموع!$C$14</f>
        <v>0</v>
      </c>
      <c r="G110" s="2">
        <f>('1400'!G110/'1400'!G$115)*مجموع!$C$13</f>
        <v>0</v>
      </c>
      <c r="H110" s="2">
        <f>('1400'!H110/'1400'!H$115)*مجموع!$C$12</f>
        <v>0</v>
      </c>
      <c r="I110" s="2">
        <f>('1400'!I110/'1400'!I$115)*مجموع!$C$11</f>
        <v>0</v>
      </c>
      <c r="J110" s="2">
        <f>('1400'!J110/'1400'!J$115)*مجموع!$C$10</f>
        <v>0</v>
      </c>
      <c r="K110" s="2">
        <f>('1400'!K110/'1400'!K$115)*مجموع!$C$9</f>
        <v>0</v>
      </c>
      <c r="L110" s="2">
        <f>('1400'!L110/'1400'!L$115)*مجموع!$C$8</f>
        <v>0</v>
      </c>
      <c r="M110" s="2">
        <f>('1400'!M110/'1400'!M$115)*مجموع!$C$7</f>
        <v>0</v>
      </c>
      <c r="N110" s="2">
        <f>('1400'!N110/'1400'!N$115)*مجموع!$C$6</f>
        <v>0</v>
      </c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2"/>
        <v>0</v>
      </c>
      <c r="C111" s="2">
        <f>('1400'!C111/'1400'!C$115)*مجموع!$C$17</f>
        <v>0</v>
      </c>
      <c r="D111" s="2">
        <f>('1400'!D111/'1400'!D$115)*مجموع!$C$16</f>
        <v>0</v>
      </c>
      <c r="E111" s="2">
        <f>('1400'!E111/'1400'!E$115)*مجموع!$C$15</f>
        <v>0</v>
      </c>
      <c r="F111" s="2">
        <f>('1400'!F111/'1400'!F$115)*مجموع!$C$14</f>
        <v>0</v>
      </c>
      <c r="G111" s="2">
        <f>('1400'!G111/'1400'!G$115)*مجموع!$C$13</f>
        <v>0</v>
      </c>
      <c r="H111" s="2">
        <f>('1400'!H111/'1400'!H$115)*مجموع!$C$12</f>
        <v>0</v>
      </c>
      <c r="I111" s="2">
        <f>('1400'!I111/'1400'!I$115)*مجموع!$C$11</f>
        <v>0</v>
      </c>
      <c r="J111" s="2">
        <f>('1400'!J111/'1400'!J$115)*مجموع!$C$10</f>
        <v>0</v>
      </c>
      <c r="K111" s="2">
        <f>('1400'!K111/'1400'!K$115)*مجموع!$C$9</f>
        <v>0</v>
      </c>
      <c r="L111" s="2">
        <f>('1400'!L111/'1400'!L$115)*مجموع!$C$8</f>
        <v>0</v>
      </c>
      <c r="M111" s="2">
        <f>('1400'!M111/'1400'!M$115)*مجموع!$C$7</f>
        <v>0</v>
      </c>
      <c r="N111" s="2">
        <f>('1400'!N111/'1400'!N$115)*مجموع!$C$6</f>
        <v>0</v>
      </c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2"/>
        <v>0</v>
      </c>
      <c r="C112" s="2">
        <f>('1400'!C112/'1400'!C$115)*مجموع!$C$17</f>
        <v>0</v>
      </c>
      <c r="D112" s="2">
        <f>('1400'!D112/'1400'!D$115)*مجموع!$C$16</f>
        <v>0</v>
      </c>
      <c r="E112" s="2">
        <f>('1400'!E112/'1400'!E$115)*مجموع!$C$15</f>
        <v>0</v>
      </c>
      <c r="F112" s="2">
        <f>('1400'!F112/'1400'!F$115)*مجموع!$C$14</f>
        <v>0</v>
      </c>
      <c r="G112" s="2">
        <f>('1400'!G112/'1400'!G$115)*مجموع!$C$13</f>
        <v>0</v>
      </c>
      <c r="H112" s="2">
        <f>('1400'!H112/'1400'!H$115)*مجموع!$C$12</f>
        <v>0</v>
      </c>
      <c r="I112" s="2">
        <f>('1400'!I112/'1400'!I$115)*مجموع!$C$11</f>
        <v>0</v>
      </c>
      <c r="J112" s="2">
        <f>('1400'!J112/'1400'!J$115)*مجموع!$C$10</f>
        <v>0</v>
      </c>
      <c r="K112" s="2">
        <f>('1400'!K112/'1400'!K$115)*مجموع!$C$9</f>
        <v>0</v>
      </c>
      <c r="L112" s="2">
        <f>('1400'!L112/'1400'!L$115)*مجموع!$C$8</f>
        <v>0</v>
      </c>
      <c r="M112" s="2">
        <f>('1400'!M112/'1400'!M$115)*مجموع!$C$7</f>
        <v>0</v>
      </c>
      <c r="N112" s="2">
        <f>('1400'!N112/'1400'!N$115)*مجموع!$C$6</f>
        <v>0</v>
      </c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2"/>
        <v>0</v>
      </c>
      <c r="C113" s="2">
        <f>('1400'!C113/'1400'!C$115)*مجموع!$C$17</f>
        <v>0</v>
      </c>
      <c r="D113" s="2">
        <f>('1400'!D113/'1400'!D$115)*مجموع!$C$16</f>
        <v>0</v>
      </c>
      <c r="E113" s="2">
        <f>('1400'!E113/'1400'!E$115)*مجموع!$C$15</f>
        <v>0</v>
      </c>
      <c r="F113" s="2">
        <f>('1400'!F113/'1400'!F$115)*مجموع!$C$14</f>
        <v>0</v>
      </c>
      <c r="G113" s="2">
        <f>('1400'!G113/'1400'!G$115)*مجموع!$C$13</f>
        <v>0</v>
      </c>
      <c r="H113" s="2">
        <f>('1400'!H113/'1400'!H$115)*مجموع!$C$12</f>
        <v>0</v>
      </c>
      <c r="I113" s="2">
        <f>('1400'!I113/'1400'!I$115)*مجموع!$C$11</f>
        <v>0</v>
      </c>
      <c r="J113" s="2">
        <f>('1400'!J113/'1400'!J$115)*مجموع!$C$10</f>
        <v>0</v>
      </c>
      <c r="K113" s="2">
        <f>('1400'!K113/'1400'!K$115)*مجموع!$C$9</f>
        <v>0</v>
      </c>
      <c r="L113" s="2">
        <f>('1400'!L113/'1400'!L$115)*مجموع!$C$8</f>
        <v>0</v>
      </c>
      <c r="M113" s="2">
        <f>('1400'!M113/'1400'!M$115)*مجموع!$C$7</f>
        <v>0</v>
      </c>
      <c r="N113" s="2">
        <f>('1400'!N113/'1400'!N$115)*مجموع!$C$6</f>
        <v>0</v>
      </c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2"/>
        <v>0</v>
      </c>
      <c r="C114" s="2">
        <f>('1400'!C114/'1400'!C$115)*مجموع!$C$17</f>
        <v>0</v>
      </c>
      <c r="D114" s="2">
        <f>('1400'!D114/'1400'!D$115)*مجموع!$C$16</f>
        <v>0</v>
      </c>
      <c r="E114" s="2">
        <f>('1400'!E114/'1400'!E$115)*مجموع!$C$15</f>
        <v>0</v>
      </c>
      <c r="F114" s="2">
        <f>('1400'!F114/'1400'!F$115)*مجموع!$C$14</f>
        <v>0</v>
      </c>
      <c r="G114" s="2">
        <f>('1400'!G114/'1400'!G$115)*مجموع!$C$13</f>
        <v>0</v>
      </c>
      <c r="H114" s="2">
        <f>('1400'!H114/'1400'!H$115)*مجموع!$C$12</f>
        <v>0</v>
      </c>
      <c r="I114" s="2">
        <f>('1400'!I114/'1400'!I$115)*مجموع!$C$11</f>
        <v>0</v>
      </c>
      <c r="J114" s="2">
        <f>('1400'!J114/'1400'!J$115)*مجموع!$C$10</f>
        <v>0</v>
      </c>
      <c r="K114" s="2">
        <f>('1400'!K114/'1400'!K$115)*مجموع!$C$9</f>
        <v>0</v>
      </c>
      <c r="L114" s="2">
        <f>('1400'!L114/'1400'!L$115)*مجموع!$C$8</f>
        <v>0</v>
      </c>
      <c r="M114" s="2">
        <f>('1400'!M114/'1400'!M$115)*مجموع!$C$7</f>
        <v>0</v>
      </c>
      <c r="N114" s="2">
        <f>('1400'!N114/'1400'!N$115)*مجموع!$C$6</f>
        <v>0</v>
      </c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1296475022.8717713</v>
      </c>
      <c r="C115" s="2">
        <f>SUM(C4:C107)</f>
        <v>113464696.98474167</v>
      </c>
      <c r="D115" s="2">
        <f>SUM(D4:D107)</f>
        <v>112413261.85302995</v>
      </c>
      <c r="E115" s="2">
        <f t="shared" ref="E115:N115" si="3">SUM(E4:E107)</f>
        <v>90240340.406959996</v>
      </c>
      <c r="F115" s="2">
        <f t="shared" si="3"/>
        <v>92253057.997120008</v>
      </c>
      <c r="G115" s="2">
        <f t="shared" si="3"/>
        <v>89552134.378879935</v>
      </c>
      <c r="H115" s="2">
        <f t="shared" si="3"/>
        <v>98708201.059440032</v>
      </c>
      <c r="I115" s="2">
        <f t="shared" si="3"/>
        <v>95575448.055199921</v>
      </c>
      <c r="J115" s="2">
        <f>SUM(J4:J107)</f>
        <v>101970460.35183986</v>
      </c>
      <c r="K115" s="2">
        <f>SUM(K4:K107)</f>
        <v>136017809.45768002</v>
      </c>
      <c r="L115" s="2">
        <f>SUM(L4:L107)</f>
        <v>127291829.40919992</v>
      </c>
      <c r="M115" s="2">
        <f t="shared" si="3"/>
        <v>162050073.26735976</v>
      </c>
      <c r="N115" s="2">
        <f t="shared" si="3"/>
        <v>76937709.650319964</v>
      </c>
      <c r="O115" s="8">
        <f>SUM(O4:O110)</f>
        <v>10675</v>
      </c>
      <c r="P115" s="1"/>
      <c r="R115" s="1"/>
    </row>
    <row r="116" spans="1:1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15"/>
  <sheetViews>
    <sheetView workbookViewId="0">
      <selection activeCell="G4" sqref="G4:G15"/>
    </sheetView>
  </sheetViews>
  <sheetFormatPr defaultRowHeight="14.4" x14ac:dyDescent="0.3"/>
  <cols>
    <col min="6" max="6" width="28.88671875" customWidth="1"/>
    <col min="7" max="7" width="32.21875" customWidth="1"/>
  </cols>
  <sheetData>
    <row r="3" spans="6:7" x14ac:dyDescent="0.3">
      <c r="F3" t="s">
        <v>218</v>
      </c>
      <c r="G3" t="s">
        <v>219</v>
      </c>
    </row>
    <row r="4" spans="6:7" x14ac:dyDescent="0.3">
      <c r="F4">
        <f>((کچاد!J6*کچاد!H6)+(شستا!J6*شستا!H6)+(فملی!J6*فملی!H6)+(آریا!J6*آریا!H6)+(فروی!J6*فروی!H6))/(کچاد!H6+شستا!H6+فملی!H6+آریا!H6+فروی!H6)</f>
        <v>3850.589542350423</v>
      </c>
      <c r="G4">
        <f>((AUD!I6*AUD!G6)+(USDT!I6*USDT!G6)+(ETH!I6*ETH!G6)+(BTC!I6*BTC!G6))/(AUD!G6+USDT!G6+ETH!G6+BTC!G6)</f>
        <v>1071878.2297015728</v>
      </c>
    </row>
    <row r="5" spans="6:7" x14ac:dyDescent="0.3">
      <c r="F5">
        <f>((کچاد!J7*کچاد!H7)+(شستا!J7*شستا!H7)+(فملی!J7*فملی!H7)+(آریا!J7*آریا!H7)+(فروی!J7*فروی!H7))/(کچاد!H7+شستا!H7+فملی!H7+آریا!H7+فروی!H7)</f>
        <v>3726.8960647150484</v>
      </c>
      <c r="G5">
        <f>((AUD!I7*AUD!G7)+(USDT!I7*USDT!G7)+(ETH!I7*ETH!G7)+(BTC!I7*BTC!G7))/(AUD!G7+USDT!G7+ETH!G7+BTC!G7)</f>
        <v>1022595.9739823275</v>
      </c>
    </row>
    <row r="6" spans="6:7" x14ac:dyDescent="0.3">
      <c r="F6">
        <f>((کچاد!J8*کچاد!H8)+(شستا!J8*شستا!H8)+(فملی!J8*فملی!H8)+(آریا!J8*آریا!H8)+(فروی!J8*فروی!H8))/(کچاد!H8+شستا!H8+فملی!H8+آریا!H8+فروی!H8)</f>
        <v>3589.1218695707444</v>
      </c>
      <c r="G6">
        <f>((AUD!I8*AUD!G8)+(USDT!I8*USDT!G8)+(ETH!I8*ETH!G8)+(BTC!I8*BTC!G8))/(AUD!G8+USDT!G8+ETH!G8+BTC!G8)</f>
        <v>1004767.5531982542</v>
      </c>
    </row>
    <row r="7" spans="6:7" x14ac:dyDescent="0.3">
      <c r="F7">
        <f>((کچاد!J9*کچاد!H9)+(شستا!J9*شستا!H9)+(فملی!J9*فملی!H9)+(آریا!J9*آریا!H9)+(فروی!J9*فروی!H9))/(کچاد!H9+شستا!H9+فملی!H9+آریا!H9+فروی!H9)</f>
        <v>3620.2981272198904</v>
      </c>
      <c r="G7">
        <f>((AUD!I9*AUD!G9)+(USDT!I9*USDT!G9)+(ETH!I9*ETH!G9)+(BTC!I9*BTC!G9))/(AUD!G9+USDT!G9+ETH!G9+BTC!G9)</f>
        <v>1001771.6183669472</v>
      </c>
    </row>
    <row r="8" spans="6:7" x14ac:dyDescent="0.3">
      <c r="F8">
        <f>((کچاد!J10*کچاد!H10)+(شستا!J10*شستا!H10)+(فملی!J10*فملی!H10)+(آریا!J10*آریا!H10)+(فروی!J10*فروی!H10))/(کچاد!H10+شستا!H10+فملی!H10+آریا!H10+فروی!H10)</f>
        <v>3785.4216847647253</v>
      </c>
      <c r="G8">
        <f>((AUD!I10*AUD!G10)+(USDT!I10*USDT!G10)+(ETH!I10*ETH!G10)+(BTC!I10*BTC!G10))/(AUD!G10+USDT!G10+ETH!G10+BTC!G10)</f>
        <v>1002889.0264768675</v>
      </c>
    </row>
    <row r="9" spans="6:7" x14ac:dyDescent="0.3">
      <c r="F9">
        <f>((کچاد!J11*کچاد!H11)+(شستا!J11*شستا!H11)+(فملی!J11*فملی!H11)+(آریا!J11*آریا!H11)+(فروی!J11*فروی!H11))/(کچاد!H11+شستا!H11+فملی!H11+آریا!H11+فروی!H11)</f>
        <v>3930.3322292813446</v>
      </c>
      <c r="G9">
        <f>((AUD!I11*AUD!G11)+(USDT!I11*USDT!G11)+(ETH!I11*ETH!G11)+(BTC!I11*BTC!G11))/(AUD!G11+USDT!G11+ETH!G11+BTC!G11)</f>
        <v>971445.96899132757</v>
      </c>
    </row>
    <row r="10" spans="6:7" x14ac:dyDescent="0.3">
      <c r="F10">
        <f>((کچاد!J12*کچاد!H12)+(شستا!J12*شستا!H12)+(فملی!J12*فملی!H12)+(آریا!J12*آریا!H12)+(فروی!J12*فروی!H12))/(کچاد!H12+شستا!H12+فملی!H12+آریا!H12+فروی!H12)</f>
        <v>3970.6793860278294</v>
      </c>
      <c r="G10">
        <f>((AUD!I12*AUD!G12)+(USDT!I12*USDT!G12)+(ETH!I12*ETH!G12)+(BTC!I12*BTC!G12))/(AUD!G12+USDT!G12+ETH!G12+BTC!G12)</f>
        <v>955296.15366154641</v>
      </c>
    </row>
    <row r="11" spans="6:7" x14ac:dyDescent="0.3">
      <c r="F11">
        <f>((کچاد!J13*کچاد!H13)+(شستا!J13*شستا!H13)+(فملی!J13*فملی!H13)+(آریا!J13*آریا!H13)+(فروی!J13*فروی!H13))/(کچاد!H13+شستا!H13+فملی!H13+آریا!H13+فروی!H13)</f>
        <v>3996.8336612656071</v>
      </c>
      <c r="G11">
        <f>((AUD!I13*AUD!G13)+(USDT!I13*USDT!G13)+(ETH!I13*ETH!G13)+(BTC!I13*BTC!G13))/(AUD!G13+USDT!G13+ETH!G13+BTC!G13)</f>
        <v>937993.40908399271</v>
      </c>
    </row>
    <row r="12" spans="6:7" x14ac:dyDescent="0.3">
      <c r="F12">
        <f>((کچاد!J14*کچاد!H14)+(شستا!J14*شستا!H14)+(فملی!J14*فملی!H14)+(آریا!J14*آریا!H14)+(فروی!J14*فروی!H14))/(کچاد!H14+شستا!H14+فملی!H14+آریا!H14+فروی!H14)</f>
        <v>3880.1943288074804</v>
      </c>
      <c r="G12">
        <f>((AUD!I14*AUD!G14)+(USDT!I14*USDT!G14)+(ETH!I14*ETH!G14)+(BTC!I14*BTC!G14))/(AUD!G14+USDT!G14+ETH!G14+BTC!G14)</f>
        <v>933425.50646999932</v>
      </c>
    </row>
    <row r="13" spans="6:7" x14ac:dyDescent="0.3">
      <c r="F13">
        <f>((کچاد!J15*کچاد!H15)+(شستا!J15*شستا!H15)+(فملی!J15*فملی!H15)+(آریا!J15*آریا!H15)+(فروی!J15*فروی!H15))/(کچاد!H15+شستا!H15+فملی!H15+آریا!H15+فروی!H15)</f>
        <v>3869.7228330129383</v>
      </c>
      <c r="G13">
        <f>((AUD!I15*AUD!G15)+(USDT!I15*USDT!G15)+(ETH!I15*ETH!G15)+(BTC!I15*BTC!G15))/(AUD!G15+USDT!G15+ETH!G15+BTC!G15)</f>
        <v>930557.50096534495</v>
      </c>
    </row>
    <row r="14" spans="6:7" x14ac:dyDescent="0.3">
      <c r="F14">
        <f>((کچاد!J16*کچاد!H16)+(شستا!J16*شستا!H16)+(فملی!J16*فملی!H16)+(آریا!J16*آریا!H16)+(فروی!J16*فروی!H16))/(کچاد!H16+شستا!H16+فملی!H16+آریا!H16+فروی!H16)</f>
        <v>3848.580914593228</v>
      </c>
      <c r="G14">
        <f>((AUD!I16*AUD!G16)+(USDT!I16*USDT!G16)+(ETH!I16*ETH!G16)+(BTC!I16*BTC!G16))/(AUD!G16+USDT!G16+ETH!G16+BTC!G16)</f>
        <v>946933.51930271601</v>
      </c>
    </row>
    <row r="15" spans="6:7" x14ac:dyDescent="0.3">
      <c r="F15">
        <f>((کچاد!J17*کچاد!H17)+(شستا!J17*شستا!H17)+(فملی!J17*فملی!H17)+(آریا!J17*آریا!H17)+(فروی!J17*فروی!H17))/(کچاد!H17+شستا!H17+فملی!H17+آریا!H17+فروی!H17)</f>
        <v>3838.0063141372461</v>
      </c>
      <c r="G15">
        <f>((AUD!I17*AUD!G17)+(USDT!I17*USDT!G17)+(ETH!I17*ETH!G17)+(BTC!I17*BTC!G17))/(AUD!G17+USDT!G17+ETH!G17+BTC!G17)</f>
        <v>954940.65949566406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8"/>
  <sheetViews>
    <sheetView workbookViewId="0">
      <selection activeCell="C6" sqref="C6"/>
    </sheetView>
  </sheetViews>
  <sheetFormatPr defaultRowHeight="14.4" x14ac:dyDescent="0.3"/>
  <cols>
    <col min="3" max="3" width="16" customWidth="1"/>
    <col min="4" max="4" width="15.77734375" customWidth="1"/>
    <col min="5" max="5" width="13.5546875" customWidth="1"/>
    <col min="6" max="6" width="11.5546875" customWidth="1"/>
    <col min="7" max="7" width="11.44140625" customWidth="1"/>
    <col min="8" max="8" width="11.77734375" customWidth="1"/>
    <col min="9" max="9" width="11.109375" customWidth="1"/>
    <col min="10" max="10" width="12.33203125" customWidth="1"/>
    <col min="11" max="11" width="10.33203125" customWidth="1"/>
    <col min="12" max="12" width="11.33203125" customWidth="1"/>
    <col min="13" max="13" width="12.88671875" customWidth="1"/>
  </cols>
  <sheetData>
    <row r="4" spans="3:13" ht="15" thickBot="1" x14ac:dyDescent="0.35"/>
    <row r="5" spans="3:13" ht="21" thickBot="1" x14ac:dyDescent="0.35">
      <c r="C5" s="60" t="s">
        <v>216</v>
      </c>
      <c r="D5" s="56" t="s">
        <v>214</v>
      </c>
      <c r="E5" s="56" t="s">
        <v>213</v>
      </c>
      <c r="F5" s="56" t="s">
        <v>212</v>
      </c>
      <c r="G5" s="56" t="s">
        <v>211</v>
      </c>
      <c r="H5" s="56" t="s">
        <v>129</v>
      </c>
      <c r="I5" s="56" t="s">
        <v>128</v>
      </c>
      <c r="J5" s="56" t="s">
        <v>127</v>
      </c>
      <c r="K5" s="56" t="s">
        <v>126</v>
      </c>
      <c r="L5" s="57" t="s">
        <v>210</v>
      </c>
      <c r="M5" s="59" t="s">
        <v>215</v>
      </c>
    </row>
    <row r="6" spans="3:13" ht="20.399999999999999" x14ac:dyDescent="0.3">
      <c r="C6" s="64">
        <f>(L6*calulator!$G$5)+(K6*calulator!$G$6)+(J6*calulator!$G$7)+(I6*calulator!$G$8)+(H6*calulator!$G$9)+(G6*calulator!$G$10)+(F6*calulator!$G$11)+(E6*calulator!$G$12)+(D6*calulator!$G$13)</f>
        <v>76937709.650319993</v>
      </c>
      <c r="D6" s="55">
        <f>Table1[[#This Row],[Shares  bought]]</f>
        <v>5.8699999999999996E-4</v>
      </c>
      <c r="E6" s="55">
        <f>Table118[[#This Row],[Shares  bought]]</f>
        <v>1.8749999999999999E-2</v>
      </c>
      <c r="F6" s="55">
        <f>Table117[[#This Row],[Shares  bought]]</f>
        <v>34.481400000000001</v>
      </c>
      <c r="G6" s="55">
        <f>Table116[[#This Row],[Shares  bought]]</f>
        <v>1.9814999999999999E-2</v>
      </c>
      <c r="H6" s="55">
        <f>Table115[[#This Row],[Shares  bought]]+Table115[[#This Row],[Column1]]</f>
        <v>174</v>
      </c>
      <c r="I6" s="55">
        <f>Table114[[#This Row],[Shares  bought]]+Table114[[#This Row],[Column1]]</f>
        <v>127</v>
      </c>
      <c r="J6" s="55">
        <f>Table113[[#This Row],[Shares  bought]]+Table113[[#This Row],[Column1]]</f>
        <v>1166</v>
      </c>
      <c r="K6" s="55">
        <f>Table112[[#This Row],[Shares  bought]]+Table112[[#This Row],[Column1]]</f>
        <v>7660</v>
      </c>
      <c r="L6" s="54">
        <f>Table111[[#This Row],[Shares  bought]]+Table111[[#This Row],[Column2]]</f>
        <v>684</v>
      </c>
      <c r="M6" s="58" t="s">
        <v>182</v>
      </c>
    </row>
    <row r="7" spans="3:13" ht="20.399999999999999" x14ac:dyDescent="0.3">
      <c r="C7" s="64">
        <f>(L7*calulator!$G$5)+(K7*calulator!$G$6)+(J7*calulator!$G$7)+(I7*calulator!$G$8)+(H7*calulator!$G$9)+(G7*calulator!$G$10)+(F7*calulator!$G$11)+(E7*calulator!$G$12)+(D7*calulator!$G$13)</f>
        <v>162050073.26736</v>
      </c>
      <c r="D7" s="55">
        <f>Table1[[#This Row],[Shares  bought]]</f>
        <v>1.506E-3</v>
      </c>
      <c r="E7" s="55">
        <f>Table118[[#This Row],[Shares  bought]]</f>
        <v>3.2370000000000003E-2</v>
      </c>
      <c r="F7" s="55">
        <f>Table117[[#This Row],[Shares  bought]]</f>
        <v>74.44</v>
      </c>
      <c r="G7" s="55">
        <f>Table116[[#This Row],[Shares  bought]]</f>
        <v>4.1762000000000001E-2</v>
      </c>
      <c r="H7" s="55">
        <f>Table115[[#This Row],[Shares  bought]]+Table115[[#This Row],[Column1]]</f>
        <v>378</v>
      </c>
      <c r="I7" s="55">
        <f>Table114[[#This Row],[Shares  bought]]+Table114[[#This Row],[Column1]]</f>
        <v>267</v>
      </c>
      <c r="J7" s="55">
        <f>Table113[[#This Row],[Shares  bought]]+Table113[[#This Row],[Column1]]</f>
        <v>2710</v>
      </c>
      <c r="K7" s="55">
        <f>Table112[[#This Row],[Shares  bought]]+Table112[[#This Row],[Column1]]</f>
        <v>15517</v>
      </c>
      <c r="L7" s="54">
        <f>Table111[[#This Row],[Shares  bought]]+Table111[[#This Row],[Column2]]</f>
        <v>1480</v>
      </c>
      <c r="M7" s="58" t="s">
        <v>51</v>
      </c>
    </row>
    <row r="8" spans="3:13" ht="20.399999999999999" x14ac:dyDescent="0.3">
      <c r="C8" s="64">
        <f>(L8*calulator!$G$5)+(K8*calulator!$G$6)+(J8*calulator!$G$7)+(I8*calulator!$G$8)+(H8*calulator!$G$9)+(G8*calulator!$G$10)+(F8*calulator!$G$11)+(E8*calulator!$G$12)+(D8*calulator!$G$13)</f>
        <v>127291829.4092</v>
      </c>
      <c r="D8" s="55">
        <f>Table1[[#This Row],[Shares  bought]]</f>
        <v>1.505E-3</v>
      </c>
      <c r="E8" s="55">
        <f>Table118[[#This Row],[Shares  bought]]</f>
        <v>2.1389999999999999E-2</v>
      </c>
      <c r="F8" s="55">
        <f>Table117[[#This Row],[Shares  bought]]</f>
        <v>58.5</v>
      </c>
      <c r="G8" s="55">
        <f>Table116[[#This Row],[Shares  bought]]</f>
        <v>3.0596999999999999E-2</v>
      </c>
      <c r="H8" s="55">
        <f>Table115[[#This Row],[Shares  bought]]+Table115[[#This Row],[Column1]]</f>
        <v>371</v>
      </c>
      <c r="I8" s="55">
        <f>Table114[[#This Row],[Shares  bought]]+Table114[[#This Row],[Column1]]</f>
        <v>222</v>
      </c>
      <c r="J8" s="55">
        <f>Table113[[#This Row],[Shares  bought]]+Table113[[#This Row],[Column1]]</f>
        <v>1928</v>
      </c>
      <c r="K8" s="55">
        <f>Table112[[#This Row],[Shares  bought]]+Table112[[#This Row],[Column1]]</f>
        <v>13432</v>
      </c>
      <c r="L8" s="54">
        <f>Table111[[#This Row],[Shares  bought]]+Table111[[#This Row],[Column2]]</f>
        <v>1082</v>
      </c>
      <c r="M8" s="58" t="s">
        <v>52</v>
      </c>
    </row>
    <row r="9" spans="3:13" ht="20.399999999999999" x14ac:dyDescent="0.3">
      <c r="C9" s="64">
        <f>(L9*calulator!$G$5)+(K9*calulator!$G$6)+(J9*calulator!$G$7)+(I9*calulator!$G$8)+(H9*calulator!$G$9)+(G9*calulator!$G$10)+(F9*calulator!$G$11)+(E9*calulator!$G$12)+(D9*calulator!$G$13)</f>
        <v>136017809.45768002</v>
      </c>
      <c r="D9" s="55">
        <f>Table1[[#This Row],[Shares  bought]]</f>
        <v>1.7830000000000001E-3</v>
      </c>
      <c r="E9" s="55">
        <f>Table118[[#This Row],[Shares  bought]]</f>
        <v>3.1280000000000002E-2</v>
      </c>
      <c r="F9" s="55">
        <f>Table117[[#This Row],[Shares  bought]]</f>
        <v>55.3</v>
      </c>
      <c r="G9" s="55">
        <f>Table116[[#This Row],[Shares  bought]]</f>
        <v>3.1119000000000001E-2</v>
      </c>
      <c r="H9" s="55">
        <f>Table115[[#This Row],[Shares  bought]]+Table115[[#This Row],[Column1]]</f>
        <v>0</v>
      </c>
      <c r="I9" s="55">
        <f>Table114[[#This Row],[Shares  bought]]+Table114[[#This Row],[Column1]]</f>
        <v>192</v>
      </c>
      <c r="J9" s="55">
        <f>Table113[[#This Row],[Shares  bought]]+Table113[[#This Row],[Column1]]</f>
        <v>3504</v>
      </c>
      <c r="K9" s="55">
        <f>Table112[[#This Row],[Shares  bought]]+Table112[[#This Row],[Column1]]</f>
        <v>10103</v>
      </c>
      <c r="L9" s="54">
        <f>Table111[[#This Row],[Shares  bought]]+Table111[[#This Row],[Column2]]</f>
        <v>943</v>
      </c>
      <c r="M9" s="58" t="s">
        <v>53</v>
      </c>
    </row>
    <row r="10" spans="3:13" ht="20.399999999999999" x14ac:dyDescent="0.3">
      <c r="C10" s="64">
        <f>(L10*calulator!$G$5)+(K10*calulator!$G$6)+(J10*calulator!$G$7)+(I10*calulator!$G$8)+(H10*calulator!$G$9)+(G10*calulator!$G$10)+(F10*calulator!$G$11)+(E10*calulator!$G$12)+(D10*calulator!$G$13)</f>
        <v>101970460.35183999</v>
      </c>
      <c r="D10" s="55">
        <f>Table1[[#This Row],[Shares  bought]]</f>
        <v>1.3439999999999999E-3</v>
      </c>
      <c r="E10" s="55">
        <f>Table118[[#This Row],[Shares  bought]]</f>
        <v>2.2349999999999998E-2</v>
      </c>
      <c r="F10" s="55">
        <f>Table117[[#This Row],[Shares  bought]]</f>
        <v>51.5</v>
      </c>
      <c r="G10" s="55">
        <f>Table116[[#This Row],[Shares  bought]]</f>
        <v>2.8490999999999999E-2</v>
      </c>
      <c r="H10" s="55">
        <f>Table115[[#This Row],[Shares  bought]]+Table115[[#This Row],[Column1]]</f>
        <v>638</v>
      </c>
      <c r="I10" s="55">
        <f>Table114[[#This Row],[Shares  bought]]+Table114[[#This Row],[Column1]]</f>
        <v>172</v>
      </c>
      <c r="J10" s="55">
        <f>Table113[[#This Row],[Shares  bought]]+Table113[[#This Row],[Column1]]</f>
        <v>0</v>
      </c>
      <c r="K10" s="55">
        <f>Table112[[#This Row],[Shares  bought]]+Table112[[#This Row],[Column1]]</f>
        <v>9388</v>
      </c>
      <c r="L10" s="54">
        <f>Table111[[#This Row],[Shares  bought]]+Table111[[#This Row],[Column2]]</f>
        <v>798</v>
      </c>
      <c r="M10" s="58" t="s">
        <v>54</v>
      </c>
    </row>
    <row r="11" spans="3:13" ht="20.399999999999999" x14ac:dyDescent="0.3">
      <c r="C11" s="64">
        <f>(L11*calulator!$G$5)+(K11*calulator!$G$6)+(J11*calulator!$G$7)+(I11*calulator!$G$8)+(H11*calulator!$G$9)+(G11*calulator!$G$10)+(F11*calulator!$G$11)+(E11*calulator!$G$12)+(D11*calulator!$G$13)</f>
        <v>95575448.055199996</v>
      </c>
      <c r="D11" s="55">
        <f>Table1[[#This Row],[Shares  bought]]</f>
        <v>1.3699999999999999E-3</v>
      </c>
      <c r="E11" s="55">
        <f>Table118[[#This Row],[Shares  bought]]</f>
        <v>2.07E-2</v>
      </c>
      <c r="F11" s="55">
        <f>Table117[[#This Row],[Shares  bought]]</f>
        <v>68.05</v>
      </c>
      <c r="G11" s="55">
        <f>Table116[[#This Row],[Shares  bought]]</f>
        <v>0</v>
      </c>
      <c r="H11" s="55">
        <f>Table115[[#This Row],[Shares  bought]]+Table115[[#This Row],[Column1]]</f>
        <v>312</v>
      </c>
      <c r="I11" s="55">
        <f>Table114[[#This Row],[Shares  bought]]+Table114[[#This Row],[Column1]]</f>
        <v>147</v>
      </c>
      <c r="J11" s="55">
        <f>Table113[[#This Row],[Shares  bought]]+Table113[[#This Row],[Column1]]</f>
        <v>1582</v>
      </c>
      <c r="K11" s="55">
        <f>Table112[[#This Row],[Shares  bought]]+Table112[[#This Row],[Column1]]</f>
        <v>9066</v>
      </c>
      <c r="L11" s="54">
        <f>Table111[[#This Row],[Shares  bought]]+Table111[[#This Row],[Column2]]</f>
        <v>796</v>
      </c>
      <c r="M11" s="58" t="s">
        <v>55</v>
      </c>
    </row>
    <row r="12" spans="3:13" ht="20.399999999999999" x14ac:dyDescent="0.3">
      <c r="C12" s="64">
        <f>(L12*calulator!$G$5)+(K12*calulator!$G$6)+(J12*calulator!$G$7)+(I12*calulator!$G$8)+(H12*calulator!$G$9)+(G12*calulator!$G$10)+(F12*calulator!$G$11)+(E12*calulator!$G$12)+(D12*calulator!$G$13)</f>
        <v>98708201.059440002</v>
      </c>
      <c r="D12" s="55">
        <f>Table1[[#This Row],[Shares  bought]]</f>
        <v>1.4790000000000001E-3</v>
      </c>
      <c r="E12" s="55">
        <f>Table118[[#This Row],[Shares  bought]]</f>
        <v>2.1399999999999999E-2</v>
      </c>
      <c r="F12" s="55">
        <f>Table117[[#This Row],[Shares  bought]]</f>
        <v>62.5</v>
      </c>
      <c r="G12" s="55">
        <f>Table116[[#This Row],[Shares  bought]]</f>
        <v>0</v>
      </c>
      <c r="H12" s="55">
        <f>Table115[[#This Row],[Shares  bought]]+Table115[[#This Row],[Column1]]</f>
        <v>352</v>
      </c>
      <c r="I12" s="55">
        <f>Table114[[#This Row],[Shares  bought]]+Table114[[#This Row],[Column1]]</f>
        <v>151</v>
      </c>
      <c r="J12" s="55">
        <f>Table113[[#This Row],[Shares  bought]]+Table113[[#This Row],[Column1]]</f>
        <v>1656</v>
      </c>
      <c r="K12" s="55">
        <f>Table112[[#This Row],[Shares  bought]]+Table112[[#This Row],[Column1]]</f>
        <v>9745</v>
      </c>
      <c r="L12" s="54">
        <f>Table111[[#This Row],[Shares  bought]]+Table111[[#This Row],[Column2]]</f>
        <v>851</v>
      </c>
      <c r="M12" s="58" t="s">
        <v>56</v>
      </c>
    </row>
    <row r="13" spans="3:13" ht="20.399999999999999" x14ac:dyDescent="0.3">
      <c r="C13" s="64">
        <f>(L13*calulator!$G$5)+(K13*calulator!$G$6)+(J13*calulator!$G$7)+(I13*calulator!$G$8)+(H13*calulator!$G$9)+(G13*calulator!$G$10)+(F13*calulator!$G$11)+(E13*calulator!$G$12)+(D13*calulator!$G$13)</f>
        <v>89552134.378879994</v>
      </c>
      <c r="D13" s="55">
        <f>Table1[[#This Row],[Shares  bought]]</f>
        <v>1.0480000000000001E-3</v>
      </c>
      <c r="E13" s="55">
        <f>Table118[[#This Row],[Shares  bought]]</f>
        <v>1.536E-2</v>
      </c>
      <c r="F13" s="55">
        <f>Table117[[#This Row],[Shares  bought]]</f>
        <v>64.5</v>
      </c>
      <c r="G13" s="55">
        <f>Table116[[#This Row],[Shares  bought]]</f>
        <v>0</v>
      </c>
      <c r="H13" s="55">
        <f>Table115[[#This Row],[Shares  bought]]+Table115[[#This Row],[Column1]]</f>
        <v>425</v>
      </c>
      <c r="I13" s="55">
        <f>Table114[[#This Row],[Shares  bought]]+Table114[[#This Row],[Column1]]</f>
        <v>148</v>
      </c>
      <c r="J13" s="55">
        <f>Table113[[#This Row],[Shares  bought]]+Table113[[#This Row],[Column1]]</f>
        <v>1610</v>
      </c>
      <c r="K13" s="55">
        <f>Table112[[#This Row],[Shares  bought]]+Table112[[#This Row],[Column1]]</f>
        <v>9699</v>
      </c>
      <c r="L13" s="54">
        <f>Table111[[#This Row],[Shares  bought]]+Table111[[#This Row],[Column2]]</f>
        <v>811</v>
      </c>
      <c r="M13" s="58" t="s">
        <v>57</v>
      </c>
    </row>
    <row r="14" spans="3:13" ht="20.399999999999999" x14ac:dyDescent="0.3">
      <c r="C14" s="64">
        <f>(L14*calulator!$G$5)+(K14*calulator!$G$6)+(J14*calulator!$G$7)+(I14*calulator!$G$8)+(H14*calulator!$G$9)+(G14*calulator!$G$10)+(F14*calulator!$G$11)+(E14*calulator!$G$12)+(D14*calulator!$G$13)</f>
        <v>92253057.997120008</v>
      </c>
      <c r="D14" s="55">
        <f>Table1[[#This Row],[Shares  bought]]</f>
        <v>1.0920000000000001E-3</v>
      </c>
      <c r="E14" s="55">
        <f>Table118[[#This Row],[Shares  bought]]</f>
        <v>1.4500000000000001E-2</v>
      </c>
      <c r="F14" s="55">
        <f>Table117[[#This Row],[Shares  bought]]</f>
        <v>60.06</v>
      </c>
      <c r="G14" s="55">
        <f>Table116[[#This Row],[Shares  bought]]</f>
        <v>0</v>
      </c>
      <c r="H14" s="55">
        <f>Table115[[#This Row],[Shares  bought]]+Table115[[#This Row],[Column1]]</f>
        <v>521</v>
      </c>
      <c r="I14" s="55">
        <f>Table114[[#This Row],[Shares  bought]]+Table114[[#This Row],[Column1]]</f>
        <v>145</v>
      </c>
      <c r="J14" s="55">
        <f>Table113[[#This Row],[Shares  bought]]+Table113[[#This Row],[Column1]]</f>
        <v>1721</v>
      </c>
      <c r="K14" s="55">
        <f>Table112[[#This Row],[Shares  bought]]+Table112[[#This Row],[Column1]]</f>
        <v>11393</v>
      </c>
      <c r="L14" s="54">
        <f>Table111[[#This Row],[Shares  bought]]+Table111[[#This Row],[Column2]]</f>
        <v>845</v>
      </c>
      <c r="M14" s="58" t="s">
        <v>58</v>
      </c>
    </row>
    <row r="15" spans="3:13" ht="20.399999999999999" x14ac:dyDescent="0.3">
      <c r="C15" s="64">
        <f>(L15*calulator!$G$5)+(K15*calulator!$G$6)+(J15*calulator!$G$7)+(I15*calulator!$G$8)+(H15*calulator!$G$9)+(G15*calulator!$G$10)+(F15*calulator!$G$11)+(E15*calulator!$G$12)+(D15*calulator!$G$13)</f>
        <v>90240340.406959996</v>
      </c>
      <c r="D15" s="55">
        <f>Table1[[#This Row],[Shares  bought]]</f>
        <v>1.1709999999999999E-3</v>
      </c>
      <c r="E15" s="55">
        <f>Table118[[#This Row],[Shares  bought]]</f>
        <v>1.404E-2</v>
      </c>
      <c r="F15" s="55">
        <f>Table117[[#This Row],[Shares  bought]]</f>
        <v>58.573999999999998</v>
      </c>
      <c r="G15" s="55">
        <f>Table116[[#This Row],[Shares  bought]]</f>
        <v>0</v>
      </c>
      <c r="H15" s="55">
        <f>Table115[[#This Row],[Shares  bought]]+Table115[[#This Row],[Column1]]</f>
        <v>601</v>
      </c>
      <c r="I15" s="55">
        <f>Table114[[#This Row],[Shares  bought]]+Table114[[#This Row],[Column1]]</f>
        <v>144</v>
      </c>
      <c r="J15" s="55">
        <f>Table113[[#This Row],[Shares  bought]]+Table113[[#This Row],[Column1]]</f>
        <v>1518</v>
      </c>
      <c r="K15" s="55">
        <f>Table112[[#This Row],[Shares  bought]]+Table112[[#This Row],[Column1]]</f>
        <v>10967</v>
      </c>
      <c r="L15" s="54">
        <f>Table111[[#This Row],[Shares  bought]]+Table111[[#This Row],[Column2]]</f>
        <v>749</v>
      </c>
      <c r="M15" s="58" t="s">
        <v>49</v>
      </c>
    </row>
    <row r="16" spans="3:13" ht="20.399999999999999" x14ac:dyDescent="0.3">
      <c r="C16" s="64">
        <f>(L16*calulator!$G$5)+(K16*calulator!$G$6)+(J16*calulator!$G$7)+(I16*calulator!$G$8)+(H16*calulator!$G$9)+(G16*calulator!$G$10)+(F16*calulator!$G$11)+(E16*calulator!$G$12)+(D16*calulator!$G$13)</f>
        <v>112413261.85302986</v>
      </c>
      <c r="D16" s="55">
        <f>Table1[[#This Row],[Shares  bought]]</f>
        <v>2.5497189000000002E-3</v>
      </c>
      <c r="E16" s="55">
        <f>Table118[[#This Row],[Shares  bought]]</f>
        <v>1.9115281000000001E-2</v>
      </c>
      <c r="F16" s="55">
        <f>Table117[[#This Row],[Shares  bought]]</f>
        <v>46.3</v>
      </c>
      <c r="G16" s="55">
        <f>Table116[[#This Row],[Shares  bought]]</f>
        <v>0</v>
      </c>
      <c r="H16" s="55">
        <f>Table115[[#This Row],[Shares  bought]]+Table115[[#This Row],[Column1]]</f>
        <v>790</v>
      </c>
      <c r="I16" s="55">
        <f>Table114[[#This Row],[Shares  bought]]+Table114[[#This Row],[Column1]]</f>
        <v>153</v>
      </c>
      <c r="J16" s="55">
        <f>Table113[[#This Row],[Shares  bought]]+Table113[[#This Row],[Column1]]</f>
        <v>1679</v>
      </c>
      <c r="K16" s="55">
        <f>Table112[[#This Row],[Shares  bought]]+Table112[[#This Row],[Column1]]</f>
        <v>11146</v>
      </c>
      <c r="L16" s="54">
        <f>Table111[[#This Row],[Shares  bought]]+Table111[[#This Row],[Column2]]</f>
        <v>830</v>
      </c>
      <c r="M16" s="58" t="s">
        <v>48</v>
      </c>
    </row>
    <row r="17" spans="3:13" ht="21" thickBot="1" x14ac:dyDescent="0.35">
      <c r="C17" s="64">
        <f>(L17*calulator!$G$5)+(K17*calulator!$G$6)+(J17*calulator!$G$7)+(I17*calulator!$G$8)+(H17*calulator!$G$9)+(G17*calulator!$G$10)+(F17*calulator!$G$11)+(E17*calulator!$G$12)+(D17*calulator!$G$13)</f>
        <v>113464696.98474163</v>
      </c>
      <c r="D17" s="55">
        <f>Table1[[#This Row],[Shares  bought]]</f>
        <v>2.6777330794341679E-3</v>
      </c>
      <c r="E17" s="55">
        <f>Table118[[#This Row],[Shares  bought]]</f>
        <v>1.8770683999999999E-2</v>
      </c>
      <c r="F17" s="55">
        <f>Table117[[#This Row],[Shares  bought]]</f>
        <v>52.0625</v>
      </c>
      <c r="G17" s="55">
        <f>Table116[[#This Row],[Shares  bought]]</f>
        <v>0</v>
      </c>
      <c r="H17" s="55">
        <f>Table115[[#This Row],[Shares  bought]]+Table115[[#This Row],[Column1]]</f>
        <v>778</v>
      </c>
      <c r="I17" s="55">
        <f>Table114[[#This Row],[Shares  bought]]+Table114[[#This Row],[Column1]]</f>
        <v>155</v>
      </c>
      <c r="J17" s="55">
        <f>Table113[[#This Row],[Shares  bought]]+Table113[[#This Row],[Column1]]</f>
        <v>1557</v>
      </c>
      <c r="K17" s="55">
        <f>Table112[[#This Row],[Shares  bought]]+Table112[[#This Row],[Column1]]</f>
        <v>11459</v>
      </c>
      <c r="L17" s="54">
        <f>Table111[[#This Row],[Shares  bought]]+Table111[[#This Row],[Column2]]</f>
        <v>756</v>
      </c>
      <c r="M17" s="58" t="s">
        <v>47</v>
      </c>
    </row>
    <row r="18" spans="3:13" ht="21" thickBot="1" x14ac:dyDescent="0.35">
      <c r="C18" s="65">
        <f>(L18*calulator!$G$5)+(K18*calulator!$G$6)+(J18*calulator!$G$7)+(I18*calulator!$G$8)+(H18*calulator!$G$9)+(G18*calulator!$G$10)+(F18*calulator!$G$11)+(E18*calulator!$G$12)+(D18*calulator!$G$13)</f>
        <v>1296475022.8717713</v>
      </c>
      <c r="D18" s="62">
        <f t="shared" ref="D18:K18" si="0">SUM(D6:D17)</f>
        <v>1.8112451979434167E-2</v>
      </c>
      <c r="E18" s="62">
        <f t="shared" si="0"/>
        <v>0.25002596500000002</v>
      </c>
      <c r="F18" s="62">
        <f t="shared" si="0"/>
        <v>686.26789999999994</v>
      </c>
      <c r="G18" s="62">
        <f t="shared" si="0"/>
        <v>0.151784</v>
      </c>
      <c r="H18" s="62">
        <f t="shared" si="0"/>
        <v>5340</v>
      </c>
      <c r="I18" s="62">
        <f t="shared" si="0"/>
        <v>2023</v>
      </c>
      <c r="J18" s="62">
        <f t="shared" si="0"/>
        <v>20631</v>
      </c>
      <c r="K18" s="62">
        <f t="shared" si="0"/>
        <v>129575</v>
      </c>
      <c r="L18" s="63">
        <f>SUM(L6:L17)</f>
        <v>10625</v>
      </c>
      <c r="M18" s="61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B25" sqref="B25"/>
    </sheetView>
  </sheetViews>
  <sheetFormatPr defaultRowHeight="14.4" x14ac:dyDescent="0.3"/>
  <cols>
    <col min="2" max="2" width="14.6640625" bestFit="1" customWidth="1"/>
    <col min="4" max="4" width="14.21875" customWidth="1"/>
    <col min="5" max="5" width="13.109375" customWidth="1"/>
    <col min="6" max="6" width="12.5546875" customWidth="1"/>
    <col min="7" max="7" width="15.6640625" customWidth="1"/>
    <col min="8" max="8" width="17.6640625" customWidth="1"/>
    <col min="9" max="9" width="15.6640625" customWidth="1"/>
    <col min="10" max="10" width="16.33203125" customWidth="1"/>
    <col min="11" max="11" width="12.21875" customWidth="1"/>
    <col min="12" max="12" width="16" customWidth="1"/>
  </cols>
  <sheetData>
    <row r="2" spans="2:13" ht="31.2" x14ac:dyDescent="0.6">
      <c r="G2" s="18"/>
    </row>
    <row r="4" spans="2:13" ht="15.6" x14ac:dyDescent="0.3">
      <c r="B4" s="19" t="s">
        <v>136</v>
      </c>
      <c r="C4" s="19" t="s">
        <v>137</v>
      </c>
      <c r="D4" s="19" t="s">
        <v>138</v>
      </c>
      <c r="E4" s="19" t="s">
        <v>139</v>
      </c>
      <c r="F4" s="19" t="s">
        <v>140</v>
      </c>
      <c r="G4" s="19" t="s">
        <v>141</v>
      </c>
      <c r="H4" s="19" t="s">
        <v>122</v>
      </c>
      <c r="I4" s="19" t="s">
        <v>142</v>
      </c>
      <c r="J4" s="19" t="s">
        <v>143</v>
      </c>
      <c r="K4" s="19" t="s">
        <v>123</v>
      </c>
      <c r="L4" s="19" t="s">
        <v>144</v>
      </c>
      <c r="M4" s="19" t="s">
        <v>145</v>
      </c>
    </row>
    <row r="5" spans="2:13" ht="16.2" thickBot="1" x14ac:dyDescent="0.35">
      <c r="B5" s="20" t="s">
        <v>146</v>
      </c>
      <c r="C5" s="21" t="s">
        <v>147</v>
      </c>
      <c r="D5" s="21" t="s">
        <v>148</v>
      </c>
      <c r="E5" s="21" t="s">
        <v>149</v>
      </c>
      <c r="F5" s="21" t="s">
        <v>150</v>
      </c>
      <c r="G5" s="21" t="s">
        <v>151</v>
      </c>
      <c r="H5" s="21" t="s">
        <v>152</v>
      </c>
      <c r="I5" s="21" t="s">
        <v>153</v>
      </c>
      <c r="J5" s="21" t="s">
        <v>154</v>
      </c>
      <c r="K5" s="21" t="s">
        <v>155</v>
      </c>
      <c r="L5" s="21" t="s">
        <v>156</v>
      </c>
      <c r="M5" s="22" t="s">
        <v>157</v>
      </c>
    </row>
    <row r="6" spans="2:13" ht="16.2" thickBot="1" x14ac:dyDescent="0.35">
      <c r="B6" s="23">
        <v>44254.975983796299</v>
      </c>
      <c r="C6" s="24">
        <v>1</v>
      </c>
      <c r="D6" s="24">
        <f>58057.7*Table1[[#This Row],[Column1]]</f>
        <v>15709600812.199999</v>
      </c>
      <c r="E6" s="24">
        <f t="shared" ref="E6:E17" si="0">D6*F6</f>
        <v>9221535.6767613981</v>
      </c>
      <c r="F6" s="24">
        <v>5.8699999999999996E-4</v>
      </c>
      <c r="G6" s="24">
        <v>5.8699999999999996E-4</v>
      </c>
      <c r="H6" s="24">
        <v>9221535.6767613981</v>
      </c>
      <c r="I6" s="24">
        <f>H6/G6</f>
        <v>15709600812.199999</v>
      </c>
      <c r="J6" s="24">
        <f>G6*D6</f>
        <v>9221535.6767613981</v>
      </c>
      <c r="K6" s="24">
        <f>J6-H6</f>
        <v>0</v>
      </c>
      <c r="L6" s="24">
        <f>100*(J6-H6)/H6</f>
        <v>0</v>
      </c>
      <c r="M6" s="25" t="s">
        <v>158</v>
      </c>
    </row>
    <row r="7" spans="2:13" ht="15.6" x14ac:dyDescent="0.3">
      <c r="B7" s="23">
        <v>44261.863576388889</v>
      </c>
      <c r="C7" s="24">
        <v>2</v>
      </c>
      <c r="D7" s="24">
        <f>49777.04*Table1[[#This Row],[Column1]]</f>
        <v>12386070640.24</v>
      </c>
      <c r="E7" s="24">
        <f t="shared" si="0"/>
        <v>18653422.384201441</v>
      </c>
      <c r="F7" s="24">
        <v>1.506E-3</v>
      </c>
      <c r="G7" s="24">
        <f t="shared" ref="G7:G19" si="1">G6+F7</f>
        <v>2.0929999999999998E-3</v>
      </c>
      <c r="H7" s="24">
        <f t="shared" ref="H7:H19" si="2">H6+E7</f>
        <v>27874958.060962841</v>
      </c>
      <c r="I7" s="24">
        <f>H7/G7</f>
        <v>13318183497.832224</v>
      </c>
      <c r="J7" s="24">
        <f t="shared" ref="J7" si="3">G7*D7</f>
        <v>25924045.850022316</v>
      </c>
      <c r="K7" s="24">
        <f t="shared" ref="K7:K19" si="4">J7-H7</f>
        <v>-1950912.2109405249</v>
      </c>
      <c r="L7" s="24">
        <f t="shared" ref="L7:L19" si="5">100*(J7-H7)/H7</f>
        <v>-6.9987987306522879</v>
      </c>
      <c r="M7" s="26">
        <v>248831</v>
      </c>
    </row>
    <row r="8" spans="2:13" ht="15.6" x14ac:dyDescent="0.3">
      <c r="B8" s="27">
        <v>44342</v>
      </c>
      <c r="C8" s="26">
        <v>3</v>
      </c>
      <c r="D8" s="24">
        <f>38831.03*M8</f>
        <v>9451708142.0623398</v>
      </c>
      <c r="E8" s="24">
        <f t="shared" si="0"/>
        <v>14224820.753803821</v>
      </c>
      <c r="F8" s="26">
        <v>1.505E-3</v>
      </c>
      <c r="G8" s="24">
        <f t="shared" si="1"/>
        <v>3.5979999999999996E-3</v>
      </c>
      <c r="H8" s="24">
        <f t="shared" si="2"/>
        <v>42099778.81476666</v>
      </c>
      <c r="I8" s="26">
        <f>H8/G8</f>
        <v>11700883494.932369</v>
      </c>
      <c r="J8" s="26">
        <f>G8*D8</f>
        <v>34007245.895140298</v>
      </c>
      <c r="K8" s="26">
        <f t="shared" si="4"/>
        <v>-8092532.9196263626</v>
      </c>
      <c r="L8" s="26">
        <f t="shared" si="5"/>
        <v>-19.22226944524439</v>
      </c>
      <c r="M8" s="26">
        <f>(57000000+5700)/234.2</f>
        <v>243406.06319385141</v>
      </c>
    </row>
    <row r="9" spans="2:13" ht="15.6" x14ac:dyDescent="0.3">
      <c r="B9" s="28">
        <v>44373.427210648151</v>
      </c>
      <c r="C9" s="26">
        <v>4</v>
      </c>
      <c r="D9" s="24">
        <f>30950.8*Table1[[#This Row],[Column1]]</f>
        <v>7695723327.3056059</v>
      </c>
      <c r="E9" s="24">
        <f t="shared" si="0"/>
        <v>13721474.692585897</v>
      </c>
      <c r="F9" s="26">
        <v>1.7830000000000001E-3</v>
      </c>
      <c r="G9" s="24">
        <f t="shared" si="1"/>
        <v>5.3809999999999995E-3</v>
      </c>
      <c r="H9" s="24">
        <f t="shared" si="2"/>
        <v>55821253.507352561</v>
      </c>
      <c r="I9" s="26">
        <f t="shared" ref="I9:I19" si="6">H9/G9</f>
        <v>10373769468.008282</v>
      </c>
      <c r="J9" s="26">
        <f t="shared" ref="J9:J19" si="7">G9*D9</f>
        <v>41410687.224231459</v>
      </c>
      <c r="K9" s="26">
        <f t="shared" si="4"/>
        <v>-14410566.283121102</v>
      </c>
      <c r="L9" s="26">
        <f t="shared" si="5"/>
        <v>-25.815554789042846</v>
      </c>
      <c r="M9" s="26">
        <v>248643.76130198917</v>
      </c>
    </row>
    <row r="10" spans="2:13" ht="15.6" x14ac:dyDescent="0.3">
      <c r="B10" s="23">
        <v>44404.632384259261</v>
      </c>
      <c r="C10" s="26">
        <v>5</v>
      </c>
      <c r="D10" s="24">
        <f>38306.92*Table1[[#This Row],[Column1]]</f>
        <v>9661733055.4799995</v>
      </c>
      <c r="E10" s="24">
        <f t="shared" si="0"/>
        <v>12985369.226565119</v>
      </c>
      <c r="F10" s="26">
        <v>1.3439999999999999E-3</v>
      </c>
      <c r="G10" s="24">
        <f t="shared" si="1"/>
        <v>6.7249999999999992E-3</v>
      </c>
      <c r="H10" s="24">
        <f t="shared" si="2"/>
        <v>68806622.733917683</v>
      </c>
      <c r="I10" s="26">
        <f t="shared" si="6"/>
        <v>10231468064.523077</v>
      </c>
      <c r="J10" s="26">
        <f t="shared" si="7"/>
        <v>64975154.79810299</v>
      </c>
      <c r="K10" s="26">
        <f t="shared" si="4"/>
        <v>-3831467.9358146936</v>
      </c>
      <c r="L10" s="26">
        <f t="shared" si="5"/>
        <v>-5.5684580692637331</v>
      </c>
      <c r="M10" s="24">
        <v>252219</v>
      </c>
    </row>
    <row r="11" spans="2:13" ht="15.6" x14ac:dyDescent="0.3">
      <c r="B11" t="s">
        <v>159</v>
      </c>
      <c r="C11" s="26">
        <v>6</v>
      </c>
      <c r="D11" s="24">
        <f>48902.87*Table1[[#This Row],[Column1]]</f>
        <v>13907976228</v>
      </c>
      <c r="E11" s="24">
        <f t="shared" si="0"/>
        <v>19053927.432359997</v>
      </c>
      <c r="F11" s="26">
        <v>1.3699999999999999E-3</v>
      </c>
      <c r="G11" s="24">
        <f t="shared" si="1"/>
        <v>8.0949999999999998E-3</v>
      </c>
      <c r="H11" s="24">
        <f t="shared" si="2"/>
        <v>87860550.166277677</v>
      </c>
      <c r="I11" s="26">
        <f t="shared" si="6"/>
        <v>10853681305.284456</v>
      </c>
      <c r="J11" s="26">
        <f t="shared" si="7"/>
        <v>112585067.56566</v>
      </c>
      <c r="K11" s="26">
        <f t="shared" si="4"/>
        <v>24724517.399382323</v>
      </c>
      <c r="L11" s="26">
        <f t="shared" si="5"/>
        <v>28.14063576040752</v>
      </c>
      <c r="M11" s="24">
        <v>284400</v>
      </c>
    </row>
    <row r="12" spans="2:13" ht="15.6" x14ac:dyDescent="0.3">
      <c r="B12" s="23" t="s">
        <v>160</v>
      </c>
      <c r="C12" s="26">
        <v>7</v>
      </c>
      <c r="D12" s="24">
        <f>42297.1*Table1[[#This Row],[Column1]]</f>
        <v>12224919327.5</v>
      </c>
      <c r="E12" s="24">
        <f t="shared" si="0"/>
        <v>18080655.685372502</v>
      </c>
      <c r="F12" s="26">
        <v>1.4790000000000001E-3</v>
      </c>
      <c r="G12" s="24">
        <f t="shared" si="1"/>
        <v>9.5739999999999992E-3</v>
      </c>
      <c r="H12" s="24">
        <f t="shared" si="2"/>
        <v>105941205.85165018</v>
      </c>
      <c r="I12" s="26">
        <f t="shared" si="6"/>
        <v>11065511369.505974</v>
      </c>
      <c r="J12" s="26">
        <f t="shared" si="7"/>
        <v>117041377.64148499</v>
      </c>
      <c r="K12" s="26">
        <f t="shared" si="4"/>
        <v>11100171.789834812</v>
      </c>
      <c r="L12" s="26">
        <f t="shared" si="5"/>
        <v>10.477671743116101</v>
      </c>
      <c r="M12" s="26">
        <v>289025</v>
      </c>
    </row>
    <row r="13" spans="2:13" ht="15.6" x14ac:dyDescent="0.3">
      <c r="B13" s="23" t="s">
        <v>161</v>
      </c>
      <c r="C13" s="26">
        <v>8</v>
      </c>
      <c r="D13" s="24">
        <f>59368.225*Table1[[#This Row],[Column1]]</f>
        <v>16832008677.795444</v>
      </c>
      <c r="E13" s="24">
        <f t="shared" si="0"/>
        <v>17639945.094329629</v>
      </c>
      <c r="F13" s="26">
        <v>1.0480000000000001E-3</v>
      </c>
      <c r="G13" s="24">
        <f t="shared" si="1"/>
        <v>1.0621999999999999E-2</v>
      </c>
      <c r="H13" s="24">
        <f t="shared" si="2"/>
        <v>123581150.9459798</v>
      </c>
      <c r="I13" s="26">
        <f t="shared" si="6"/>
        <v>11634452169.646</v>
      </c>
      <c r="J13" s="26">
        <f t="shared" si="7"/>
        <v>178789596.17554319</v>
      </c>
      <c r="K13" s="26">
        <f t="shared" si="4"/>
        <v>55208445.229563385</v>
      </c>
      <c r="L13" s="26">
        <f t="shared" si="5"/>
        <v>44.673839664833906</v>
      </c>
      <c r="M13" s="24">
        <v>283518.81293057767</v>
      </c>
    </row>
    <row r="14" spans="2:13" ht="15.6" x14ac:dyDescent="0.3">
      <c r="B14" s="23" t="s">
        <v>162</v>
      </c>
      <c r="C14" s="26">
        <v>9</v>
      </c>
      <c r="D14" s="24">
        <f>54478.26*Table1[[#This Row],[Column1]]</f>
        <v>16460497170.796022</v>
      </c>
      <c r="E14" s="24">
        <f t="shared" si="0"/>
        <v>17974862.910509259</v>
      </c>
      <c r="F14" s="26">
        <v>1.0920000000000001E-3</v>
      </c>
      <c r="G14" s="24">
        <f t="shared" si="1"/>
        <v>1.1713999999999999E-2</v>
      </c>
      <c r="H14" s="24">
        <f t="shared" si="2"/>
        <v>141556013.85648906</v>
      </c>
      <c r="I14" s="26">
        <f t="shared" si="6"/>
        <v>12084344703.473543</v>
      </c>
      <c r="J14" s="26">
        <f t="shared" si="7"/>
        <v>192818263.8587046</v>
      </c>
      <c r="K14" s="26">
        <f t="shared" si="4"/>
        <v>51262250.002215534</v>
      </c>
      <c r="L14" s="26">
        <f t="shared" si="5"/>
        <v>36.213403165043722</v>
      </c>
      <c r="M14" s="26">
        <v>302147.99758281599</v>
      </c>
    </row>
    <row r="15" spans="2:13" ht="15.6" x14ac:dyDescent="0.3">
      <c r="B15" s="23" t="s">
        <v>163</v>
      </c>
      <c r="C15" s="26">
        <v>10</v>
      </c>
      <c r="D15" s="24">
        <f>50216.94*Table1[[#This Row],[Column1]]</f>
        <v>15252136504.297995</v>
      </c>
      <c r="E15" s="24">
        <f t="shared" si="0"/>
        <v>17860251.846532952</v>
      </c>
      <c r="F15" s="26">
        <v>1.1709999999999999E-3</v>
      </c>
      <c r="G15" s="24">
        <f t="shared" si="1"/>
        <v>1.2884999999999999E-2</v>
      </c>
      <c r="H15" s="24">
        <f t="shared" si="2"/>
        <v>159416265.703022</v>
      </c>
      <c r="I15" s="26">
        <f t="shared" si="6"/>
        <v>12372236375.865116</v>
      </c>
      <c r="J15" s="26">
        <f t="shared" si="7"/>
        <v>196523778.85787964</v>
      </c>
      <c r="K15" s="26">
        <f t="shared" si="4"/>
        <v>37107513.154857635</v>
      </c>
      <c r="L15" s="26">
        <f t="shared" si="5"/>
        <v>23.27711854948701</v>
      </c>
      <c r="M15" s="26">
        <v>303724.92836676218</v>
      </c>
    </row>
    <row r="16" spans="2:13" ht="15.6" x14ac:dyDescent="0.3">
      <c r="B16" s="23" t="s">
        <v>164</v>
      </c>
      <c r="C16" s="29">
        <v>11</v>
      </c>
      <c r="D16" s="24">
        <f>36289.5*Table1[[#This Row],[Column1]]</f>
        <v>10488572737.5</v>
      </c>
      <c r="E16" s="24">
        <f t="shared" si="0"/>
        <v>26742912.142828491</v>
      </c>
      <c r="F16" s="26">
        <v>2.5497189000000002E-3</v>
      </c>
      <c r="G16" s="24">
        <f t="shared" si="1"/>
        <v>1.5434718899999998E-2</v>
      </c>
      <c r="H16" s="24">
        <f t="shared" si="2"/>
        <v>186159177.8458505</v>
      </c>
      <c r="I16" s="29">
        <f t="shared" si="6"/>
        <v>12061066939.537884</v>
      </c>
      <c r="J16" s="29">
        <f t="shared" si="7"/>
        <v>161888171.86551598</v>
      </c>
      <c r="K16" s="29">
        <f t="shared" si="4"/>
        <v>-24271005.98033452</v>
      </c>
      <c r="L16" s="29">
        <f t="shared" si="5"/>
        <v>-13.037770289484293</v>
      </c>
      <c r="M16" s="26">
        <v>289025</v>
      </c>
    </row>
    <row r="17" spans="2:13" ht="15.6" x14ac:dyDescent="0.3">
      <c r="B17" s="23" t="s">
        <v>165</v>
      </c>
      <c r="C17" s="26">
        <v>12</v>
      </c>
      <c r="D17" s="24">
        <f>38773.06*Table1[[#This Row],[Column1]]</f>
        <v>10233358216.575998</v>
      </c>
      <c r="E17" s="24">
        <f t="shared" si="0"/>
        <v>27402201.810224991</v>
      </c>
      <c r="F17" s="26">
        <v>2.6777330794341679E-3</v>
      </c>
      <c r="G17" s="24">
        <f t="shared" si="1"/>
        <v>1.8112451979434167E-2</v>
      </c>
      <c r="H17" s="24">
        <f t="shared" si="2"/>
        <v>213561379.65607548</v>
      </c>
      <c r="I17" s="26">
        <f t="shared" si="6"/>
        <v>11790859674.800756</v>
      </c>
      <c r="J17" s="26">
        <f t="shared" si="7"/>
        <v>185351209.28608084</v>
      </c>
      <c r="K17" s="26">
        <f t="shared" si="4"/>
        <v>-28210170.36999464</v>
      </c>
      <c r="L17" s="26">
        <f t="shared" si="5"/>
        <v>-13.209396949684908</v>
      </c>
      <c r="M17" s="24">
        <v>263929.59999999998</v>
      </c>
    </row>
    <row r="18" spans="2:13" ht="15.6" x14ac:dyDescent="0.3">
      <c r="C18" s="26">
        <v>13</v>
      </c>
      <c r="D18" s="24">
        <v>0</v>
      </c>
      <c r="E18" s="24">
        <v>0</v>
      </c>
      <c r="F18" s="26" t="e">
        <f>E18/D18</f>
        <v>#DIV/0!</v>
      </c>
      <c r="G18" s="24" t="e">
        <f t="shared" si="1"/>
        <v>#DIV/0!</v>
      </c>
      <c r="H18" s="24">
        <f t="shared" si="2"/>
        <v>213561379.65607548</v>
      </c>
      <c r="I18" s="26" t="e">
        <f t="shared" si="6"/>
        <v>#DIV/0!</v>
      </c>
      <c r="J18" s="26" t="e">
        <f t="shared" si="7"/>
        <v>#DIV/0!</v>
      </c>
      <c r="K18" s="26" t="e">
        <f t="shared" si="4"/>
        <v>#DIV/0!</v>
      </c>
      <c r="L18" s="26" t="e">
        <f t="shared" si="5"/>
        <v>#DIV/0!</v>
      </c>
      <c r="M18" s="26"/>
    </row>
    <row r="19" spans="2:13" ht="15.6" x14ac:dyDescent="0.3">
      <c r="C19" s="26">
        <v>14</v>
      </c>
      <c r="D19" s="24">
        <v>0</v>
      </c>
      <c r="E19" s="24">
        <v>0</v>
      </c>
      <c r="F19" s="26" t="e">
        <f>E19/D19</f>
        <v>#DIV/0!</v>
      </c>
      <c r="G19" s="24" t="e">
        <f t="shared" si="1"/>
        <v>#DIV/0!</v>
      </c>
      <c r="H19" s="24">
        <f t="shared" si="2"/>
        <v>213561379.65607548</v>
      </c>
      <c r="I19" s="26" t="e">
        <f t="shared" si="6"/>
        <v>#DIV/0!</v>
      </c>
      <c r="J19" s="26" t="e">
        <f t="shared" si="7"/>
        <v>#DIV/0!</v>
      </c>
      <c r="K19" s="26" t="e">
        <f t="shared" si="4"/>
        <v>#DIV/0!</v>
      </c>
      <c r="L19" s="26" t="e">
        <f t="shared" si="5"/>
        <v>#DIV/0!</v>
      </c>
      <c r="M19" s="26"/>
    </row>
    <row r="22" spans="2:13" x14ac:dyDescent="0.3">
      <c r="F22">
        <f>SUM(F6:F17)</f>
        <v>1.8112451979434167E-2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4" workbookViewId="0">
      <selection activeCell="F22" sqref="F22"/>
    </sheetView>
  </sheetViews>
  <sheetFormatPr defaultRowHeight="14.4" x14ac:dyDescent="0.3"/>
  <cols>
    <col min="2" max="2" width="14.6640625" bestFit="1" customWidth="1"/>
    <col min="3" max="3" width="11" bestFit="1" customWidth="1"/>
    <col min="4" max="5" width="13.109375" customWidth="1"/>
    <col min="6" max="6" width="13.6640625" customWidth="1"/>
    <col min="7" max="7" width="20" customWidth="1"/>
    <col min="8" max="8" width="18.5546875" customWidth="1"/>
    <col min="9" max="9" width="13.21875" customWidth="1"/>
    <col min="10" max="10" width="16.109375" customWidth="1"/>
    <col min="11" max="11" width="16.77734375" bestFit="1" customWidth="1"/>
    <col min="12" max="12" width="21.109375" customWidth="1"/>
    <col min="13" max="13" width="11.21875" customWidth="1"/>
  </cols>
  <sheetData>
    <row r="2" spans="2:13" ht="31.2" x14ac:dyDescent="0.6">
      <c r="G2" s="18"/>
    </row>
    <row r="4" spans="2:13" ht="15.6" x14ac:dyDescent="0.3">
      <c r="B4" s="19" t="s">
        <v>136</v>
      </c>
      <c r="C4" s="19" t="s">
        <v>137</v>
      </c>
      <c r="D4" s="19" t="s">
        <v>138</v>
      </c>
      <c r="E4" s="19" t="s">
        <v>139</v>
      </c>
      <c r="F4" s="19" t="s">
        <v>140</v>
      </c>
      <c r="G4" s="19" t="s">
        <v>141</v>
      </c>
      <c r="H4" s="19" t="s">
        <v>122</v>
      </c>
      <c r="I4" s="19" t="s">
        <v>142</v>
      </c>
      <c r="J4" s="19" t="s">
        <v>143</v>
      </c>
      <c r="K4" s="19" t="s">
        <v>123</v>
      </c>
      <c r="L4" s="19" t="s">
        <v>144</v>
      </c>
      <c r="M4" s="19" t="s">
        <v>145</v>
      </c>
    </row>
    <row r="5" spans="2:13" ht="16.2" thickBot="1" x14ac:dyDescent="0.35">
      <c r="B5" s="20" t="s">
        <v>146</v>
      </c>
      <c r="C5" s="21" t="s">
        <v>147</v>
      </c>
      <c r="D5" s="21" t="s">
        <v>148</v>
      </c>
      <c r="E5" s="21" t="s">
        <v>149</v>
      </c>
      <c r="F5" s="21" t="s">
        <v>150</v>
      </c>
      <c r="G5" s="21" t="s">
        <v>151</v>
      </c>
      <c r="H5" s="21" t="s">
        <v>152</v>
      </c>
      <c r="I5" s="21" t="s">
        <v>153</v>
      </c>
      <c r="J5" s="21" t="s">
        <v>154</v>
      </c>
      <c r="K5" s="21" t="s">
        <v>155</v>
      </c>
      <c r="L5" s="21" t="s">
        <v>156</v>
      </c>
      <c r="M5" s="22" t="s">
        <v>166</v>
      </c>
    </row>
    <row r="6" spans="2:13" ht="16.2" thickBot="1" x14ac:dyDescent="0.35">
      <c r="B6" s="23">
        <v>44254.975983796299</v>
      </c>
      <c r="C6" s="24">
        <v>1</v>
      </c>
      <c r="D6" s="24">
        <f>1818*Table118[[#This Row],[dolar]]</f>
        <v>491925348</v>
      </c>
      <c r="E6" s="24">
        <f>D6*F6</f>
        <v>9223600.2750000004</v>
      </c>
      <c r="F6" s="24">
        <v>1.8749999999999999E-2</v>
      </c>
      <c r="G6" s="24">
        <v>1.8749999999999999E-2</v>
      </c>
      <c r="H6" s="24">
        <v>9223600.2750000004</v>
      </c>
      <c r="I6" s="24">
        <f>H6/G6</f>
        <v>491925348.00000006</v>
      </c>
      <c r="J6" s="24">
        <f>G6*D6</f>
        <v>9223600.2750000004</v>
      </c>
      <c r="K6" s="24">
        <f>J6-H6</f>
        <v>0</v>
      </c>
      <c r="L6" s="24">
        <f>100*(J6-H6)/H6</f>
        <v>0</v>
      </c>
      <c r="M6" s="25" t="s">
        <v>158</v>
      </c>
    </row>
    <row r="7" spans="2:13" ht="15.6" x14ac:dyDescent="0.3">
      <c r="B7" s="23">
        <v>44261.863576388889</v>
      </c>
      <c r="C7" s="24">
        <v>2</v>
      </c>
      <c r="D7" s="24">
        <f>2316.6*Table118[[#This Row],[dolar]]</f>
        <v>576441894.60000002</v>
      </c>
      <c r="E7" s="24">
        <f t="shared" ref="E7:E17" si="0">D7*F7</f>
        <v>18659424.128202002</v>
      </c>
      <c r="F7" s="24">
        <v>3.2370000000000003E-2</v>
      </c>
      <c r="G7" s="24">
        <f t="shared" ref="G7:G19" si="1">G6+F7</f>
        <v>5.1119999999999999E-2</v>
      </c>
      <c r="H7" s="24">
        <f t="shared" ref="H7:H19" si="2">H6+E7</f>
        <v>27883024.403202005</v>
      </c>
      <c r="I7" s="24">
        <f t="shared" ref="I7:I19" si="3">H7/G7</f>
        <v>545442574.39753532</v>
      </c>
      <c r="J7" s="24">
        <f t="shared" ref="J7:J19" si="4">G7*D7</f>
        <v>29467709.651952002</v>
      </c>
      <c r="K7" s="24">
        <f t="shared" ref="K7:K19" si="5">J7-H7</f>
        <v>1584685.2487499975</v>
      </c>
      <c r="L7" s="24">
        <f t="shared" ref="L7:L19" si="6">100*(J7-H7)/H7</f>
        <v>5.6833334355509049</v>
      </c>
      <c r="M7" s="26">
        <v>248831</v>
      </c>
    </row>
    <row r="8" spans="2:13" ht="15.6" x14ac:dyDescent="0.3">
      <c r="B8" s="27">
        <v>44342</v>
      </c>
      <c r="C8" s="26">
        <v>3</v>
      </c>
      <c r="D8" s="24">
        <f>2725.45*M8</f>
        <v>663391054.93168223</v>
      </c>
      <c r="E8" s="24">
        <f t="shared" si="0"/>
        <v>14189934.664988682</v>
      </c>
      <c r="F8" s="24">
        <v>2.1389999999999999E-2</v>
      </c>
      <c r="G8" s="24">
        <f t="shared" si="1"/>
        <v>7.2509999999999991E-2</v>
      </c>
      <c r="H8" s="24">
        <f t="shared" si="2"/>
        <v>42072959.068190686</v>
      </c>
      <c r="I8" s="26">
        <f t="shared" si="3"/>
        <v>580236644.16205621</v>
      </c>
      <c r="J8" s="26">
        <f t="shared" si="4"/>
        <v>48102485.393096276</v>
      </c>
      <c r="K8" s="26">
        <f t="shared" si="5"/>
        <v>6029526.3249055892</v>
      </c>
      <c r="L8" s="24">
        <f t="shared" si="6"/>
        <v>14.331120174202864</v>
      </c>
      <c r="M8" s="26">
        <f>(57000000+5700)/234.2</f>
        <v>243406.06319385141</v>
      </c>
    </row>
    <row r="9" spans="2:13" ht="15.6" x14ac:dyDescent="0.3">
      <c r="B9" s="28">
        <v>44373.427210648151</v>
      </c>
      <c r="C9" s="26">
        <v>4</v>
      </c>
      <c r="D9" s="24">
        <f>1766.41*Table118[[#This Row],[dolar]]</f>
        <v>439206826.4014467</v>
      </c>
      <c r="E9" s="24">
        <f t="shared" si="0"/>
        <v>13738389.529837254</v>
      </c>
      <c r="F9" s="24">
        <v>3.1280000000000002E-2</v>
      </c>
      <c r="G9" s="24">
        <f t="shared" si="1"/>
        <v>0.10378999999999999</v>
      </c>
      <c r="H9" s="24">
        <f t="shared" si="2"/>
        <v>55811348.598027945</v>
      </c>
      <c r="I9" s="26">
        <f t="shared" si="3"/>
        <v>537733390.48104775</v>
      </c>
      <c r="J9" s="26">
        <f t="shared" si="4"/>
        <v>45585276.512206152</v>
      </c>
      <c r="K9" s="26">
        <f t="shared" si="5"/>
        <v>-10226072.085821792</v>
      </c>
      <c r="L9" s="26">
        <f t="shared" si="6"/>
        <v>-18.32256761877122</v>
      </c>
      <c r="M9" s="26">
        <v>248643.76130198917</v>
      </c>
    </row>
    <row r="10" spans="2:13" ht="15.6" x14ac:dyDescent="0.3">
      <c r="B10" s="23">
        <v>44404.632384259261</v>
      </c>
      <c r="C10" s="26">
        <v>5</v>
      </c>
      <c r="D10" s="24">
        <f>2303.75*Table118[[#This Row],[dolar]]</f>
        <v>581049521.25</v>
      </c>
      <c r="E10" s="24">
        <f t="shared" si="0"/>
        <v>12986456.7999375</v>
      </c>
      <c r="F10" s="24">
        <v>2.2349999999999998E-2</v>
      </c>
      <c r="G10" s="24">
        <f t="shared" si="1"/>
        <v>0.12614</v>
      </c>
      <c r="H10" s="24">
        <f t="shared" si="2"/>
        <v>68797805.397965446</v>
      </c>
      <c r="I10" s="26">
        <f t="shared" si="3"/>
        <v>545408319.31160176</v>
      </c>
      <c r="J10" s="26">
        <f t="shared" si="4"/>
        <v>73293586.610475004</v>
      </c>
      <c r="K10" s="26">
        <f t="shared" si="5"/>
        <v>4495781.2125095576</v>
      </c>
      <c r="L10" s="26">
        <f t="shared" si="6"/>
        <v>6.5347741639481294</v>
      </c>
      <c r="M10" s="24">
        <v>252219</v>
      </c>
    </row>
    <row r="11" spans="2:13" ht="15.6" x14ac:dyDescent="0.3">
      <c r="B11" t="s">
        <v>159</v>
      </c>
      <c r="C11" s="26">
        <v>6</v>
      </c>
      <c r="D11" s="24">
        <f>3242.64*Table118[[#This Row],[dolar]]</f>
        <v>922206816</v>
      </c>
      <c r="E11" s="24">
        <f t="shared" si="0"/>
        <v>19089681.091200002</v>
      </c>
      <c r="F11" s="24">
        <v>2.07E-2</v>
      </c>
      <c r="G11" s="24">
        <f t="shared" si="1"/>
        <v>0.14684</v>
      </c>
      <c r="H11" s="24">
        <f t="shared" si="2"/>
        <v>87887486.489165455</v>
      </c>
      <c r="I11" s="26">
        <f t="shared" si="3"/>
        <v>598525514.09129298</v>
      </c>
      <c r="J11" s="26">
        <f t="shared" si="4"/>
        <v>135416848.86144</v>
      </c>
      <c r="K11" s="26">
        <f t="shared" si="5"/>
        <v>47529362.372274548</v>
      </c>
      <c r="L11" s="26">
        <f t="shared" si="6"/>
        <v>54.079783449187445</v>
      </c>
      <c r="M11" s="24">
        <v>284400</v>
      </c>
    </row>
    <row r="12" spans="2:13" ht="15.6" x14ac:dyDescent="0.3">
      <c r="B12" s="23" t="s">
        <v>160</v>
      </c>
      <c r="C12" s="26">
        <v>7</v>
      </c>
      <c r="D12" s="24">
        <f>2918.38*Table118[[#This Row],[dolar]]</f>
        <v>843484779.5</v>
      </c>
      <c r="E12" s="24">
        <f t="shared" si="0"/>
        <v>18050574.281300001</v>
      </c>
      <c r="F12" s="24">
        <v>2.1399999999999999E-2</v>
      </c>
      <c r="G12" s="24">
        <f t="shared" si="1"/>
        <v>0.16824</v>
      </c>
      <c r="H12" s="24">
        <f t="shared" si="2"/>
        <v>105938060.77046546</v>
      </c>
      <c r="I12" s="26">
        <f t="shared" si="3"/>
        <v>629684146.2818917</v>
      </c>
      <c r="J12" s="26">
        <f t="shared" si="4"/>
        <v>141907879.30307999</v>
      </c>
      <c r="K12" s="26">
        <f t="shared" si="5"/>
        <v>35969818.532614529</v>
      </c>
      <c r="L12" s="26">
        <f t="shared" si="6"/>
        <v>33.953631273796709</v>
      </c>
      <c r="M12" s="33">
        <v>289025</v>
      </c>
    </row>
    <row r="13" spans="2:13" ht="15.6" x14ac:dyDescent="0.3">
      <c r="B13" s="23" t="s">
        <v>161</v>
      </c>
      <c r="C13" s="26">
        <v>8</v>
      </c>
      <c r="D13" s="24">
        <f>Table118[[#This Row],[dolar]]*4036.81</f>
        <v>1144511579.2262852</v>
      </c>
      <c r="E13" s="24">
        <f t="shared" si="0"/>
        <v>17579697.856915742</v>
      </c>
      <c r="F13" s="24">
        <v>1.536E-2</v>
      </c>
      <c r="G13" s="24">
        <f t="shared" si="1"/>
        <v>0.18360000000000001</v>
      </c>
      <c r="H13" s="24">
        <f t="shared" si="2"/>
        <v>123517758.62738121</v>
      </c>
      <c r="I13" s="26">
        <f t="shared" si="3"/>
        <v>672754676.61972332</v>
      </c>
      <c r="J13" s="26">
        <f t="shared" si="4"/>
        <v>210132325.94594598</v>
      </c>
      <c r="K13" s="26">
        <f t="shared" si="5"/>
        <v>86614567.318564773</v>
      </c>
      <c r="L13" s="26">
        <f t="shared" si="6"/>
        <v>70.123169559655693</v>
      </c>
      <c r="M13" s="24">
        <v>283518.81293057767</v>
      </c>
    </row>
    <row r="14" spans="2:13" ht="15.6" x14ac:dyDescent="0.3">
      <c r="B14" s="23" t="s">
        <v>162</v>
      </c>
      <c r="C14" s="26">
        <v>9</v>
      </c>
      <c r="D14" s="24">
        <f>4064.93 *Table118[[#This Row],[dolar]]</f>
        <v>1228210459.8143163</v>
      </c>
      <c r="E14" s="24">
        <f t="shared" si="0"/>
        <v>17809051.667307585</v>
      </c>
      <c r="F14" s="24">
        <v>1.4500000000000001E-2</v>
      </c>
      <c r="G14" s="24">
        <f t="shared" si="1"/>
        <v>0.19810000000000003</v>
      </c>
      <c r="H14" s="24">
        <f t="shared" si="2"/>
        <v>141326810.29468879</v>
      </c>
      <c r="I14" s="26">
        <f t="shared" si="3"/>
        <v>713411460.34673786</v>
      </c>
      <c r="J14" s="26">
        <f t="shared" si="4"/>
        <v>243308492.08921608</v>
      </c>
      <c r="K14" s="26">
        <f t="shared" si="5"/>
        <v>101981681.79452729</v>
      </c>
      <c r="L14" s="26">
        <f t="shared" si="6"/>
        <v>72.160180776654698</v>
      </c>
      <c r="M14" s="26">
        <v>302147.99758281599</v>
      </c>
    </row>
    <row r="15" spans="2:13" ht="15.6" x14ac:dyDescent="0.3">
      <c r="B15" s="23" t="s">
        <v>163</v>
      </c>
      <c r="C15" s="26">
        <v>10</v>
      </c>
      <c r="D15" s="24">
        <f>4068.86 *Table118[[#This Row],[dolar]]</f>
        <v>1235814212.034384</v>
      </c>
      <c r="E15" s="24">
        <f t="shared" si="0"/>
        <v>17350831.536962751</v>
      </c>
      <c r="F15" s="24">
        <v>1.404E-2</v>
      </c>
      <c r="G15" s="24">
        <f t="shared" si="1"/>
        <v>0.21214000000000002</v>
      </c>
      <c r="H15" s="24">
        <f t="shared" si="2"/>
        <v>158677641.83165154</v>
      </c>
      <c r="I15" s="26">
        <f t="shared" si="3"/>
        <v>747985489.92010713</v>
      </c>
      <c r="J15" s="26">
        <f t="shared" si="4"/>
        <v>262165626.94097427</v>
      </c>
      <c r="K15" s="26">
        <f t="shared" si="5"/>
        <v>103487985.10932273</v>
      </c>
      <c r="L15" s="26">
        <f t="shared" si="6"/>
        <v>65.219008749271637</v>
      </c>
      <c r="M15" s="26">
        <v>303724.92836676218</v>
      </c>
    </row>
    <row r="16" spans="2:13" ht="15.6" x14ac:dyDescent="0.3">
      <c r="B16" s="23" t="s">
        <v>164</v>
      </c>
      <c r="C16" s="29">
        <v>11</v>
      </c>
      <c r="D16" s="24">
        <f>2420.45*Table118[[#This Row],[dolar]]</f>
        <v>699570561.25</v>
      </c>
      <c r="E16" s="24">
        <f t="shared" si="0"/>
        <v>13372487.857621463</v>
      </c>
      <c r="F16" s="24">
        <v>1.9115281000000001E-2</v>
      </c>
      <c r="G16" s="24">
        <f>G15+F16</f>
        <v>0.23125528100000003</v>
      </c>
      <c r="H16" s="24">
        <f t="shared" si="2"/>
        <v>172050129.689273</v>
      </c>
      <c r="I16" s="29">
        <f t="shared" si="3"/>
        <v>743983570.64664388</v>
      </c>
      <c r="J16" s="29">
        <f t="shared" si="4"/>
        <v>161779386.72119647</v>
      </c>
      <c r="K16" s="29">
        <f t="shared" si="5"/>
        <v>-10270742.968076527</v>
      </c>
      <c r="L16" s="29">
        <f t="shared" si="6"/>
        <v>-5.9696223342730139</v>
      </c>
      <c r="M16" s="26">
        <v>289025</v>
      </c>
    </row>
    <row r="17" spans="2:13" ht="15.6" x14ac:dyDescent="0.3">
      <c r="B17" s="23" t="s">
        <v>165</v>
      </c>
      <c r="C17" s="26">
        <v>12</v>
      </c>
      <c r="D17" s="24">
        <f>2760.4*Table118[[#This Row],[dolar]]</f>
        <v>728551267.83999991</v>
      </c>
      <c r="E17" s="24">
        <f t="shared" si="0"/>
        <v>13675405.626424</v>
      </c>
      <c r="F17" s="24">
        <v>1.8770683999999999E-2</v>
      </c>
      <c r="G17" s="24">
        <f>G16+F17</f>
        <v>0.25002596500000002</v>
      </c>
      <c r="H17" s="24">
        <f t="shared" si="2"/>
        <v>185725535.31569701</v>
      </c>
      <c r="I17" s="26">
        <f t="shared" si="3"/>
        <v>742824991.45917511</v>
      </c>
      <c r="J17" s="26">
        <f t="shared" si="4"/>
        <v>182156733.79366946</v>
      </c>
      <c r="K17" s="26">
        <f t="shared" si="5"/>
        <v>-3568801.5220275521</v>
      </c>
      <c r="L17" s="26">
        <f t="shared" si="6"/>
        <v>-1.9215459607970917</v>
      </c>
      <c r="M17" s="24">
        <v>263929.59999999998</v>
      </c>
    </row>
    <row r="18" spans="2:13" ht="15.6" x14ac:dyDescent="0.3">
      <c r="C18" s="26">
        <v>13</v>
      </c>
      <c r="D18" s="24">
        <v>0</v>
      </c>
      <c r="E18" s="24">
        <v>0</v>
      </c>
      <c r="F18" s="24" t="e">
        <f>E18/D18</f>
        <v>#DIV/0!</v>
      </c>
      <c r="G18" s="24" t="e">
        <f t="shared" si="1"/>
        <v>#DIV/0!</v>
      </c>
      <c r="H18" s="24">
        <f t="shared" si="2"/>
        <v>185725535.31569701</v>
      </c>
      <c r="I18" s="26" t="e">
        <f t="shared" si="3"/>
        <v>#DIV/0!</v>
      </c>
      <c r="J18" s="26" t="e">
        <f t="shared" si="4"/>
        <v>#DIV/0!</v>
      </c>
      <c r="K18" s="26" t="e">
        <f t="shared" si="5"/>
        <v>#DIV/0!</v>
      </c>
      <c r="L18" s="26" t="e">
        <f t="shared" si="6"/>
        <v>#DIV/0!</v>
      </c>
      <c r="M18" s="26"/>
    </row>
    <row r="19" spans="2:13" ht="15.6" x14ac:dyDescent="0.3">
      <c r="C19" s="26">
        <v>14</v>
      </c>
      <c r="D19" s="24">
        <v>0</v>
      </c>
      <c r="E19" s="24">
        <v>0</v>
      </c>
      <c r="F19" s="24" t="e">
        <f>E19/D19</f>
        <v>#DIV/0!</v>
      </c>
      <c r="G19" s="24" t="e">
        <f t="shared" si="1"/>
        <v>#DIV/0!</v>
      </c>
      <c r="H19" s="24">
        <f t="shared" si="2"/>
        <v>185725535.31569701</v>
      </c>
      <c r="I19" s="26" t="e">
        <f t="shared" si="3"/>
        <v>#DIV/0!</v>
      </c>
      <c r="J19" s="26" t="e">
        <f t="shared" si="4"/>
        <v>#DIV/0!</v>
      </c>
      <c r="K19" s="26" t="e">
        <f t="shared" si="5"/>
        <v>#DIV/0!</v>
      </c>
      <c r="L19" s="26" t="e">
        <f t="shared" si="6"/>
        <v>#DIV/0!</v>
      </c>
      <c r="M19" s="26"/>
    </row>
    <row r="22" spans="2:13" x14ac:dyDescent="0.3">
      <c r="F22">
        <f>SUM(F6:F17)</f>
        <v>0.25002596500000002</v>
      </c>
    </row>
    <row r="24" spans="2:13" x14ac:dyDescent="0.3">
      <c r="G24" s="34"/>
    </row>
    <row r="25" spans="2:13" x14ac:dyDescent="0.3">
      <c r="F25">
        <v>1.9115280500000002E-2</v>
      </c>
    </row>
    <row r="26" spans="2:13" ht="15.6" x14ac:dyDescent="0.3">
      <c r="F26" s="31">
        <v>1.8770684210526301E-2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opLeftCell="A4" workbookViewId="0">
      <selection activeCell="F22" sqref="F22"/>
    </sheetView>
  </sheetViews>
  <sheetFormatPr defaultRowHeight="14.4" x14ac:dyDescent="0.3"/>
  <cols>
    <col min="2" max="2" width="14.6640625" bestFit="1" customWidth="1"/>
    <col min="4" max="5" width="13.109375" customWidth="1"/>
    <col min="6" max="6" width="12" customWidth="1"/>
    <col min="7" max="7" width="18.77734375" customWidth="1"/>
    <col min="8" max="8" width="19.88671875" customWidth="1"/>
    <col min="9" max="9" width="11.33203125" customWidth="1"/>
    <col min="10" max="10" width="19.21875" customWidth="1"/>
    <col min="11" max="11" width="14.77734375" customWidth="1"/>
    <col min="12" max="12" width="21.5546875" customWidth="1"/>
  </cols>
  <sheetData>
    <row r="2" spans="2:12" ht="31.2" x14ac:dyDescent="0.6">
      <c r="G2" s="18"/>
    </row>
    <row r="4" spans="2:12" ht="15.6" x14ac:dyDescent="0.3">
      <c r="B4" s="19" t="s">
        <v>136</v>
      </c>
      <c r="C4" s="19" t="s">
        <v>137</v>
      </c>
      <c r="D4" s="19" t="s">
        <v>138</v>
      </c>
      <c r="E4" s="19" t="s">
        <v>139</v>
      </c>
      <c r="F4" s="19" t="s">
        <v>140</v>
      </c>
      <c r="G4" s="19" t="s">
        <v>141</v>
      </c>
      <c r="H4" s="19" t="s">
        <v>122</v>
      </c>
      <c r="I4" s="19" t="s">
        <v>142</v>
      </c>
      <c r="J4" s="19" t="s">
        <v>143</v>
      </c>
      <c r="K4" s="19" t="s">
        <v>123</v>
      </c>
      <c r="L4" s="19" t="s">
        <v>144</v>
      </c>
    </row>
    <row r="5" spans="2:12" ht="16.2" thickBot="1" x14ac:dyDescent="0.35">
      <c r="B5" s="20" t="s">
        <v>146</v>
      </c>
      <c r="C5" s="21" t="s">
        <v>147</v>
      </c>
      <c r="D5" s="21" t="s">
        <v>148</v>
      </c>
      <c r="E5" s="21" t="s">
        <v>149</v>
      </c>
      <c r="F5" s="21" t="s">
        <v>150</v>
      </c>
      <c r="G5" s="21" t="s">
        <v>151</v>
      </c>
      <c r="H5" s="21" t="s">
        <v>152</v>
      </c>
      <c r="I5" s="21" t="s">
        <v>153</v>
      </c>
      <c r="J5" s="21" t="s">
        <v>154</v>
      </c>
      <c r="K5" s="21" t="s">
        <v>155</v>
      </c>
      <c r="L5" s="21" t="s">
        <v>156</v>
      </c>
    </row>
    <row r="6" spans="2:12" ht="15.6" x14ac:dyDescent="0.3">
      <c r="B6" s="23">
        <v>44254.975983796299</v>
      </c>
      <c r="C6" s="24">
        <v>1</v>
      </c>
      <c r="D6" s="24" t="s">
        <v>158</v>
      </c>
      <c r="E6" s="24">
        <f t="shared" ref="E6:E17" si="0">D6*F6</f>
        <v>9330184.1004000008</v>
      </c>
      <c r="F6" s="24">
        <v>34.481400000000001</v>
      </c>
      <c r="G6" s="24">
        <v>34.481400000000001</v>
      </c>
      <c r="H6" s="24">
        <v>9330184.1004000008</v>
      </c>
      <c r="I6" s="24">
        <f>H6/G6</f>
        <v>270586</v>
      </c>
      <c r="J6" s="24">
        <f t="shared" ref="J6:J12" si="1">G6*D6</f>
        <v>9330184.1004000008</v>
      </c>
      <c r="K6" s="24">
        <f>J6-H6</f>
        <v>0</v>
      </c>
      <c r="L6" s="24">
        <f>100*(J6-H6)/H6</f>
        <v>0</v>
      </c>
    </row>
    <row r="7" spans="2:12" ht="15.6" x14ac:dyDescent="0.3">
      <c r="B7" s="23">
        <v>44261.863576388889</v>
      </c>
      <c r="C7" s="24">
        <v>2</v>
      </c>
      <c r="D7" s="26">
        <v>248831</v>
      </c>
      <c r="E7" s="24">
        <f t="shared" si="0"/>
        <v>18522979.640000001</v>
      </c>
      <c r="F7" s="24">
        <v>74.44</v>
      </c>
      <c r="G7" s="24">
        <f t="shared" ref="G7:G19" si="2">G6+F7</f>
        <v>108.92140000000001</v>
      </c>
      <c r="H7" s="24">
        <f t="shared" ref="H7:H19" si="3">H6+E7</f>
        <v>27853163.740400001</v>
      </c>
      <c r="I7" s="24">
        <f t="shared" ref="I7:I19" si="4">H7/G7</f>
        <v>255718.01078943163</v>
      </c>
      <c r="J7" s="24">
        <f t="shared" si="1"/>
        <v>27103020.883400001</v>
      </c>
      <c r="K7" s="24">
        <f t="shared" ref="K7:K19" si="5">J7-H7</f>
        <v>-750142.85700000077</v>
      </c>
      <c r="L7" s="24">
        <f t="shared" ref="L7:L19" si="6">100*(J7-H7)/H7</f>
        <v>-2.6932052099774428</v>
      </c>
    </row>
    <row r="8" spans="2:12" ht="15.6" x14ac:dyDescent="0.3">
      <c r="B8" s="27">
        <v>44342</v>
      </c>
      <c r="C8" s="26">
        <v>3</v>
      </c>
      <c r="D8" s="26">
        <f>(57000000+5700)/234.2</f>
        <v>243406.06319385141</v>
      </c>
      <c r="E8" s="24">
        <f t="shared" si="0"/>
        <v>14239254.696840307</v>
      </c>
      <c r="F8" s="26">
        <v>58.5</v>
      </c>
      <c r="G8" s="24">
        <f t="shared" si="2"/>
        <v>167.42140000000001</v>
      </c>
      <c r="H8" s="24">
        <f t="shared" si="3"/>
        <v>42092418.43724031</v>
      </c>
      <c r="I8" s="26">
        <f t="shared" si="4"/>
        <v>251415.99841621387</v>
      </c>
      <c r="J8" s="26">
        <f t="shared" si="1"/>
        <v>40751383.868403077</v>
      </c>
      <c r="K8" s="26">
        <f t="shared" si="5"/>
        <v>-1341034.5688372329</v>
      </c>
      <c r="L8" s="26">
        <f t="shared" si="6"/>
        <v>-3.1859290072313429</v>
      </c>
    </row>
    <row r="9" spans="2:12" ht="15.6" x14ac:dyDescent="0.3">
      <c r="B9" s="28">
        <v>44373.427210648151</v>
      </c>
      <c r="C9" s="26">
        <v>4</v>
      </c>
      <c r="D9" s="24">
        <f>55000000/221.2</f>
        <v>248643.76130198917</v>
      </c>
      <c r="E9" s="24">
        <f t="shared" si="0"/>
        <v>13750000</v>
      </c>
      <c r="F9" s="26">
        <v>55.3</v>
      </c>
      <c r="G9" s="24">
        <f t="shared" si="2"/>
        <v>222.72140000000002</v>
      </c>
      <c r="H9" s="24">
        <f t="shared" si="3"/>
        <v>55842418.43724031</v>
      </c>
      <c r="I9" s="26">
        <f t="shared" si="4"/>
        <v>250727.67339483456</v>
      </c>
      <c r="J9" s="26">
        <f t="shared" si="1"/>
        <v>55378286.618444853</v>
      </c>
      <c r="K9" s="26">
        <f t="shared" si="5"/>
        <v>-464131.81879545748</v>
      </c>
      <c r="L9" s="26">
        <f t="shared" si="6"/>
        <v>-0.83114562689845162</v>
      </c>
    </row>
    <row r="10" spans="2:12" ht="15.6" x14ac:dyDescent="0.3">
      <c r="B10" s="23">
        <v>44404.632384259261</v>
      </c>
      <c r="C10" s="26">
        <v>5</v>
      </c>
      <c r="D10" s="24">
        <v>252219</v>
      </c>
      <c r="E10" s="24">
        <f t="shared" si="0"/>
        <v>12989278.5</v>
      </c>
      <c r="F10" s="26">
        <v>51.5</v>
      </c>
      <c r="G10" s="24">
        <f t="shared" si="2"/>
        <v>274.22140000000002</v>
      </c>
      <c r="H10" s="24">
        <f t="shared" si="3"/>
        <v>68831696.937240303</v>
      </c>
      <c r="I10" s="26">
        <f t="shared" si="4"/>
        <v>251007.75117201026</v>
      </c>
      <c r="J10" s="26">
        <f t="shared" si="1"/>
        <v>69163847.286600009</v>
      </c>
      <c r="K10" s="26">
        <f t="shared" si="5"/>
        <v>332150.34935970604</v>
      </c>
      <c r="L10" s="26">
        <f t="shared" si="6"/>
        <v>0.48255435233938182</v>
      </c>
    </row>
    <row r="11" spans="2:12" ht="15.6" x14ac:dyDescent="0.3">
      <c r="B11" t="s">
        <v>159</v>
      </c>
      <c r="C11" s="26">
        <v>6</v>
      </c>
      <c r="D11" s="24">
        <v>284400</v>
      </c>
      <c r="E11" s="24">
        <f t="shared" si="0"/>
        <v>19353420</v>
      </c>
      <c r="F11" s="26">
        <v>68.05</v>
      </c>
      <c r="G11" s="24">
        <f t="shared" si="2"/>
        <v>342.27140000000003</v>
      </c>
      <c r="H11" s="24">
        <f t="shared" si="3"/>
        <v>88185116.937240303</v>
      </c>
      <c r="I11" s="26">
        <f t="shared" si="4"/>
        <v>257646.75908428311</v>
      </c>
      <c r="J11" s="26">
        <f t="shared" si="1"/>
        <v>97341986.160000011</v>
      </c>
      <c r="K11" s="26">
        <f t="shared" si="5"/>
        <v>9156869.2227597088</v>
      </c>
      <c r="L11" s="26">
        <f t="shared" si="6"/>
        <v>10.383690061075137</v>
      </c>
    </row>
    <row r="12" spans="2:12" ht="15.6" x14ac:dyDescent="0.3">
      <c r="B12" s="23" t="s">
        <v>160</v>
      </c>
      <c r="C12" s="26">
        <v>7</v>
      </c>
      <c r="D12" s="33">
        <v>289025</v>
      </c>
      <c r="E12" s="24">
        <f t="shared" si="0"/>
        <v>18064062.5</v>
      </c>
      <c r="F12" s="26">
        <v>62.5</v>
      </c>
      <c r="G12" s="24">
        <f t="shared" si="2"/>
        <v>404.77140000000003</v>
      </c>
      <c r="H12" s="24">
        <f t="shared" si="3"/>
        <v>106249179.4372403</v>
      </c>
      <c r="I12" s="26">
        <f t="shared" si="4"/>
        <v>262491.81497813406</v>
      </c>
      <c r="J12" s="26">
        <f t="shared" si="1"/>
        <v>116989053.88500001</v>
      </c>
      <c r="K12" s="26">
        <f t="shared" si="5"/>
        <v>10739874.447759703</v>
      </c>
      <c r="L12" s="26">
        <f t="shared" si="6"/>
        <v>10.108195192324827</v>
      </c>
    </row>
    <row r="13" spans="2:12" ht="15.6" x14ac:dyDescent="0.3">
      <c r="B13" s="23" t="s">
        <v>161</v>
      </c>
      <c r="C13" s="26">
        <v>8</v>
      </c>
      <c r="D13" s="24">
        <v>283518.81293057767</v>
      </c>
      <c r="E13" s="24">
        <f t="shared" si="0"/>
        <v>18286963.434022259</v>
      </c>
      <c r="F13" s="26">
        <v>64.5</v>
      </c>
      <c r="G13" s="24">
        <f t="shared" si="2"/>
        <v>469.27140000000003</v>
      </c>
      <c r="H13" s="24">
        <f t="shared" si="3"/>
        <v>124536142.87126257</v>
      </c>
      <c r="I13" s="26">
        <f t="shared" si="4"/>
        <v>265381.9151801336</v>
      </c>
      <c r="J13" s="26">
        <f>G13*D13</f>
        <v>133047270.27027029</v>
      </c>
      <c r="K13" s="26">
        <f t="shared" si="5"/>
        <v>8511127.3990077227</v>
      </c>
      <c r="L13" s="26">
        <f t="shared" si="6"/>
        <v>6.8342628917020321</v>
      </c>
    </row>
    <row r="14" spans="2:12" ht="15.6" x14ac:dyDescent="0.3">
      <c r="B14" s="23" t="s">
        <v>162</v>
      </c>
      <c r="C14" s="26">
        <v>9</v>
      </c>
      <c r="D14" s="24">
        <f>55000000/182.03</f>
        <v>302147.99758281599</v>
      </c>
      <c r="E14" s="24">
        <f t="shared" si="0"/>
        <v>18147008.734823931</v>
      </c>
      <c r="F14" s="26">
        <v>60.06</v>
      </c>
      <c r="G14" s="24">
        <f t="shared" si="2"/>
        <v>529.33140000000003</v>
      </c>
      <c r="H14" s="24">
        <f t="shared" si="3"/>
        <v>142683151.60608649</v>
      </c>
      <c r="I14" s="26">
        <f t="shared" si="4"/>
        <v>269553.53792744299</v>
      </c>
      <c r="J14" s="26">
        <f t="shared" ref="J14:J19" si="7">G14*D14</f>
        <v>159936422.56770861</v>
      </c>
      <c r="K14" s="26">
        <f t="shared" si="5"/>
        <v>17253270.961622119</v>
      </c>
      <c r="L14" s="26">
        <f t="shared" si="6"/>
        <v>12.092017009306192</v>
      </c>
    </row>
    <row r="15" spans="2:12" ht="15.6" x14ac:dyDescent="0.3">
      <c r="B15" s="23" t="s">
        <v>163</v>
      </c>
      <c r="C15" s="26">
        <v>10</v>
      </c>
      <c r="D15" s="24">
        <f>53000000/174.5</f>
        <v>303724.92836676218</v>
      </c>
      <c r="E15" s="24">
        <f t="shared" si="0"/>
        <v>17790383.954154726</v>
      </c>
      <c r="F15" s="26">
        <f>(174.5-57.126-58.8)</f>
        <v>58.573999999999998</v>
      </c>
      <c r="G15" s="24">
        <f t="shared" si="2"/>
        <v>587.90539999999999</v>
      </c>
      <c r="H15" s="24">
        <f t="shared" si="3"/>
        <v>160473535.56024122</v>
      </c>
      <c r="I15" s="26">
        <f t="shared" si="4"/>
        <v>272958.09080889751</v>
      </c>
      <c r="J15" s="26">
        <f t="shared" si="7"/>
        <v>178561525.50143266</v>
      </c>
      <c r="K15" s="26">
        <f t="shared" si="5"/>
        <v>18087989.941191435</v>
      </c>
      <c r="L15" s="26">
        <f t="shared" si="6"/>
        <v>11.271634215600157</v>
      </c>
    </row>
    <row r="16" spans="2:12" ht="15.6" x14ac:dyDescent="0.3">
      <c r="B16" s="23" t="s">
        <v>164</v>
      </c>
      <c r="C16" s="29">
        <v>11</v>
      </c>
      <c r="D16" s="26">
        <v>289025</v>
      </c>
      <c r="E16" s="24">
        <f t="shared" si="0"/>
        <v>13381857.5</v>
      </c>
      <c r="F16" s="29">
        <v>46.3</v>
      </c>
      <c r="G16" s="24">
        <f t="shared" si="2"/>
        <v>634.20539999999994</v>
      </c>
      <c r="H16" s="24">
        <f t="shared" si="3"/>
        <v>173855393.06024122</v>
      </c>
      <c r="I16" s="29">
        <f t="shared" si="4"/>
        <v>274131.05132854631</v>
      </c>
      <c r="J16" s="29">
        <f t="shared" si="7"/>
        <v>183301215.73499998</v>
      </c>
      <c r="K16" s="29">
        <f t="shared" si="5"/>
        <v>9445822.6747587621</v>
      </c>
      <c r="L16" s="29">
        <f t="shared" si="6"/>
        <v>5.4331490720484963</v>
      </c>
    </row>
    <row r="17" spans="2:12" ht="15.6" x14ac:dyDescent="0.3">
      <c r="B17" s="23" t="s">
        <v>165</v>
      </c>
      <c r="C17" s="26">
        <v>12</v>
      </c>
      <c r="D17" s="24">
        <v>263929.59999999998</v>
      </c>
      <c r="E17" s="24">
        <f t="shared" si="0"/>
        <v>13740834.799999999</v>
      </c>
      <c r="F17" s="26">
        <v>52.0625</v>
      </c>
      <c r="G17" s="24">
        <f t="shared" si="2"/>
        <v>686.26789999999994</v>
      </c>
      <c r="H17" s="24">
        <f t="shared" si="3"/>
        <v>187596227.86024123</v>
      </c>
      <c r="I17" s="26">
        <f t="shared" si="4"/>
        <v>273357.13627322688</v>
      </c>
      <c r="J17" s="26">
        <f t="shared" si="7"/>
        <v>181126412.33983997</v>
      </c>
      <c r="K17" s="26">
        <f t="shared" si="5"/>
        <v>-6469815.5204012692</v>
      </c>
      <c r="L17" s="26">
        <f t="shared" si="6"/>
        <v>-3.4487983016488299</v>
      </c>
    </row>
    <row r="18" spans="2:12" ht="15.6" x14ac:dyDescent="0.3">
      <c r="C18" s="26">
        <v>13</v>
      </c>
      <c r="D18" s="24">
        <v>0</v>
      </c>
      <c r="E18" s="24">
        <v>0</v>
      </c>
      <c r="F18" s="26" t="e">
        <f>E18/D18</f>
        <v>#DIV/0!</v>
      </c>
      <c r="G18" s="24" t="e">
        <f t="shared" si="2"/>
        <v>#DIV/0!</v>
      </c>
      <c r="H18" s="24">
        <f t="shared" si="3"/>
        <v>187596227.86024123</v>
      </c>
      <c r="I18" s="26" t="e">
        <f t="shared" si="4"/>
        <v>#DIV/0!</v>
      </c>
      <c r="J18" s="26" t="e">
        <f t="shared" si="7"/>
        <v>#DIV/0!</v>
      </c>
      <c r="K18" s="26" t="e">
        <f t="shared" si="5"/>
        <v>#DIV/0!</v>
      </c>
      <c r="L18" s="26" t="e">
        <f t="shared" si="6"/>
        <v>#DIV/0!</v>
      </c>
    </row>
    <row r="19" spans="2:12" ht="15.6" x14ac:dyDescent="0.3">
      <c r="C19" s="26">
        <v>14</v>
      </c>
      <c r="D19" s="24">
        <v>0</v>
      </c>
      <c r="E19" s="24">
        <v>0</v>
      </c>
      <c r="F19" s="26" t="e">
        <f>E19/D19</f>
        <v>#DIV/0!</v>
      </c>
      <c r="G19" s="24" t="e">
        <f t="shared" si="2"/>
        <v>#DIV/0!</v>
      </c>
      <c r="H19" s="24">
        <f t="shared" si="3"/>
        <v>187596227.86024123</v>
      </c>
      <c r="I19" s="26" t="e">
        <f t="shared" si="4"/>
        <v>#DIV/0!</v>
      </c>
      <c r="J19" s="26" t="e">
        <f t="shared" si="7"/>
        <v>#DIV/0!</v>
      </c>
      <c r="K19" s="26" t="e">
        <f t="shared" si="5"/>
        <v>#DIV/0!</v>
      </c>
      <c r="L19" s="26" t="e">
        <f t="shared" si="6"/>
        <v>#DIV/0!</v>
      </c>
    </row>
    <row r="22" spans="2:12" x14ac:dyDescent="0.3">
      <c r="F22">
        <f>SUM(F6:F17)</f>
        <v>686.26789999999994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B4" workbookViewId="0">
      <selection activeCell="F23" sqref="F23"/>
    </sheetView>
  </sheetViews>
  <sheetFormatPr defaultRowHeight="14.4" x14ac:dyDescent="0.3"/>
  <cols>
    <col min="2" max="2" width="14.6640625" bestFit="1" customWidth="1"/>
    <col min="4" max="4" width="13.109375" customWidth="1"/>
    <col min="5" max="5" width="25" customWidth="1"/>
    <col min="6" max="6" width="16.33203125" customWidth="1"/>
    <col min="7" max="7" width="18.21875" customWidth="1"/>
    <col min="8" max="8" width="17.6640625" customWidth="1"/>
    <col min="9" max="9" width="29.88671875" customWidth="1"/>
    <col min="10" max="10" width="16.33203125" customWidth="1"/>
    <col min="11" max="11" width="11.77734375" customWidth="1"/>
    <col min="12" max="12" width="16.21875" customWidth="1"/>
    <col min="13" max="13" width="11.21875" customWidth="1"/>
  </cols>
  <sheetData>
    <row r="2" spans="2:13" ht="31.2" x14ac:dyDescent="0.6">
      <c r="G2" s="18"/>
    </row>
    <row r="4" spans="2:13" ht="15.6" x14ac:dyDescent="0.3">
      <c r="B4" s="19" t="s">
        <v>136</v>
      </c>
      <c r="C4" s="19" t="s">
        <v>137</v>
      </c>
      <c r="D4" s="19" t="s">
        <v>138</v>
      </c>
      <c r="E4" s="19" t="s">
        <v>139</v>
      </c>
      <c r="F4" s="19" t="s">
        <v>140</v>
      </c>
      <c r="G4" s="19" t="s">
        <v>141</v>
      </c>
      <c r="H4" s="19" t="s">
        <v>167</v>
      </c>
      <c r="I4" s="19" t="s">
        <v>142</v>
      </c>
      <c r="J4" s="19" t="s">
        <v>143</v>
      </c>
      <c r="K4" s="19" t="s">
        <v>123</v>
      </c>
      <c r="L4" s="19" t="s">
        <v>144</v>
      </c>
      <c r="M4" s="19" t="s">
        <v>145</v>
      </c>
    </row>
    <row r="5" spans="2:13" ht="16.2" thickBot="1" x14ac:dyDescent="0.35">
      <c r="B5" s="20" t="s">
        <v>146</v>
      </c>
      <c r="C5" s="21" t="s">
        <v>147</v>
      </c>
      <c r="D5" s="21" t="s">
        <v>148</v>
      </c>
      <c r="E5" s="21" t="s">
        <v>149</v>
      </c>
      <c r="F5" s="21" t="s">
        <v>150</v>
      </c>
      <c r="G5" s="21" t="s">
        <v>151</v>
      </c>
      <c r="H5" s="21" t="s">
        <v>152</v>
      </c>
      <c r="I5" s="21" t="s">
        <v>153</v>
      </c>
      <c r="J5" s="21" t="s">
        <v>154</v>
      </c>
      <c r="K5" s="21" t="s">
        <v>155</v>
      </c>
      <c r="L5" s="21" t="s">
        <v>156</v>
      </c>
      <c r="M5" s="22" t="s">
        <v>166</v>
      </c>
    </row>
    <row r="6" spans="2:13" ht="16.2" thickBot="1" x14ac:dyDescent="0.35">
      <c r="B6" s="23">
        <v>44254.975983796299</v>
      </c>
      <c r="C6" s="24">
        <v>1</v>
      </c>
      <c r="D6" s="24">
        <f>1720.83*Table116[[#This Row],[dolar]]</f>
        <v>465632506.38</v>
      </c>
      <c r="E6" s="24">
        <f>D6*F6</f>
        <v>9226508.1139196996</v>
      </c>
      <c r="F6" s="24">
        <v>1.9814999999999999E-2</v>
      </c>
      <c r="G6" s="24">
        <f>Table116[[#This Row],[Shares  bought]]</f>
        <v>1.9814999999999999E-2</v>
      </c>
      <c r="H6" s="24">
        <v>9226508.1139196996</v>
      </c>
      <c r="I6" s="24">
        <f>H6/G6</f>
        <v>465632506.38</v>
      </c>
      <c r="J6" s="24">
        <f>G6*D6</f>
        <v>9226508.1139196996</v>
      </c>
      <c r="K6" s="24">
        <f>J6-H6</f>
        <v>0</v>
      </c>
      <c r="L6" s="24">
        <f>100*(J6-H6)/H6</f>
        <v>0</v>
      </c>
      <c r="M6" s="22" t="s">
        <v>158</v>
      </c>
    </row>
    <row r="7" spans="2:13" ht="15.6" x14ac:dyDescent="0.3">
      <c r="B7" s="23">
        <v>44261.863576388889</v>
      </c>
      <c r="C7" s="24">
        <v>2</v>
      </c>
      <c r="D7" s="24">
        <f>1795.89*Table116[[#This Row],[dolar]]</f>
        <v>446873104.59000003</v>
      </c>
      <c r="E7" s="24">
        <f>D7*F7</f>
        <v>18662314.593887582</v>
      </c>
      <c r="F7" s="24">
        <v>4.1762000000000001E-2</v>
      </c>
      <c r="G7" s="24">
        <f>G6+F7</f>
        <v>6.1577E-2</v>
      </c>
      <c r="H7" s="24">
        <f t="shared" ref="H7:H19" si="0">H6+E7</f>
        <v>27888822.70780728</v>
      </c>
      <c r="I7" s="24">
        <f t="shared" ref="I7:I19" si="1">H7/G7</f>
        <v>452909734.28077495</v>
      </c>
      <c r="J7" s="24">
        <f t="shared" ref="J7:J19" si="2">G7*D7</f>
        <v>27517105.161338434</v>
      </c>
      <c r="K7" s="24">
        <f t="shared" ref="K7:K19" si="3">J7-H7</f>
        <v>-371717.5464688465</v>
      </c>
      <c r="L7" s="24">
        <f t="shared" ref="L7:L19" si="4">100*(J7-H7)/H7</f>
        <v>-1.3328549231473539</v>
      </c>
      <c r="M7" s="26">
        <v>248831</v>
      </c>
    </row>
    <row r="8" spans="2:13" ht="15.6" x14ac:dyDescent="0.3">
      <c r="B8" s="27">
        <v>44342</v>
      </c>
      <c r="C8" s="26">
        <v>3</v>
      </c>
      <c r="D8" s="24">
        <f>1911.34*Table116[[#This Row],[dolar]]</f>
        <v>465231744.82493591</v>
      </c>
      <c r="E8" s="24">
        <f>D8*F8</f>
        <v>14234695.696408564</v>
      </c>
      <c r="F8" s="24">
        <v>3.0596999999999999E-2</v>
      </c>
      <c r="G8" s="24">
        <f t="shared" ref="G8:G19" si="5">G7+F8</f>
        <v>9.2174000000000006E-2</v>
      </c>
      <c r="H8" s="24">
        <f t="shared" si="0"/>
        <v>42123518.404215842</v>
      </c>
      <c r="I8" s="26">
        <f t="shared" si="1"/>
        <v>457000004.38535637</v>
      </c>
      <c r="J8" s="26">
        <f t="shared" si="2"/>
        <v>42882270.847493649</v>
      </c>
      <c r="K8" s="26">
        <f t="shared" si="3"/>
        <v>758752.44327780604</v>
      </c>
      <c r="L8" s="26">
        <f t="shared" si="4"/>
        <v>1.8012560964087652</v>
      </c>
      <c r="M8" s="26">
        <f>(57000000+5700)/234.2</f>
        <v>243406.06319385141</v>
      </c>
    </row>
    <row r="9" spans="2:13" ht="15.6" x14ac:dyDescent="0.3">
      <c r="B9" s="28">
        <v>44373.427210648151</v>
      </c>
      <c r="C9" s="26">
        <v>4</v>
      </c>
      <c r="D9" s="24">
        <f>1777.09*Table116[[#This Row],[dolar]]</f>
        <v>441862341.77215195</v>
      </c>
      <c r="E9" s="24">
        <f>D9*F9</f>
        <v>13750314.213607596</v>
      </c>
      <c r="F9" s="24">
        <v>3.1119000000000001E-2</v>
      </c>
      <c r="G9" s="24">
        <f t="shared" si="5"/>
        <v>0.12329300000000001</v>
      </c>
      <c r="H9" s="24">
        <f t="shared" si="0"/>
        <v>55873832.617823437</v>
      </c>
      <c r="I9" s="26">
        <f t="shared" si="1"/>
        <v>453179277.15136653</v>
      </c>
      <c r="J9" s="26">
        <f t="shared" si="2"/>
        <v>54478533.704113938</v>
      </c>
      <c r="K9" s="26">
        <f t="shared" si="3"/>
        <v>-1395298.9137094989</v>
      </c>
      <c r="L9" s="26">
        <f t="shared" si="4"/>
        <v>-2.4972314379314771</v>
      </c>
      <c r="M9" s="26">
        <v>248643.76130198917</v>
      </c>
    </row>
    <row r="10" spans="2:13" ht="15.6" x14ac:dyDescent="0.3">
      <c r="B10" s="23">
        <v>44404.632384259261</v>
      </c>
      <c r="C10" s="26">
        <v>5</v>
      </c>
      <c r="D10" s="24">
        <f>1807.57*Table116[[#This Row],[dolar]]</f>
        <v>455903497.82999998</v>
      </c>
      <c r="E10" s="24">
        <f>D10*F10</f>
        <v>12989146.556674529</v>
      </c>
      <c r="F10" s="24">
        <v>2.8490999999999999E-2</v>
      </c>
      <c r="G10" s="24">
        <f>G9+F10</f>
        <v>0.151784</v>
      </c>
      <c r="H10" s="24">
        <f t="shared" si="0"/>
        <v>68862979.174497962</v>
      </c>
      <c r="I10" s="26">
        <f t="shared" si="1"/>
        <v>453690633.89091051</v>
      </c>
      <c r="J10" s="26">
        <f t="shared" si="2"/>
        <v>69198856.514628723</v>
      </c>
      <c r="K10" s="26">
        <f t="shared" si="3"/>
        <v>335877.34013076127</v>
      </c>
      <c r="L10" s="26">
        <f t="shared" si="4"/>
        <v>0.48774732687595773</v>
      </c>
      <c r="M10" s="35">
        <v>252219</v>
      </c>
    </row>
    <row r="11" spans="2:13" ht="15.6" x14ac:dyDescent="0.3">
      <c r="B11" s="23"/>
      <c r="C11" s="26">
        <v>6</v>
      </c>
      <c r="D11" s="24">
        <v>0</v>
      </c>
      <c r="E11" s="24">
        <v>0</v>
      </c>
      <c r="F11" s="24">
        <v>0</v>
      </c>
      <c r="G11" s="24">
        <f t="shared" si="5"/>
        <v>0.151784</v>
      </c>
      <c r="H11" s="24">
        <f t="shared" si="0"/>
        <v>68862979.174497962</v>
      </c>
      <c r="I11" s="26">
        <f t="shared" si="1"/>
        <v>453690633.89091051</v>
      </c>
      <c r="J11" s="26">
        <f t="shared" si="2"/>
        <v>0</v>
      </c>
      <c r="K11" s="26">
        <f t="shared" si="3"/>
        <v>-68862979.174497962</v>
      </c>
      <c r="L11" s="26">
        <f t="shared" si="4"/>
        <v>-100</v>
      </c>
      <c r="M11" s="26"/>
    </row>
    <row r="12" spans="2:13" ht="15.6" x14ac:dyDescent="0.3">
      <c r="B12" s="23"/>
      <c r="C12" s="26">
        <v>7</v>
      </c>
      <c r="D12" s="24">
        <v>0</v>
      </c>
      <c r="E12" s="24">
        <v>0</v>
      </c>
      <c r="F12" s="24">
        <v>0</v>
      </c>
      <c r="G12" s="24">
        <f t="shared" si="5"/>
        <v>0.151784</v>
      </c>
      <c r="H12" s="24">
        <f t="shared" si="0"/>
        <v>68862979.174497962</v>
      </c>
      <c r="I12" s="26">
        <f t="shared" si="1"/>
        <v>453690633.89091051</v>
      </c>
      <c r="J12" s="26">
        <f t="shared" si="2"/>
        <v>0</v>
      </c>
      <c r="K12" s="26">
        <f t="shared" si="3"/>
        <v>-68862979.174497962</v>
      </c>
      <c r="L12" s="26">
        <f t="shared" si="4"/>
        <v>-100</v>
      </c>
      <c r="M12" s="26"/>
    </row>
    <row r="13" spans="2:13" ht="15.6" x14ac:dyDescent="0.3">
      <c r="B13" s="23"/>
      <c r="C13" s="26">
        <v>8</v>
      </c>
      <c r="D13" s="24">
        <v>0</v>
      </c>
      <c r="E13" s="24">
        <v>0</v>
      </c>
      <c r="F13" s="24">
        <v>0</v>
      </c>
      <c r="G13" s="24">
        <f t="shared" si="5"/>
        <v>0.151784</v>
      </c>
      <c r="H13" s="24">
        <f t="shared" si="0"/>
        <v>68862979.174497962</v>
      </c>
      <c r="I13" s="26">
        <f t="shared" si="1"/>
        <v>453690633.89091051</v>
      </c>
      <c r="J13" s="26">
        <f t="shared" si="2"/>
        <v>0</v>
      </c>
      <c r="K13" s="26">
        <f t="shared" si="3"/>
        <v>-68862979.174497962</v>
      </c>
      <c r="L13" s="26">
        <f t="shared" si="4"/>
        <v>-100</v>
      </c>
      <c r="M13" s="26"/>
    </row>
    <row r="14" spans="2:13" ht="15.6" x14ac:dyDescent="0.3">
      <c r="C14" s="26">
        <v>9</v>
      </c>
      <c r="D14" s="24">
        <v>0</v>
      </c>
      <c r="E14" s="24">
        <v>0</v>
      </c>
      <c r="F14" s="24">
        <v>0</v>
      </c>
      <c r="G14" s="24">
        <f t="shared" si="5"/>
        <v>0.151784</v>
      </c>
      <c r="H14" s="24">
        <f t="shared" si="0"/>
        <v>68862979.174497962</v>
      </c>
      <c r="I14" s="26">
        <f t="shared" si="1"/>
        <v>453690633.89091051</v>
      </c>
      <c r="J14" s="26">
        <f t="shared" si="2"/>
        <v>0</v>
      </c>
      <c r="K14" s="26">
        <f t="shared" si="3"/>
        <v>-68862979.174497962</v>
      </c>
      <c r="L14" s="26">
        <f t="shared" si="4"/>
        <v>-100</v>
      </c>
      <c r="M14" s="26"/>
    </row>
    <row r="15" spans="2:13" ht="15.6" x14ac:dyDescent="0.3">
      <c r="C15" s="26">
        <v>10</v>
      </c>
      <c r="D15" s="24">
        <v>0</v>
      </c>
      <c r="E15" s="24">
        <v>0</v>
      </c>
      <c r="F15" s="24">
        <v>0</v>
      </c>
      <c r="G15" s="24">
        <f t="shared" si="5"/>
        <v>0.151784</v>
      </c>
      <c r="H15" s="24">
        <f t="shared" si="0"/>
        <v>68862979.174497962</v>
      </c>
      <c r="I15" s="26">
        <f t="shared" si="1"/>
        <v>453690633.89091051</v>
      </c>
      <c r="J15" s="26">
        <f t="shared" si="2"/>
        <v>0</v>
      </c>
      <c r="K15" s="26">
        <f t="shared" si="3"/>
        <v>-68862979.174497962</v>
      </c>
      <c r="L15" s="26">
        <f t="shared" si="4"/>
        <v>-100</v>
      </c>
      <c r="M15" s="26"/>
    </row>
    <row r="16" spans="2:13" ht="15.6" x14ac:dyDescent="0.3">
      <c r="B16" s="23"/>
      <c r="C16" s="29">
        <v>11</v>
      </c>
      <c r="D16" s="24">
        <v>0</v>
      </c>
      <c r="E16" s="24">
        <v>0</v>
      </c>
      <c r="F16" s="24">
        <v>0</v>
      </c>
      <c r="G16" s="24">
        <f t="shared" si="5"/>
        <v>0.151784</v>
      </c>
      <c r="H16" s="24">
        <f t="shared" si="0"/>
        <v>68862979.174497962</v>
      </c>
      <c r="I16" s="29">
        <f t="shared" si="1"/>
        <v>453690633.89091051</v>
      </c>
      <c r="J16" s="29">
        <f t="shared" si="2"/>
        <v>0</v>
      </c>
      <c r="K16" s="29">
        <f t="shared" si="3"/>
        <v>-68862979.174497962</v>
      </c>
      <c r="L16" s="29">
        <f t="shared" si="4"/>
        <v>-100</v>
      </c>
      <c r="M16" s="26"/>
    </row>
    <row r="17" spans="3:13" ht="15.6" x14ac:dyDescent="0.3">
      <c r="C17" s="26">
        <v>12</v>
      </c>
      <c r="D17" s="24">
        <v>0</v>
      </c>
      <c r="E17" s="24">
        <v>0</v>
      </c>
      <c r="F17" s="24">
        <v>0</v>
      </c>
      <c r="G17" s="24">
        <f t="shared" si="5"/>
        <v>0.151784</v>
      </c>
      <c r="H17" s="24">
        <f t="shared" si="0"/>
        <v>68862979.174497962</v>
      </c>
      <c r="I17" s="26">
        <f t="shared" si="1"/>
        <v>453690633.89091051</v>
      </c>
      <c r="J17" s="26">
        <f t="shared" si="2"/>
        <v>0</v>
      </c>
      <c r="K17" s="26">
        <f t="shared" si="3"/>
        <v>-68862979.174497962</v>
      </c>
      <c r="L17" s="26">
        <f t="shared" si="4"/>
        <v>-100</v>
      </c>
      <c r="M17" s="26"/>
    </row>
    <row r="18" spans="3:13" ht="15.6" x14ac:dyDescent="0.3">
      <c r="C18" s="26">
        <v>13</v>
      </c>
      <c r="D18" s="24">
        <v>0</v>
      </c>
      <c r="E18" s="24">
        <v>0</v>
      </c>
      <c r="F18" s="24">
        <v>0</v>
      </c>
      <c r="G18" s="24">
        <f t="shared" si="5"/>
        <v>0.151784</v>
      </c>
      <c r="H18" s="24">
        <f t="shared" si="0"/>
        <v>68862979.174497962</v>
      </c>
      <c r="I18" s="26">
        <f t="shared" si="1"/>
        <v>453690633.89091051</v>
      </c>
      <c r="J18" s="26">
        <f t="shared" si="2"/>
        <v>0</v>
      </c>
      <c r="K18" s="26">
        <f t="shared" si="3"/>
        <v>-68862979.174497962</v>
      </c>
      <c r="L18" s="26">
        <f t="shared" si="4"/>
        <v>-100</v>
      </c>
      <c r="M18" s="26"/>
    </row>
    <row r="19" spans="3:13" ht="15.6" x14ac:dyDescent="0.3">
      <c r="C19" s="26">
        <v>14</v>
      </c>
      <c r="D19" s="24">
        <v>0</v>
      </c>
      <c r="E19" s="24">
        <v>0</v>
      </c>
      <c r="F19" s="24">
        <v>0</v>
      </c>
      <c r="G19" s="24">
        <f t="shared" si="5"/>
        <v>0.151784</v>
      </c>
      <c r="H19" s="24">
        <f t="shared" si="0"/>
        <v>68862979.174497962</v>
      </c>
      <c r="I19" s="26">
        <f t="shared" si="1"/>
        <v>453690633.89091051</v>
      </c>
      <c r="J19" s="26">
        <f t="shared" si="2"/>
        <v>0</v>
      </c>
      <c r="K19" s="26">
        <f t="shared" si="3"/>
        <v>-68862979.174497962</v>
      </c>
      <c r="L19" s="26">
        <f t="shared" si="4"/>
        <v>-100</v>
      </c>
      <c r="M19" s="26"/>
    </row>
    <row r="22" spans="3:13" x14ac:dyDescent="0.3">
      <c r="F22">
        <f>SUM(F6:F10)</f>
        <v>0.151784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3</vt:i4>
      </vt:variant>
    </vt:vector>
  </HeadingPairs>
  <TitlesOfParts>
    <vt:vector size="19" baseType="lpstr">
      <vt:lpstr>1400</vt:lpstr>
      <vt:lpstr>تنزیل</vt:lpstr>
      <vt:lpstr>ارزش </vt:lpstr>
      <vt:lpstr>شاخص میانگین خرید</vt:lpstr>
      <vt:lpstr>مجموع</vt:lpstr>
      <vt:lpstr>BTC</vt:lpstr>
      <vt:lpstr>ETH</vt:lpstr>
      <vt:lpstr>USDT</vt:lpstr>
      <vt:lpstr>AUD</vt:lpstr>
      <vt:lpstr>فروی</vt:lpstr>
      <vt:lpstr>آریا</vt:lpstr>
      <vt:lpstr>فملی</vt:lpstr>
      <vt:lpstr>شستا</vt:lpstr>
      <vt:lpstr>کچاد</vt:lpstr>
      <vt:lpstr>calulator</vt:lpstr>
      <vt:lpstr>نت صندوق</vt:lpstr>
      <vt:lpstr>Chart3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2022-09-13T16:49:47Z</dcterms:modified>
</cp:coreProperties>
</file>