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07\"/>
    </mc:Choice>
  </mc:AlternateContent>
  <bookViews>
    <workbookView xWindow="0" yWindow="0" windowWidth="19200" windowHeight="7308"/>
  </bookViews>
  <sheets>
    <sheet name="1401" sheetId="26" r:id="rId1"/>
    <sheet name="ارزش 1401" sheetId="30" r:id="rId2"/>
    <sheet name="تنزیل" sheetId="27" r:id="rId3"/>
    <sheet name="شاخص میانگین خرید" sheetId="22" r:id="rId4"/>
    <sheet name="مجموع" sheetId="8" r:id="rId5"/>
    <sheet name="BTC" sheetId="9" r:id="rId6"/>
    <sheet name="ETH" sheetId="10" r:id="rId7"/>
    <sheet name="USDT" sheetId="11" r:id="rId8"/>
    <sheet name="AUD" sheetId="12" r:id="rId9"/>
    <sheet name="فزر" sheetId="25" r:id="rId10"/>
    <sheet name="فروی" sheetId="13" r:id="rId11"/>
    <sheet name="آریا" sheetId="14" r:id="rId12"/>
    <sheet name="فملی" sheetId="15" r:id="rId13"/>
    <sheet name="شستا" sheetId="16" r:id="rId14"/>
    <sheet name="کچاد" sheetId="17" r:id="rId15"/>
    <sheet name="calulator" sheetId="18" r:id="rId16"/>
    <sheet name="نت صندوق" sheetId="28" r:id="rId17"/>
    <sheet name="Chart1" sheetId="29" r:id="rId18"/>
    <sheet name="Chart2" sheetId="23" r:id="rId19"/>
    <sheet name="Chart3" sheetId="24" r:id="rId20"/>
  </sheets>
  <externalReferences>
    <externalReference r:id="rId21"/>
    <externalReference r:id="rId22"/>
    <externalReference r:id="rId2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0" i="27" l="1"/>
  <c r="B125" i="27"/>
  <c r="B124" i="27"/>
  <c r="B123" i="27"/>
  <c r="B122" i="27"/>
  <c r="B121" i="27"/>
  <c r="B120" i="27"/>
  <c r="B119" i="27"/>
  <c r="B118" i="27"/>
  <c r="B117" i="27"/>
  <c r="B116" i="27"/>
  <c r="B115" i="27"/>
  <c r="A126" i="27"/>
  <c r="H126" i="27"/>
  <c r="O126" i="27"/>
  <c r="I6" i="18" l="1"/>
  <c r="I7" i="18"/>
  <c r="I8" i="18"/>
  <c r="I9" i="18"/>
  <c r="I10" i="18"/>
  <c r="I11" i="18"/>
  <c r="I12" i="18"/>
  <c r="I13" i="18"/>
  <c r="I14" i="18"/>
  <c r="I5" i="18"/>
  <c r="I15" i="18" s="1"/>
  <c r="H17" i="28"/>
  <c r="H16" i="28"/>
  <c r="I17" i="28"/>
  <c r="E24" i="10"/>
  <c r="D24" i="10"/>
  <c r="E24" i="9"/>
  <c r="D24" i="9"/>
  <c r="E24" i="11"/>
  <c r="E24" i="13"/>
  <c r="E24" i="14"/>
  <c r="E24" i="15"/>
  <c r="E24" i="16"/>
  <c r="E24" i="17"/>
  <c r="E23" i="17"/>
  <c r="H135" i="26"/>
  <c r="H127" i="26" l="1"/>
  <c r="C127" i="26"/>
  <c r="D127" i="26"/>
  <c r="E127" i="26"/>
  <c r="F127" i="26"/>
  <c r="G127" i="26"/>
  <c r="I127" i="26"/>
  <c r="J127" i="26"/>
  <c r="K127" i="26"/>
  <c r="L127" i="26"/>
  <c r="M127" i="26"/>
  <c r="N127" i="26"/>
  <c r="O127" i="26" l="1"/>
  <c r="S108" i="26"/>
  <c r="S109" i="26" s="1"/>
  <c r="S110" i="26" s="1"/>
  <c r="S111" i="26" s="1"/>
  <c r="S112" i="26" s="1"/>
  <c r="S113" i="26" s="1"/>
  <c r="S114" i="26" s="1"/>
  <c r="S115" i="26" s="1"/>
  <c r="S116" i="26" s="1"/>
  <c r="S117" i="26" s="1"/>
  <c r="S107" i="26"/>
  <c r="B115" i="26"/>
  <c r="B116" i="26"/>
  <c r="B117" i="26"/>
  <c r="B118" i="26"/>
  <c r="B119" i="26"/>
  <c r="B120" i="26"/>
  <c r="B121" i="26"/>
  <c r="B122" i="26"/>
  <c r="B123" i="26"/>
  <c r="B124" i="26"/>
  <c r="B125" i="26"/>
  <c r="B126" i="26"/>
  <c r="E6" i="8"/>
  <c r="O115" i="30" l="1"/>
  <c r="S50" i="30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S84" i="30" s="1"/>
  <c r="S85" i="30" s="1"/>
  <c r="S86" i="30" s="1"/>
  <c r="S87" i="30" s="1"/>
  <c r="S88" i="30" s="1"/>
  <c r="S89" i="30" s="1"/>
  <c r="S90" i="30" s="1"/>
  <c r="S91" i="30" s="1"/>
  <c r="S92" i="30" s="1"/>
  <c r="S93" i="30" s="1"/>
  <c r="S94" i="30" s="1"/>
  <c r="S95" i="30" s="1"/>
  <c r="S96" i="30" s="1"/>
  <c r="S97" i="30" s="1"/>
  <c r="S98" i="30" s="1"/>
  <c r="S99" i="30" s="1"/>
  <c r="S100" i="30" s="1"/>
  <c r="S101" i="30" s="1"/>
  <c r="S102" i="30" s="1"/>
  <c r="S103" i="30" s="1"/>
  <c r="S104" i="30" s="1"/>
  <c r="S105" i="30" s="1"/>
  <c r="S106" i="30" s="1"/>
  <c r="S107" i="30" s="1"/>
  <c r="S49" i="30"/>
  <c r="F22" i="28"/>
  <c r="E22" i="28"/>
  <c r="D22" i="28" s="1"/>
  <c r="F21" i="28"/>
  <c r="E21" i="28" s="1"/>
  <c r="D21" i="28" s="1"/>
  <c r="F20" i="28"/>
  <c r="E20" i="28"/>
  <c r="D20" i="28"/>
  <c r="H19" i="28"/>
  <c r="F19" i="28" s="1"/>
  <c r="E19" i="28" s="1"/>
  <c r="D19" i="28" s="1"/>
  <c r="F18" i="28"/>
  <c r="E18" i="28"/>
  <c r="D18" i="28"/>
  <c r="F17" i="28"/>
  <c r="E17" i="28" s="1"/>
  <c r="D17" i="28" s="1"/>
  <c r="I11" i="28"/>
  <c r="H11" i="28" s="1"/>
  <c r="F11" i="28" s="1"/>
  <c r="E11" i="28" s="1"/>
  <c r="D11" i="28" s="1"/>
  <c r="M52" i="27"/>
  <c r="S49" i="27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S76" i="27" s="1"/>
  <c r="S77" i="27" s="1"/>
  <c r="S78" i="27" s="1"/>
  <c r="S79" i="27" s="1"/>
  <c r="S80" i="27" s="1"/>
  <c r="S81" i="27" s="1"/>
  <c r="S82" i="27" s="1"/>
  <c r="S83" i="27" s="1"/>
  <c r="S84" i="27" s="1"/>
  <c r="S85" i="27" s="1"/>
  <c r="S86" i="27" s="1"/>
  <c r="S87" i="27" s="1"/>
  <c r="S88" i="27" s="1"/>
  <c r="S89" i="27" s="1"/>
  <c r="S90" i="27" s="1"/>
  <c r="S91" i="27" s="1"/>
  <c r="S92" i="27" s="1"/>
  <c r="S93" i="27" s="1"/>
  <c r="S94" i="27" s="1"/>
  <c r="S95" i="27" s="1"/>
  <c r="S96" i="27" s="1"/>
  <c r="S97" i="27" s="1"/>
  <c r="S98" i="27" s="1"/>
  <c r="S99" i="27" s="1"/>
  <c r="S100" i="27" s="1"/>
  <c r="S101" i="27" s="1"/>
  <c r="S102" i="27" s="1"/>
  <c r="S103" i="27" s="1"/>
  <c r="S104" i="27" s="1"/>
  <c r="S105" i="27" s="1"/>
  <c r="S106" i="27" s="1"/>
  <c r="S107" i="27" s="1"/>
  <c r="M29" i="27"/>
  <c r="M9" i="27"/>
  <c r="M8" i="27"/>
  <c r="M5" i="27"/>
  <c r="N2" i="27"/>
  <c r="N30" i="27" s="1"/>
  <c r="M2" i="27"/>
  <c r="L2" i="27"/>
  <c r="K2" i="27"/>
  <c r="J2" i="27"/>
  <c r="I2" i="27"/>
  <c r="H2" i="27"/>
  <c r="G2" i="27"/>
  <c r="F2" i="27"/>
  <c r="E2" i="27"/>
  <c r="D2" i="27"/>
  <c r="C2" i="27"/>
  <c r="M1" i="27"/>
  <c r="L1" i="27" s="1"/>
  <c r="M16" i="27" l="1"/>
  <c r="M17" i="27"/>
  <c r="M60" i="27"/>
  <c r="M21" i="27"/>
  <c r="M13" i="27"/>
  <c r="M28" i="27"/>
  <c r="I12" i="28"/>
  <c r="L34" i="27"/>
  <c r="L13" i="27"/>
  <c r="L10" i="27"/>
  <c r="K1" i="27"/>
  <c r="K31" i="27" s="1"/>
  <c r="L25" i="27"/>
  <c r="L18" i="27"/>
  <c r="L48" i="27"/>
  <c r="L33" i="27"/>
  <c r="L21" i="27"/>
  <c r="L5" i="27"/>
  <c r="L6" i="27"/>
  <c r="L22" i="27"/>
  <c r="L14" i="27"/>
  <c r="K11" i="27"/>
  <c r="N12" i="27"/>
  <c r="N24" i="27"/>
  <c r="L111" i="27"/>
  <c r="L114" i="27"/>
  <c r="L105" i="27"/>
  <c r="L101" i="27"/>
  <c r="L97" i="27"/>
  <c r="L93" i="27"/>
  <c r="L89" i="27"/>
  <c r="L85" i="27"/>
  <c r="L81" i="27"/>
  <c r="L77" i="27"/>
  <c r="L73" i="27"/>
  <c r="L69" i="27"/>
  <c r="L109" i="27"/>
  <c r="L112" i="27"/>
  <c r="L106" i="27"/>
  <c r="L102" i="27"/>
  <c r="L98" i="27"/>
  <c r="L94" i="27"/>
  <c r="L90" i="27"/>
  <c r="L86" i="27"/>
  <c r="L82" i="27"/>
  <c r="L78" i="27"/>
  <c r="L74" i="27"/>
  <c r="L70" i="27"/>
  <c r="L110" i="27"/>
  <c r="L107" i="27"/>
  <c r="L103" i="27"/>
  <c r="L99" i="27"/>
  <c r="L95" i="27"/>
  <c r="L91" i="27"/>
  <c r="L87" i="27"/>
  <c r="L83" i="27"/>
  <c r="L79" i="27"/>
  <c r="L75" i="27"/>
  <c r="L71" i="27"/>
  <c r="L67" i="27"/>
  <c r="L113" i="27"/>
  <c r="L92" i="27"/>
  <c r="L65" i="27"/>
  <c r="L61" i="27"/>
  <c r="L57" i="27"/>
  <c r="L53" i="27"/>
  <c r="L49" i="27"/>
  <c r="L96" i="27"/>
  <c r="L44" i="27"/>
  <c r="L36" i="27"/>
  <c r="L28" i="27"/>
  <c r="L100" i="27"/>
  <c r="L66" i="27"/>
  <c r="L62" i="27"/>
  <c r="L58" i="27"/>
  <c r="L54" i="27"/>
  <c r="L50" i="27"/>
  <c r="L47" i="27"/>
  <c r="L39" i="27"/>
  <c r="L31" i="27"/>
  <c r="L23" i="27"/>
  <c r="L104" i="27"/>
  <c r="L72" i="27"/>
  <c r="L108" i="27"/>
  <c r="L76" i="27"/>
  <c r="L68" i="27"/>
  <c r="L63" i="27"/>
  <c r="L59" i="27"/>
  <c r="L55" i="27"/>
  <c r="L51" i="27"/>
  <c r="L45" i="27"/>
  <c r="L37" i="27"/>
  <c r="L29" i="27"/>
  <c r="L84" i="27"/>
  <c r="L64" i="27"/>
  <c r="L60" i="27"/>
  <c r="L56" i="27"/>
  <c r="L52" i="27"/>
  <c r="L43" i="27"/>
  <c r="L35" i="27"/>
  <c r="L27" i="27"/>
  <c r="L88" i="27"/>
  <c r="L46" i="27"/>
  <c r="L38" i="27"/>
  <c r="L30" i="27"/>
  <c r="M6" i="27"/>
  <c r="N9" i="27"/>
  <c r="L11" i="27"/>
  <c r="M14" i="27"/>
  <c r="K16" i="27"/>
  <c r="N17" i="27"/>
  <c r="L19" i="27"/>
  <c r="M22" i="27"/>
  <c r="M23" i="27"/>
  <c r="L26" i="27"/>
  <c r="N39" i="27"/>
  <c r="N46" i="27"/>
  <c r="K108" i="27"/>
  <c r="K76" i="27"/>
  <c r="K101" i="27"/>
  <c r="K89" i="27"/>
  <c r="K106" i="27"/>
  <c r="K86" i="27"/>
  <c r="K74" i="27"/>
  <c r="K87" i="27"/>
  <c r="K67" i="27"/>
  <c r="K61" i="27"/>
  <c r="K36" i="27"/>
  <c r="K54" i="27"/>
  <c r="K47" i="27"/>
  <c r="K113" i="27"/>
  <c r="K64" i="27"/>
  <c r="K35" i="27"/>
  <c r="N20" i="27"/>
  <c r="K23" i="27"/>
  <c r="M114" i="27"/>
  <c r="M105" i="27"/>
  <c r="M101" i="27"/>
  <c r="M97" i="27"/>
  <c r="M93" i="27"/>
  <c r="M89" i="27"/>
  <c r="M85" i="27"/>
  <c r="M81" i="27"/>
  <c r="M77" i="27"/>
  <c r="M73" i="27"/>
  <c r="M69" i="27"/>
  <c r="M109" i="27"/>
  <c r="M112" i="27"/>
  <c r="M106" i="27"/>
  <c r="M102" i="27"/>
  <c r="M98" i="27"/>
  <c r="M94" i="27"/>
  <c r="M90" i="27"/>
  <c r="M86" i="27"/>
  <c r="M82" i="27"/>
  <c r="M78" i="27"/>
  <c r="M74" i="27"/>
  <c r="M70" i="27"/>
  <c r="M110" i="27"/>
  <c r="M107" i="27"/>
  <c r="M103" i="27"/>
  <c r="M99" i="27"/>
  <c r="M95" i="27"/>
  <c r="M91" i="27"/>
  <c r="M87" i="27"/>
  <c r="M83" i="27"/>
  <c r="M79" i="27"/>
  <c r="M75" i="27"/>
  <c r="M71" i="27"/>
  <c r="M113" i="27"/>
  <c r="M108" i="27"/>
  <c r="M104" i="27"/>
  <c r="M100" i="27"/>
  <c r="M96" i="27"/>
  <c r="M92" i="27"/>
  <c r="M88" i="27"/>
  <c r="M84" i="27"/>
  <c r="M80" i="27"/>
  <c r="M76" i="27"/>
  <c r="M72" i="27"/>
  <c r="M68" i="27"/>
  <c r="M44" i="27"/>
  <c r="M67" i="27"/>
  <c r="M66" i="27"/>
  <c r="M62" i="27"/>
  <c r="M58" i="27"/>
  <c r="M54" i="27"/>
  <c r="M50" i="27"/>
  <c r="M47" i="27"/>
  <c r="M39" i="27"/>
  <c r="M31" i="27"/>
  <c r="M42" i="27"/>
  <c r="M34" i="27"/>
  <c r="M26" i="27"/>
  <c r="M63" i="27"/>
  <c r="M59" i="27"/>
  <c r="M55" i="27"/>
  <c r="M51" i="27"/>
  <c r="M45" i="27"/>
  <c r="M48" i="27"/>
  <c r="M40" i="27"/>
  <c r="M32" i="27"/>
  <c r="M24" i="27"/>
  <c r="M46" i="27"/>
  <c r="M38" i="27"/>
  <c r="M30" i="27"/>
  <c r="M111" i="27"/>
  <c r="M65" i="27"/>
  <c r="M61" i="27"/>
  <c r="M57" i="27"/>
  <c r="M53" i="27"/>
  <c r="M49" i="27"/>
  <c r="M41" i="27"/>
  <c r="M33" i="27"/>
  <c r="M25" i="27"/>
  <c r="N6" i="27"/>
  <c r="L8" i="27"/>
  <c r="M11" i="27"/>
  <c r="N14" i="27"/>
  <c r="L16" i="27"/>
  <c r="M19" i="27"/>
  <c r="N22" i="27"/>
  <c r="N23" i="27"/>
  <c r="N31" i="27"/>
  <c r="M36" i="27"/>
  <c r="L41" i="27"/>
  <c r="M56" i="27"/>
  <c r="N89" i="27"/>
  <c r="N8" i="27"/>
  <c r="N38" i="27"/>
  <c r="M43" i="27"/>
  <c r="N11" i="27"/>
  <c r="K15" i="27"/>
  <c r="N16" i="27"/>
  <c r="K4" i="27"/>
  <c r="N5" i="27"/>
  <c r="L7" i="27"/>
  <c r="M10" i="27"/>
  <c r="K12" i="27"/>
  <c r="N13" i="27"/>
  <c r="L15" i="27"/>
  <c r="M18" i="27"/>
  <c r="K20" i="27"/>
  <c r="N21" i="27"/>
  <c r="M35" i="27"/>
  <c r="L40" i="27"/>
  <c r="K68" i="27"/>
  <c r="N109" i="27"/>
  <c r="N112" i="27"/>
  <c r="N106" i="27"/>
  <c r="N102" i="27"/>
  <c r="N98" i="27"/>
  <c r="N94" i="27"/>
  <c r="N90" i="27"/>
  <c r="N86" i="27"/>
  <c r="N82" i="27"/>
  <c r="N78" i="27"/>
  <c r="N74" i="27"/>
  <c r="N70" i="27"/>
  <c r="N110" i="27"/>
  <c r="N107" i="27"/>
  <c r="N103" i="27"/>
  <c r="N99" i="27"/>
  <c r="N95" i="27"/>
  <c r="N91" i="27"/>
  <c r="N87" i="27"/>
  <c r="N83" i="27"/>
  <c r="N79" i="27"/>
  <c r="N75" i="27"/>
  <c r="N71" i="27"/>
  <c r="N67" i="27"/>
  <c r="N113" i="27"/>
  <c r="N108" i="27"/>
  <c r="N104" i="27"/>
  <c r="N100" i="27"/>
  <c r="N96" i="27"/>
  <c r="N92" i="27"/>
  <c r="N88" i="27"/>
  <c r="N84" i="27"/>
  <c r="N80" i="27"/>
  <c r="N76" i="27"/>
  <c r="N72" i="27"/>
  <c r="N68" i="27"/>
  <c r="N111" i="27"/>
  <c r="N101" i="27"/>
  <c r="N69" i="27"/>
  <c r="N66" i="27"/>
  <c r="N62" i="27"/>
  <c r="N58" i="27"/>
  <c r="N54" i="27"/>
  <c r="N50" i="27"/>
  <c r="N47" i="27"/>
  <c r="N105" i="27"/>
  <c r="N73" i="27"/>
  <c r="N42" i="27"/>
  <c r="N34" i="27"/>
  <c r="N26" i="27"/>
  <c r="N114" i="27"/>
  <c r="N77" i="27"/>
  <c r="N63" i="27"/>
  <c r="N59" i="27"/>
  <c r="N55" i="27"/>
  <c r="N51" i="27"/>
  <c r="N45" i="27"/>
  <c r="N37" i="27"/>
  <c r="N29" i="27"/>
  <c r="N81" i="27"/>
  <c r="N48" i="27"/>
  <c r="N85" i="27"/>
  <c r="N64" i="27"/>
  <c r="N60" i="27"/>
  <c r="N56" i="27"/>
  <c r="N52" i="27"/>
  <c r="N43" i="27"/>
  <c r="N35" i="27"/>
  <c r="N27" i="27"/>
  <c r="N93" i="27"/>
  <c r="N65" i="27"/>
  <c r="N61" i="27"/>
  <c r="N57" i="27"/>
  <c r="N53" i="27"/>
  <c r="N49" i="27"/>
  <c r="N41" i="27"/>
  <c r="N33" i="27"/>
  <c r="N25" i="27"/>
  <c r="N97" i="27"/>
  <c r="N44" i="27"/>
  <c r="N36" i="27"/>
  <c r="N28" i="27"/>
  <c r="L4" i="27"/>
  <c r="M7" i="27"/>
  <c r="N10" i="27"/>
  <c r="L12" i="27"/>
  <c r="M15" i="27"/>
  <c r="N18" i="27"/>
  <c r="L20" i="27"/>
  <c r="M27" i="27"/>
  <c r="L32" i="27"/>
  <c r="N40" i="27"/>
  <c r="K63" i="27"/>
  <c r="N19" i="27"/>
  <c r="K7" i="27"/>
  <c r="M4" i="27"/>
  <c r="K6" i="27"/>
  <c r="N7" i="27"/>
  <c r="L9" i="27"/>
  <c r="M12" i="27"/>
  <c r="K14" i="27"/>
  <c r="N15" i="27"/>
  <c r="L17" i="27"/>
  <c r="M20" i="27"/>
  <c r="K22" i="27"/>
  <c r="L24" i="27"/>
  <c r="N32" i="27"/>
  <c r="M37" i="27"/>
  <c r="L42" i="27"/>
  <c r="K45" i="27"/>
  <c r="K59" i="27"/>
  <c r="N4" i="27"/>
  <c r="M64" i="27"/>
  <c r="L80" i="27"/>
  <c r="L126" i="27" l="1"/>
  <c r="N126" i="27"/>
  <c r="M126" i="27"/>
  <c r="K17" i="27"/>
  <c r="K13" i="27"/>
  <c r="K56" i="27"/>
  <c r="K66" i="27"/>
  <c r="K79" i="27"/>
  <c r="K98" i="27"/>
  <c r="K111" i="27"/>
  <c r="K24" i="27"/>
  <c r="K112" i="27"/>
  <c r="K91" i="27"/>
  <c r="K37" i="27"/>
  <c r="K30" i="27"/>
  <c r="K40" i="27"/>
  <c r="K33" i="27"/>
  <c r="K99" i="27"/>
  <c r="K69" i="27"/>
  <c r="K88" i="27"/>
  <c r="K44" i="27"/>
  <c r="K80" i="27"/>
  <c r="K29" i="27"/>
  <c r="K55" i="27"/>
  <c r="K9" i="27"/>
  <c r="K21" i="27"/>
  <c r="K5" i="27"/>
  <c r="K126" i="27" s="1"/>
  <c r="K34" i="27"/>
  <c r="K53" i="27"/>
  <c r="K110" i="27"/>
  <c r="K81" i="27"/>
  <c r="K100" i="27"/>
  <c r="K65" i="27"/>
  <c r="K78" i="27"/>
  <c r="K93" i="27"/>
  <c r="I13" i="28"/>
  <c r="H12" i="28"/>
  <c r="F12" i="28" s="1"/>
  <c r="E12" i="28" s="1"/>
  <c r="D12" i="28" s="1"/>
  <c r="K27" i="27"/>
  <c r="K32" i="27"/>
  <c r="K50" i="27"/>
  <c r="K25" i="27"/>
  <c r="K46" i="27"/>
  <c r="K95" i="27"/>
  <c r="K82" i="27"/>
  <c r="K109" i="27"/>
  <c r="K97" i="27"/>
  <c r="K84" i="27"/>
  <c r="K38" i="27"/>
  <c r="K18" i="27"/>
  <c r="K10" i="27"/>
  <c r="J1" i="27"/>
  <c r="K43" i="27"/>
  <c r="K48" i="27"/>
  <c r="K58" i="27"/>
  <c r="K41" i="27"/>
  <c r="K71" i="27"/>
  <c r="K103" i="27"/>
  <c r="K90" i="27"/>
  <c r="K73" i="27"/>
  <c r="K105" i="27"/>
  <c r="K92" i="27"/>
  <c r="K52" i="27"/>
  <c r="K26" i="27"/>
  <c r="K62" i="27"/>
  <c r="K49" i="27"/>
  <c r="K75" i="27"/>
  <c r="K107" i="27"/>
  <c r="K94" i="27"/>
  <c r="K77" i="27"/>
  <c r="K114" i="27"/>
  <c r="K96" i="27"/>
  <c r="K8" i="27"/>
  <c r="K39" i="27"/>
  <c r="K60" i="27"/>
  <c r="K42" i="27"/>
  <c r="K28" i="27"/>
  <c r="K57" i="27"/>
  <c r="K83" i="27"/>
  <c r="K70" i="27"/>
  <c r="K102" i="27"/>
  <c r="K85" i="27"/>
  <c r="K72" i="27"/>
  <c r="K104" i="27"/>
  <c r="K19" i="27"/>
  <c r="K51" i="27"/>
  <c r="H13" i="28" l="1"/>
  <c r="F13" i="28" s="1"/>
  <c r="E13" i="28" s="1"/>
  <c r="D13" i="28" s="1"/>
  <c r="I14" i="28"/>
  <c r="J8" i="27"/>
  <c r="J35" i="27"/>
  <c r="I1" i="27"/>
  <c r="I4" i="27" s="1"/>
  <c r="J15" i="27"/>
  <c r="J20" i="27"/>
  <c r="J12" i="27"/>
  <c r="J4" i="27"/>
  <c r="J43" i="27"/>
  <c r="J26" i="27"/>
  <c r="J7" i="27"/>
  <c r="J16" i="27"/>
  <c r="J71" i="27"/>
  <c r="J36" i="27"/>
  <c r="J13" i="27"/>
  <c r="J10" i="27"/>
  <c r="J5" i="27"/>
  <c r="J21" i="27"/>
  <c r="J108" i="27"/>
  <c r="J76" i="27"/>
  <c r="J93" i="27"/>
  <c r="J112" i="27"/>
  <c r="J78" i="27"/>
  <c r="J110" i="27"/>
  <c r="J61" i="27"/>
  <c r="J44" i="27"/>
  <c r="J39" i="27"/>
  <c r="J51" i="27"/>
  <c r="J24" i="27"/>
  <c r="J19" i="27"/>
  <c r="J6" i="27"/>
  <c r="J22" i="27"/>
  <c r="J104" i="27"/>
  <c r="J72" i="27"/>
  <c r="J89" i="27"/>
  <c r="J106" i="27"/>
  <c r="J74" i="27"/>
  <c r="J87" i="27"/>
  <c r="J57" i="27"/>
  <c r="J99" i="27"/>
  <c r="J31" i="27"/>
  <c r="J45" i="27"/>
  <c r="J100" i="27"/>
  <c r="J68" i="27"/>
  <c r="J85" i="27"/>
  <c r="J102" i="27"/>
  <c r="J70" i="27"/>
  <c r="J46" i="27"/>
  <c r="J53" i="27"/>
  <c r="J66" i="27"/>
  <c r="J23" i="27"/>
  <c r="J37" i="27"/>
  <c r="J17" i="27"/>
  <c r="J103" i="27"/>
  <c r="J96" i="27"/>
  <c r="J111" i="27"/>
  <c r="J98" i="27"/>
  <c r="J83" i="27"/>
  <c r="J49" i="27"/>
  <c r="J107" i="27"/>
  <c r="J94" i="27"/>
  <c r="J28" i="27"/>
  <c r="J81" i="27"/>
  <c r="J38" i="27"/>
  <c r="J62" i="27"/>
  <c r="J29" i="27"/>
  <c r="J92" i="27"/>
  <c r="J77" i="27"/>
  <c r="J64" i="27"/>
  <c r="J41" i="27"/>
  <c r="J58" i="27"/>
  <c r="J79" i="27"/>
  <c r="J34" i="27"/>
  <c r="J97" i="27"/>
  <c r="J65" i="27"/>
  <c r="J114" i="27"/>
  <c r="J30" i="27"/>
  <c r="J75" i="27"/>
  <c r="J11" i="27"/>
  <c r="J109" i="27"/>
  <c r="J55" i="27"/>
  <c r="J14" i="27"/>
  <c r="J42" i="27"/>
  <c r="J88" i="27"/>
  <c r="J105" i="27"/>
  <c r="J73" i="27"/>
  <c r="J90" i="27"/>
  <c r="J60" i="27"/>
  <c r="J91" i="27"/>
  <c r="J33" i="27"/>
  <c r="J54" i="27"/>
  <c r="J63" i="27"/>
  <c r="J48" i="27"/>
  <c r="J113" i="27"/>
  <c r="J82" i="27"/>
  <c r="J47" i="27"/>
  <c r="J18" i="27"/>
  <c r="J27" i="27"/>
  <c r="J84" i="27"/>
  <c r="J101" i="27"/>
  <c r="J69" i="27"/>
  <c r="J86" i="27"/>
  <c r="J56" i="27"/>
  <c r="J67" i="27"/>
  <c r="J25" i="27"/>
  <c r="J50" i="27"/>
  <c r="J59" i="27"/>
  <c r="J40" i="27"/>
  <c r="J9" i="27"/>
  <c r="J80" i="27"/>
  <c r="J52" i="27"/>
  <c r="J95" i="27"/>
  <c r="J32" i="27"/>
  <c r="J126" i="27" l="1"/>
  <c r="I15" i="28"/>
  <c r="H14" i="28"/>
  <c r="F14" i="28" s="1"/>
  <c r="E14" i="28" s="1"/>
  <c r="D14" i="28" s="1"/>
  <c r="I31" i="27"/>
  <c r="I9" i="27"/>
  <c r="I12" i="27"/>
  <c r="I40" i="27"/>
  <c r="I25" i="27"/>
  <c r="I20" i="27"/>
  <c r="I17" i="27"/>
  <c r="I66" i="27"/>
  <c r="H1" i="27"/>
  <c r="I5" i="27"/>
  <c r="I21" i="27"/>
  <c r="I13" i="27"/>
  <c r="I18" i="27"/>
  <c r="I58" i="27"/>
  <c r="I41" i="27"/>
  <c r="I47" i="27"/>
  <c r="I15" i="27"/>
  <c r="I10" i="27"/>
  <c r="I32" i="27"/>
  <c r="I83" i="27"/>
  <c r="I96" i="27"/>
  <c r="I111" i="27"/>
  <c r="I81" i="27"/>
  <c r="I98" i="27"/>
  <c r="I48" i="27"/>
  <c r="I46" i="27"/>
  <c r="I49" i="27"/>
  <c r="I59" i="27"/>
  <c r="I8" i="27"/>
  <c r="I110" i="27"/>
  <c r="I79" i="27"/>
  <c r="I92" i="27"/>
  <c r="I114" i="27"/>
  <c r="I77" i="27"/>
  <c r="I94" i="27"/>
  <c r="I64" i="27"/>
  <c r="I38" i="27"/>
  <c r="I44" i="27"/>
  <c r="I55" i="27"/>
  <c r="I11" i="27"/>
  <c r="I7" i="27"/>
  <c r="I126" i="27" s="1"/>
  <c r="I107" i="27"/>
  <c r="I75" i="27"/>
  <c r="I88" i="27"/>
  <c r="I105" i="27"/>
  <c r="I73" i="27"/>
  <c r="I90" i="27"/>
  <c r="I60" i="27"/>
  <c r="I30" i="27"/>
  <c r="I36" i="27"/>
  <c r="I51" i="27"/>
  <c r="I71" i="27"/>
  <c r="I84" i="27"/>
  <c r="I69" i="27"/>
  <c r="I56" i="27"/>
  <c r="I67" i="27"/>
  <c r="I45" i="27"/>
  <c r="I50" i="27"/>
  <c r="I62" i="27"/>
  <c r="I22" i="27"/>
  <c r="I103" i="27"/>
  <c r="I101" i="27"/>
  <c r="I86" i="27"/>
  <c r="I28" i="27"/>
  <c r="I24" i="27"/>
  <c r="I16" i="27"/>
  <c r="I6" i="27"/>
  <c r="I99" i="27"/>
  <c r="I113" i="27"/>
  <c r="I80" i="27"/>
  <c r="I97" i="27"/>
  <c r="I109" i="27"/>
  <c r="I82" i="27"/>
  <c r="I52" i="27"/>
  <c r="I65" i="27"/>
  <c r="I42" i="27"/>
  <c r="I37" i="27"/>
  <c r="I33" i="27"/>
  <c r="I95" i="27"/>
  <c r="I108" i="27"/>
  <c r="I76" i="27"/>
  <c r="I93" i="27"/>
  <c r="I112" i="27"/>
  <c r="I78" i="27"/>
  <c r="I43" i="27"/>
  <c r="I61" i="27"/>
  <c r="I34" i="27"/>
  <c r="I29" i="27"/>
  <c r="I19" i="27"/>
  <c r="I87" i="27"/>
  <c r="I68" i="27"/>
  <c r="I102" i="27"/>
  <c r="I27" i="27"/>
  <c r="I63" i="27"/>
  <c r="I91" i="27"/>
  <c r="I104" i="27"/>
  <c r="I72" i="27"/>
  <c r="I89" i="27"/>
  <c r="I106" i="27"/>
  <c r="I74" i="27"/>
  <c r="I35" i="27"/>
  <c r="I57" i="27"/>
  <c r="I26" i="27"/>
  <c r="I23" i="27"/>
  <c r="I14" i="27"/>
  <c r="I100" i="27"/>
  <c r="I85" i="27"/>
  <c r="I70" i="27"/>
  <c r="I53" i="27"/>
  <c r="I54" i="27"/>
  <c r="I39" i="27"/>
  <c r="H116" i="27" l="1"/>
  <c r="H65" i="27"/>
  <c r="H117" i="27"/>
  <c r="H66" i="27"/>
  <c r="H20" i="27"/>
  <c r="H80" i="27"/>
  <c r="H59" i="27"/>
  <c r="H12" i="27"/>
  <c r="H56" i="27"/>
  <c r="H53" i="27"/>
  <c r="H15" i="27"/>
  <c r="H40" i="27"/>
  <c r="H46" i="27"/>
  <c r="H110" i="27"/>
  <c r="H115" i="27"/>
  <c r="H9" i="27"/>
  <c r="H73" i="27"/>
  <c r="H10" i="27"/>
  <c r="H74" i="27"/>
  <c r="H44" i="27"/>
  <c r="H118" i="27"/>
  <c r="H67" i="27"/>
  <c r="H28" i="27"/>
  <c r="H88" i="27"/>
  <c r="H61" i="27"/>
  <c r="H31" i="27"/>
  <c r="H72" i="27"/>
  <c r="H54" i="27"/>
  <c r="H7" i="27"/>
  <c r="H32" i="27"/>
  <c r="H17" i="27"/>
  <c r="H81" i="27"/>
  <c r="H18" i="27"/>
  <c r="H82" i="27"/>
  <c r="H60" i="27"/>
  <c r="H11" i="27"/>
  <c r="H75" i="27"/>
  <c r="H36" i="27"/>
  <c r="H5" i="27"/>
  <c r="H69" i="27"/>
  <c r="H47" i="27"/>
  <c r="H104" i="27"/>
  <c r="H62" i="27"/>
  <c r="H23" i="27"/>
  <c r="H64" i="27"/>
  <c r="H25" i="27"/>
  <c r="H89" i="27"/>
  <c r="H26" i="27"/>
  <c r="H90" i="27"/>
  <c r="H76" i="27"/>
  <c r="H19" i="27"/>
  <c r="H83" i="27"/>
  <c r="H52" i="27"/>
  <c r="H13" i="27"/>
  <c r="H77" i="27"/>
  <c r="H63" i="27"/>
  <c r="H6" i="27"/>
  <c r="H70" i="27"/>
  <c r="H39" i="27"/>
  <c r="H96" i="27"/>
  <c r="H33" i="27"/>
  <c r="H97" i="27"/>
  <c r="H34" i="27"/>
  <c r="H98" i="27"/>
  <c r="H92" i="27"/>
  <c r="H27" i="27"/>
  <c r="H91" i="27"/>
  <c r="H68" i="27"/>
  <c r="H21" i="27"/>
  <c r="H85" i="27"/>
  <c r="H79" i="27"/>
  <c r="H14" i="27"/>
  <c r="H78" i="27"/>
  <c r="H55" i="27"/>
  <c r="H41" i="27"/>
  <c r="H105" i="27"/>
  <c r="H42" i="27"/>
  <c r="H106" i="27"/>
  <c r="H108" i="27"/>
  <c r="H35" i="27"/>
  <c r="H99" i="27"/>
  <c r="H84" i="27"/>
  <c r="H29" i="27"/>
  <c r="H93" i="27"/>
  <c r="H95" i="27"/>
  <c r="H22" i="27"/>
  <c r="H86" i="27"/>
  <c r="H71" i="27"/>
  <c r="H49" i="27"/>
  <c r="H113" i="27"/>
  <c r="H50" i="27"/>
  <c r="H114" i="27"/>
  <c r="H16" i="27"/>
  <c r="H43" i="27"/>
  <c r="H107" i="27"/>
  <c r="H100" i="27"/>
  <c r="H37" i="27"/>
  <c r="H101" i="27"/>
  <c r="H111" i="27"/>
  <c r="H30" i="27"/>
  <c r="H94" i="27"/>
  <c r="H87" i="27"/>
  <c r="H57" i="27"/>
  <c r="H112" i="27"/>
  <c r="H58" i="27"/>
  <c r="H119" i="27"/>
  <c r="H48" i="27"/>
  <c r="H51" i="27"/>
  <c r="H4" i="27"/>
  <c r="H24" i="27"/>
  <c r="H45" i="27"/>
  <c r="H109" i="27"/>
  <c r="H8" i="27"/>
  <c r="H38" i="27"/>
  <c r="H102" i="27"/>
  <c r="H103" i="27"/>
  <c r="I16" i="28"/>
  <c r="F16" i="28" s="1"/>
  <c r="E16" i="28" s="1"/>
  <c r="D16" i="28" s="1"/>
  <c r="H15" i="28"/>
  <c r="F15" i="28" s="1"/>
  <c r="E15" i="28" s="1"/>
  <c r="D15" i="28" s="1"/>
  <c r="G1" i="27"/>
  <c r="F1" i="27" l="1"/>
  <c r="G22" i="27"/>
  <c r="G14" i="27"/>
  <c r="G6" i="27"/>
  <c r="G57" i="27"/>
  <c r="G35" i="27"/>
  <c r="G7" i="27"/>
  <c r="G15" i="27"/>
  <c r="G12" i="27"/>
  <c r="G25" i="27"/>
  <c r="G106" i="27"/>
  <c r="G74" i="27"/>
  <c r="G87" i="27"/>
  <c r="G104" i="27"/>
  <c r="G72" i="27"/>
  <c r="G85" i="27"/>
  <c r="G51" i="27"/>
  <c r="G109" i="27"/>
  <c r="G68" i="27"/>
  <c r="G50" i="27"/>
  <c r="G53" i="27"/>
  <c r="G61" i="27"/>
  <c r="G41" i="27"/>
  <c r="G9" i="27"/>
  <c r="G98" i="27"/>
  <c r="G110" i="27"/>
  <c r="G79" i="27"/>
  <c r="G96" i="27"/>
  <c r="G114" i="27"/>
  <c r="G77" i="27"/>
  <c r="G37" i="27"/>
  <c r="G60" i="27"/>
  <c r="G36" i="27"/>
  <c r="G39" i="27"/>
  <c r="G8" i="27"/>
  <c r="G94" i="27"/>
  <c r="G107" i="27"/>
  <c r="G75" i="27"/>
  <c r="G92" i="27"/>
  <c r="G105" i="27"/>
  <c r="G73" i="27"/>
  <c r="G29" i="27"/>
  <c r="G56" i="27"/>
  <c r="G28" i="27"/>
  <c r="G31" i="27"/>
  <c r="G27" i="27"/>
  <c r="G4" i="27"/>
  <c r="G65" i="27"/>
  <c r="G86" i="27"/>
  <c r="G99" i="27"/>
  <c r="G67" i="27"/>
  <c r="G84" i="27"/>
  <c r="G97" i="27"/>
  <c r="G63" i="27"/>
  <c r="G40" i="27"/>
  <c r="G46" i="27"/>
  <c r="G62" i="27"/>
  <c r="G20" i="27"/>
  <c r="G82" i="27"/>
  <c r="G113" i="27"/>
  <c r="G93" i="27"/>
  <c r="G32" i="27"/>
  <c r="G58" i="27"/>
  <c r="G49" i="27"/>
  <c r="G5" i="27"/>
  <c r="G21" i="27"/>
  <c r="G26" i="27"/>
  <c r="G43" i="27"/>
  <c r="G78" i="27"/>
  <c r="G108" i="27"/>
  <c r="G89" i="27"/>
  <c r="G24" i="27"/>
  <c r="G54" i="27"/>
  <c r="G34" i="27"/>
  <c r="G70" i="27"/>
  <c r="G100" i="27"/>
  <c r="G81" i="27"/>
  <c r="G64" i="27"/>
  <c r="G47" i="27"/>
  <c r="G16" i="27"/>
  <c r="G103" i="27"/>
  <c r="G23" i="27"/>
  <c r="G10" i="27"/>
  <c r="G88" i="27"/>
  <c r="G69" i="27"/>
  <c r="G52" i="27"/>
  <c r="G95" i="27"/>
  <c r="G80" i="27"/>
  <c r="G59" i="27"/>
  <c r="G38" i="27"/>
  <c r="G13" i="27"/>
  <c r="G17" i="27"/>
  <c r="G112" i="27"/>
  <c r="G91" i="27"/>
  <c r="G76" i="27"/>
  <c r="G55" i="27"/>
  <c r="G30" i="27"/>
  <c r="G11" i="27"/>
  <c r="G33" i="27"/>
  <c r="G102" i="27"/>
  <c r="G83" i="27"/>
  <c r="G111" i="27"/>
  <c r="G45" i="27"/>
  <c r="G44" i="27"/>
  <c r="G19" i="27"/>
  <c r="G42" i="27"/>
  <c r="G90" i="27"/>
  <c r="G71" i="27"/>
  <c r="G101" i="27"/>
  <c r="G48" i="27"/>
  <c r="G66" i="27"/>
  <c r="G18" i="27"/>
  <c r="G126" i="27" l="1"/>
  <c r="E1" i="27"/>
  <c r="F17" i="27"/>
  <c r="F20" i="27"/>
  <c r="F32" i="27"/>
  <c r="F38" i="27"/>
  <c r="F94" i="27"/>
  <c r="F107" i="27"/>
  <c r="F75" i="27"/>
  <c r="F92" i="27"/>
  <c r="F97" i="27"/>
  <c r="F69" i="27"/>
  <c r="F55" i="27"/>
  <c r="F81" i="27"/>
  <c r="F89" i="27"/>
  <c r="F25" i="27"/>
  <c r="F4" i="27"/>
  <c r="F30" i="27"/>
  <c r="F86" i="27"/>
  <c r="F99" i="27"/>
  <c r="F67" i="27"/>
  <c r="F84" i="27"/>
  <c r="F62" i="27"/>
  <c r="F34" i="27"/>
  <c r="F45" i="27"/>
  <c r="F60" i="27"/>
  <c r="F61" i="27"/>
  <c r="F44" i="27"/>
  <c r="F9" i="27"/>
  <c r="F109" i="27"/>
  <c r="F82" i="27"/>
  <c r="F95" i="27"/>
  <c r="F113" i="27"/>
  <c r="F80" i="27"/>
  <c r="F58" i="27"/>
  <c r="F26" i="27"/>
  <c r="F37" i="27"/>
  <c r="F56" i="27"/>
  <c r="F57" i="27"/>
  <c r="F36" i="27"/>
  <c r="F12" i="27"/>
  <c r="F6" i="27"/>
  <c r="F22" i="27"/>
  <c r="F106" i="27"/>
  <c r="F74" i="27"/>
  <c r="F87" i="27"/>
  <c r="F104" i="27"/>
  <c r="F72" i="27"/>
  <c r="F50" i="27"/>
  <c r="F73" i="27"/>
  <c r="F114" i="27"/>
  <c r="F43" i="27"/>
  <c r="F49" i="27"/>
  <c r="F5" i="27"/>
  <c r="F78" i="27"/>
  <c r="F108" i="27"/>
  <c r="F54" i="27"/>
  <c r="F29" i="27"/>
  <c r="F53" i="27"/>
  <c r="F24" i="27"/>
  <c r="F85" i="27"/>
  <c r="F14" i="27"/>
  <c r="F70" i="27"/>
  <c r="F100" i="27"/>
  <c r="F47" i="27"/>
  <c r="F77" i="27"/>
  <c r="F41" i="27"/>
  <c r="F21" i="27"/>
  <c r="F110" i="27"/>
  <c r="F96" i="27"/>
  <c r="F101" i="27"/>
  <c r="F48" i="27"/>
  <c r="F33" i="27"/>
  <c r="F23" i="27"/>
  <c r="F15" i="27"/>
  <c r="F31" i="27"/>
  <c r="F103" i="27"/>
  <c r="F88" i="27"/>
  <c r="F64" i="27"/>
  <c r="F93" i="27"/>
  <c r="F18" i="27"/>
  <c r="F39" i="27"/>
  <c r="F46" i="27"/>
  <c r="F42" i="27"/>
  <c r="F40" i="27"/>
  <c r="F112" i="27"/>
  <c r="F91" i="27"/>
  <c r="F76" i="27"/>
  <c r="F105" i="27"/>
  <c r="F52" i="27"/>
  <c r="F28" i="27"/>
  <c r="F102" i="27"/>
  <c r="F83" i="27"/>
  <c r="F68" i="27"/>
  <c r="F63" i="27"/>
  <c r="F35" i="27"/>
  <c r="F13" i="27"/>
  <c r="F8" i="27"/>
  <c r="F10" i="27"/>
  <c r="F98" i="27"/>
  <c r="F79" i="27"/>
  <c r="F111" i="27"/>
  <c r="F59" i="27"/>
  <c r="F27" i="27"/>
  <c r="F11" i="27"/>
  <c r="F16" i="27"/>
  <c r="F7" i="27"/>
  <c r="F90" i="27"/>
  <c r="F71" i="27"/>
  <c r="F66" i="27"/>
  <c r="F51" i="27"/>
  <c r="F65" i="27"/>
  <c r="F19" i="27"/>
  <c r="F126" i="27" l="1"/>
  <c r="E8" i="27"/>
  <c r="E21" i="27"/>
  <c r="E13" i="27"/>
  <c r="E16" i="27"/>
  <c r="D1" i="27"/>
  <c r="E27" i="27"/>
  <c r="E37" i="27"/>
  <c r="E5" i="27"/>
  <c r="E9" i="27"/>
  <c r="E28" i="27"/>
  <c r="E17" i="27"/>
  <c r="E56" i="27"/>
  <c r="E93" i="27"/>
  <c r="E106" i="27"/>
  <c r="E74" i="27"/>
  <c r="E87" i="27"/>
  <c r="E100" i="27"/>
  <c r="E68" i="27"/>
  <c r="E47" i="27"/>
  <c r="E59" i="27"/>
  <c r="E46" i="27"/>
  <c r="E41" i="27"/>
  <c r="E89" i="27"/>
  <c r="E102" i="27"/>
  <c r="E70" i="27"/>
  <c r="E83" i="27"/>
  <c r="E96" i="27"/>
  <c r="E111" i="27"/>
  <c r="E39" i="27"/>
  <c r="E55" i="27"/>
  <c r="E38" i="27"/>
  <c r="E33" i="27"/>
  <c r="E19" i="27"/>
  <c r="E85" i="27"/>
  <c r="E98" i="27"/>
  <c r="E110" i="27"/>
  <c r="E79" i="27"/>
  <c r="E92" i="27"/>
  <c r="E44" i="27"/>
  <c r="E31" i="27"/>
  <c r="E51" i="27"/>
  <c r="E30" i="27"/>
  <c r="E25" i="27"/>
  <c r="E14" i="27"/>
  <c r="E81" i="27"/>
  <c r="E94" i="27"/>
  <c r="E107" i="27"/>
  <c r="E75" i="27"/>
  <c r="E88" i="27"/>
  <c r="E66" i="27"/>
  <c r="E69" i="27"/>
  <c r="E45" i="27"/>
  <c r="E65" i="27"/>
  <c r="E67" i="27"/>
  <c r="E43" i="27"/>
  <c r="E114" i="27"/>
  <c r="E77" i="27"/>
  <c r="E90" i="27"/>
  <c r="E103" i="27"/>
  <c r="E71" i="27"/>
  <c r="E84" i="27"/>
  <c r="E62" i="27"/>
  <c r="E42" i="27"/>
  <c r="E48" i="27"/>
  <c r="E61" i="27"/>
  <c r="E52" i="27"/>
  <c r="E101" i="27"/>
  <c r="E109" i="27"/>
  <c r="E82" i="27"/>
  <c r="E95" i="27"/>
  <c r="E108" i="27"/>
  <c r="E76" i="27"/>
  <c r="E54" i="27"/>
  <c r="E26" i="27"/>
  <c r="E32" i="27"/>
  <c r="E53" i="27"/>
  <c r="E35" i="27"/>
  <c r="E86" i="27"/>
  <c r="E58" i="27"/>
  <c r="E10" i="27"/>
  <c r="E22" i="27"/>
  <c r="E78" i="27"/>
  <c r="E50" i="27"/>
  <c r="E4" i="27"/>
  <c r="E20" i="27"/>
  <c r="E99" i="27"/>
  <c r="E34" i="27"/>
  <c r="E7" i="27"/>
  <c r="E91" i="27"/>
  <c r="E63" i="27"/>
  <c r="E105" i="27"/>
  <c r="E113" i="27"/>
  <c r="E40" i="27"/>
  <c r="E11" i="27"/>
  <c r="E18" i="27"/>
  <c r="E23" i="27"/>
  <c r="E97" i="27"/>
  <c r="E104" i="27"/>
  <c r="E24" i="27"/>
  <c r="E12" i="27"/>
  <c r="E36" i="27"/>
  <c r="E6" i="27"/>
  <c r="E73" i="27"/>
  <c r="E80" i="27"/>
  <c r="E57" i="27"/>
  <c r="E15" i="27"/>
  <c r="E64" i="27"/>
  <c r="E60" i="27"/>
  <c r="E112" i="27"/>
  <c r="E72" i="27"/>
  <c r="E49" i="27"/>
  <c r="E29" i="27"/>
  <c r="E126" i="27" l="1"/>
  <c r="D33" i="27"/>
  <c r="D18" i="27"/>
  <c r="D48" i="27"/>
  <c r="D42" i="27"/>
  <c r="D21" i="27"/>
  <c r="C1" i="27"/>
  <c r="D10" i="27"/>
  <c r="D32" i="27"/>
  <c r="D13" i="27"/>
  <c r="D22" i="27"/>
  <c r="D14" i="27"/>
  <c r="D6" i="27"/>
  <c r="D24" i="27"/>
  <c r="D5" i="27"/>
  <c r="D97" i="27"/>
  <c r="D109" i="27"/>
  <c r="D82" i="27"/>
  <c r="D95" i="27"/>
  <c r="D113" i="27"/>
  <c r="D44" i="27"/>
  <c r="D50" i="27"/>
  <c r="D63" i="27"/>
  <c r="D64" i="27"/>
  <c r="D68" i="27"/>
  <c r="D93" i="27"/>
  <c r="D112" i="27"/>
  <c r="D78" i="27"/>
  <c r="D91" i="27"/>
  <c r="D88" i="27"/>
  <c r="D36" i="27"/>
  <c r="D47" i="27"/>
  <c r="D59" i="27"/>
  <c r="D60" i="27"/>
  <c r="D46" i="27"/>
  <c r="D8" i="27"/>
  <c r="D89" i="27"/>
  <c r="D106" i="27"/>
  <c r="D74" i="27"/>
  <c r="D87" i="27"/>
  <c r="D65" i="27"/>
  <c r="D28" i="27"/>
  <c r="D39" i="27"/>
  <c r="D55" i="27"/>
  <c r="D56" i="27"/>
  <c r="D38" i="27"/>
  <c r="D25" i="27"/>
  <c r="D85" i="27"/>
  <c r="D102" i="27"/>
  <c r="D70" i="27"/>
  <c r="D83" i="27"/>
  <c r="D61" i="27"/>
  <c r="D96" i="27"/>
  <c r="D31" i="27"/>
  <c r="D51" i="27"/>
  <c r="D52" i="27"/>
  <c r="D30" i="27"/>
  <c r="D19" i="27"/>
  <c r="D111" i="27"/>
  <c r="D81" i="27"/>
  <c r="D98" i="27"/>
  <c r="D110" i="27"/>
  <c r="D79" i="27"/>
  <c r="D57" i="27"/>
  <c r="D66" i="27"/>
  <c r="D23" i="27"/>
  <c r="D45" i="27"/>
  <c r="D43" i="27"/>
  <c r="D114" i="27"/>
  <c r="D77" i="27"/>
  <c r="D94" i="27"/>
  <c r="D107" i="27"/>
  <c r="D75" i="27"/>
  <c r="D53" i="27"/>
  <c r="D62" i="27"/>
  <c r="D100" i="27"/>
  <c r="D37" i="27"/>
  <c r="D35" i="27"/>
  <c r="D105" i="27"/>
  <c r="D73" i="27"/>
  <c r="D90" i="27"/>
  <c r="D103" i="27"/>
  <c r="D71" i="27"/>
  <c r="D49" i="27"/>
  <c r="D58" i="27"/>
  <c r="D104" i="27"/>
  <c r="D29" i="27"/>
  <c r="D27" i="27"/>
  <c r="D92" i="27"/>
  <c r="D15" i="27"/>
  <c r="D54" i="27"/>
  <c r="D11" i="27"/>
  <c r="D34" i="27"/>
  <c r="D9" i="27"/>
  <c r="D72" i="27"/>
  <c r="D12" i="27"/>
  <c r="D108" i="27"/>
  <c r="D41" i="27"/>
  <c r="D101" i="27"/>
  <c r="D80" i="27"/>
  <c r="D16" i="27"/>
  <c r="D76" i="27"/>
  <c r="D69" i="27"/>
  <c r="D84" i="27"/>
  <c r="D26" i="27"/>
  <c r="D86" i="27"/>
  <c r="D7" i="27"/>
  <c r="D17" i="27"/>
  <c r="D99" i="27"/>
  <c r="D4" i="27"/>
  <c r="D126" i="27" s="1"/>
  <c r="D20" i="27"/>
  <c r="D67" i="27"/>
  <c r="D40" i="27"/>
  <c r="C37" i="27" l="1"/>
  <c r="B37" i="27" s="1"/>
  <c r="C18" i="27"/>
  <c r="B18" i="27" s="1"/>
  <c r="C10" i="27"/>
  <c r="B10" i="27" s="1"/>
  <c r="C92" i="27"/>
  <c r="B92" i="27" s="1"/>
  <c r="C105" i="27"/>
  <c r="B105" i="27" s="1"/>
  <c r="C73" i="27"/>
  <c r="B73" i="27" s="1"/>
  <c r="C90" i="27"/>
  <c r="B90" i="27" s="1"/>
  <c r="C103" i="27"/>
  <c r="B103" i="27" s="1"/>
  <c r="C71" i="27"/>
  <c r="B71" i="27" s="1"/>
  <c r="C49" i="27"/>
  <c r="B49" i="27" s="1"/>
  <c r="C62" i="27"/>
  <c r="B62" i="27" s="1"/>
  <c r="C48" i="27"/>
  <c r="B48" i="27" s="1"/>
  <c r="C43" i="27"/>
  <c r="B43" i="27" s="1"/>
  <c r="C88" i="27"/>
  <c r="B88" i="27" s="1"/>
  <c r="C101" i="27"/>
  <c r="B101" i="27" s="1"/>
  <c r="C69" i="27"/>
  <c r="B69" i="27" s="1"/>
  <c r="C86" i="27"/>
  <c r="B86" i="27" s="1"/>
  <c r="C99" i="27"/>
  <c r="B99" i="27" s="1"/>
  <c r="C67" i="27"/>
  <c r="B67" i="27" s="1"/>
  <c r="C41" i="27"/>
  <c r="B41" i="27" s="1"/>
  <c r="C58" i="27"/>
  <c r="B58" i="27" s="1"/>
  <c r="C40" i="27"/>
  <c r="B40" i="27" s="1"/>
  <c r="C35" i="27"/>
  <c r="B35" i="27" s="1"/>
  <c r="C15" i="27"/>
  <c r="B15" i="27" s="1"/>
  <c r="C84" i="27"/>
  <c r="B84" i="27" s="1"/>
  <c r="C97" i="27"/>
  <c r="B97" i="27" s="1"/>
  <c r="C109" i="27"/>
  <c r="B109" i="27" s="1"/>
  <c r="C82" i="27"/>
  <c r="B82" i="27" s="1"/>
  <c r="C95" i="27"/>
  <c r="B95" i="27" s="1"/>
  <c r="C68" i="27"/>
  <c r="B68" i="27" s="1"/>
  <c r="C33" i="27"/>
  <c r="B33" i="27" s="1"/>
  <c r="C54" i="27"/>
  <c r="B54" i="27" s="1"/>
  <c r="C32" i="27"/>
  <c r="B32" i="27" s="1"/>
  <c r="C27" i="27"/>
  <c r="B27" i="27" s="1"/>
  <c r="C8" i="27"/>
  <c r="B8" i="27" s="1"/>
  <c r="C80" i="27"/>
  <c r="B80" i="27" s="1"/>
  <c r="C93" i="27"/>
  <c r="B93" i="27" s="1"/>
  <c r="C112" i="27"/>
  <c r="B112" i="27" s="1"/>
  <c r="C78" i="27"/>
  <c r="B78" i="27" s="1"/>
  <c r="C91" i="27"/>
  <c r="B91" i="27" s="1"/>
  <c r="C46" i="27"/>
  <c r="B46" i="27" s="1"/>
  <c r="C25" i="27"/>
  <c r="B25" i="27" s="1"/>
  <c r="C50" i="27"/>
  <c r="B50" i="27" s="1"/>
  <c r="C24" i="27"/>
  <c r="B24" i="27" s="1"/>
  <c r="C23" i="27"/>
  <c r="B23" i="27" s="1"/>
  <c r="C108" i="27"/>
  <c r="B108" i="27" s="1"/>
  <c r="C76" i="27"/>
  <c r="B76" i="27" s="1"/>
  <c r="C89" i="27"/>
  <c r="B89" i="27" s="1"/>
  <c r="C106" i="27"/>
  <c r="B106" i="27" s="1"/>
  <c r="C74" i="27"/>
  <c r="B74" i="27" s="1"/>
  <c r="C87" i="27"/>
  <c r="B87" i="27" s="1"/>
  <c r="C65" i="27"/>
  <c r="B65" i="27" s="1"/>
  <c r="C44" i="27"/>
  <c r="B44" i="27" s="1"/>
  <c r="C47" i="27"/>
  <c r="B47" i="27" s="1"/>
  <c r="C64" i="27"/>
  <c r="B64" i="27" s="1"/>
  <c r="C11" i="27"/>
  <c r="B11" i="27" s="1"/>
  <c r="C5" i="27"/>
  <c r="B5" i="27" s="1"/>
  <c r="C21" i="27"/>
  <c r="B21" i="27" s="1"/>
  <c r="C104" i="27"/>
  <c r="B104" i="27" s="1"/>
  <c r="C72" i="27"/>
  <c r="B72" i="27" s="1"/>
  <c r="C85" i="27"/>
  <c r="B85" i="27" s="1"/>
  <c r="C102" i="27"/>
  <c r="B102" i="27" s="1"/>
  <c r="C70" i="27"/>
  <c r="B70" i="27" s="1"/>
  <c r="C83" i="27"/>
  <c r="B83" i="27" s="1"/>
  <c r="C61" i="27"/>
  <c r="B61" i="27" s="1"/>
  <c r="C36" i="27"/>
  <c r="B36" i="27" s="1"/>
  <c r="C42" i="27"/>
  <c r="B42" i="27" s="1"/>
  <c r="C60" i="27"/>
  <c r="B60" i="27" s="1"/>
  <c r="C100" i="27"/>
  <c r="B100" i="27" s="1"/>
  <c r="C111" i="27"/>
  <c r="B111" i="27" s="1"/>
  <c r="C81" i="27"/>
  <c r="B81" i="27" s="1"/>
  <c r="C98" i="27"/>
  <c r="B98" i="27" s="1"/>
  <c r="C110" i="27"/>
  <c r="B110" i="27" s="1"/>
  <c r="C79" i="27"/>
  <c r="B79" i="27" s="1"/>
  <c r="C57" i="27"/>
  <c r="B57" i="27" s="1"/>
  <c r="C28" i="27"/>
  <c r="B28" i="27" s="1"/>
  <c r="C34" i="27"/>
  <c r="B34" i="27" s="1"/>
  <c r="C56" i="27"/>
  <c r="B56" i="27" s="1"/>
  <c r="C16" i="27"/>
  <c r="B16" i="27" s="1"/>
  <c r="C7" i="27"/>
  <c r="B7" i="27" s="1"/>
  <c r="C77" i="27"/>
  <c r="B77" i="27" s="1"/>
  <c r="C59" i="27"/>
  <c r="B59" i="27" s="1"/>
  <c r="C14" i="27"/>
  <c r="B14" i="27" s="1"/>
  <c r="C113" i="27"/>
  <c r="B113" i="27" s="1"/>
  <c r="C94" i="27"/>
  <c r="B94" i="27" s="1"/>
  <c r="C19" i="27"/>
  <c r="B19" i="27" s="1"/>
  <c r="C4" i="27"/>
  <c r="C63" i="27"/>
  <c r="B63" i="27" s="1"/>
  <c r="C17" i="27"/>
  <c r="B17" i="27" s="1"/>
  <c r="C107" i="27"/>
  <c r="B107" i="27" s="1"/>
  <c r="C38" i="27"/>
  <c r="B38" i="27" s="1"/>
  <c r="C12" i="27"/>
  <c r="B12" i="27" s="1"/>
  <c r="C75" i="27"/>
  <c r="B75" i="27" s="1"/>
  <c r="C6" i="27"/>
  <c r="B6" i="27" s="1"/>
  <c r="C51" i="27"/>
  <c r="B51" i="27" s="1"/>
  <c r="C53" i="27"/>
  <c r="B53" i="27" s="1"/>
  <c r="C39" i="27"/>
  <c r="B39" i="27" s="1"/>
  <c r="C22" i="27"/>
  <c r="B22" i="27" s="1"/>
  <c r="C55" i="27"/>
  <c r="B55" i="27" s="1"/>
  <c r="C66" i="27"/>
  <c r="B66" i="27" s="1"/>
  <c r="C30" i="27"/>
  <c r="B30" i="27" s="1"/>
  <c r="C9" i="27"/>
  <c r="B9" i="27" s="1"/>
  <c r="C96" i="27"/>
  <c r="B96" i="27" s="1"/>
  <c r="C26" i="27"/>
  <c r="B26" i="27" s="1"/>
  <c r="C45" i="27"/>
  <c r="B45" i="27" s="1"/>
  <c r="C114" i="27"/>
  <c r="B114" i="27" s="1"/>
  <c r="C52" i="27"/>
  <c r="B52" i="27" s="1"/>
  <c r="C13" i="27"/>
  <c r="B13" i="27" s="1"/>
  <c r="C29" i="27"/>
  <c r="B29" i="27" s="1"/>
  <c r="C20" i="27"/>
  <c r="B20" i="27" s="1"/>
  <c r="C31" i="27"/>
  <c r="B31" i="27" s="1"/>
  <c r="B4" i="27" l="1"/>
  <c r="C126" i="27"/>
  <c r="B126" i="27" s="1"/>
  <c r="B127" i="27"/>
  <c r="H11" i="18"/>
  <c r="N19" i="17"/>
  <c r="F29" i="17"/>
  <c r="N29" i="17"/>
  <c r="F28" i="17"/>
  <c r="N28" i="17"/>
  <c r="F27" i="17"/>
  <c r="N27" i="17"/>
  <c r="F26" i="17"/>
  <c r="N26" i="17"/>
  <c r="F25" i="17"/>
  <c r="N25" i="17"/>
  <c r="N24" i="17"/>
  <c r="C25" i="8"/>
  <c r="C26" i="8"/>
  <c r="C27" i="8"/>
  <c r="C28" i="8"/>
  <c r="C29" i="8"/>
  <c r="C24" i="8"/>
  <c r="B129" i="27" l="1"/>
  <c r="B131" i="27"/>
  <c r="H24" i="17"/>
  <c r="H25" i="17" s="1"/>
  <c r="K25" i="17" s="1"/>
  <c r="L25" i="17" s="1"/>
  <c r="K24" i="17"/>
  <c r="J25" i="17" l="1"/>
  <c r="H26" i="17"/>
  <c r="J26" i="17" s="1"/>
  <c r="M25" i="17"/>
  <c r="H27" i="17" l="1"/>
  <c r="K27" i="17" s="1"/>
  <c r="K26" i="17"/>
  <c r="M26" i="17" s="1"/>
  <c r="J27" i="17" l="1"/>
  <c r="L26" i="17"/>
  <c r="H28" i="17"/>
  <c r="K28" i="17" s="1"/>
  <c r="H29" i="17"/>
  <c r="L27" i="17"/>
  <c r="M27" i="17"/>
  <c r="J28" i="17" l="1"/>
  <c r="M28" i="17"/>
  <c r="L28" i="17"/>
  <c r="K29" i="17"/>
  <c r="J29" i="17"/>
  <c r="L29" i="17" l="1"/>
  <c r="M29" i="17"/>
  <c r="D7" i="8" l="1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6" i="8"/>
  <c r="H30" i="8"/>
  <c r="H21" i="8"/>
  <c r="H22" i="8"/>
  <c r="H23" i="8"/>
  <c r="H20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6" i="8"/>
  <c r="M17" i="8"/>
  <c r="C17" i="8" s="1"/>
  <c r="M18" i="8"/>
  <c r="C18" i="8" s="1"/>
  <c r="M19" i="8"/>
  <c r="C19" i="8" s="1"/>
  <c r="M20" i="8"/>
  <c r="M21" i="8"/>
  <c r="C21" i="8" s="1"/>
  <c r="M22" i="8"/>
  <c r="C22" i="8" s="1"/>
  <c r="M23" i="8"/>
  <c r="C23" i="8" s="1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S49" i="26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S84" i="26" s="1"/>
  <c r="S85" i="26" s="1"/>
  <c r="S86" i="26" s="1"/>
  <c r="S87" i="26" s="1"/>
  <c r="S88" i="26" s="1"/>
  <c r="S89" i="26" s="1"/>
  <c r="S90" i="26" s="1"/>
  <c r="S91" i="26" s="1"/>
  <c r="S92" i="26" s="1"/>
  <c r="S93" i="26" s="1"/>
  <c r="S94" i="26" s="1"/>
  <c r="S95" i="26" s="1"/>
  <c r="S96" i="26" s="1"/>
  <c r="S97" i="26" s="1"/>
  <c r="S98" i="26" s="1"/>
  <c r="S99" i="26" s="1"/>
  <c r="S100" i="26" s="1"/>
  <c r="S101" i="26" s="1"/>
  <c r="S102" i="26" s="1"/>
  <c r="S103" i="26" s="1"/>
  <c r="S104" i="26" s="1"/>
  <c r="S105" i="26" s="1"/>
  <c r="S106" i="26" s="1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112" i="26"/>
  <c r="B113" i="26"/>
  <c r="B114" i="26"/>
  <c r="C20" i="8" l="1"/>
  <c r="I4" i="30"/>
  <c r="G5" i="30"/>
  <c r="C6" i="30"/>
  <c r="K6" i="30"/>
  <c r="G7" i="30"/>
  <c r="C8" i="30"/>
  <c r="K8" i="30"/>
  <c r="G9" i="30"/>
  <c r="C10" i="30"/>
  <c r="K10" i="30"/>
  <c r="G11" i="30"/>
  <c r="C12" i="30"/>
  <c r="K12" i="30"/>
  <c r="G13" i="30"/>
  <c r="C14" i="30"/>
  <c r="K14" i="30"/>
  <c r="G15" i="30"/>
  <c r="C16" i="30"/>
  <c r="K16" i="30"/>
  <c r="G17" i="30"/>
  <c r="C18" i="30"/>
  <c r="K18" i="30"/>
  <c r="G19" i="30"/>
  <c r="C20" i="30"/>
  <c r="K20" i="30"/>
  <c r="G21" i="30"/>
  <c r="C22" i="30"/>
  <c r="K22" i="30"/>
  <c r="G23" i="30"/>
  <c r="C24" i="30"/>
  <c r="K24" i="30"/>
  <c r="G25" i="30"/>
  <c r="C26" i="30"/>
  <c r="K26" i="30"/>
  <c r="G27" i="30"/>
  <c r="C28" i="30"/>
  <c r="K28" i="30"/>
  <c r="G29" i="30"/>
  <c r="C30" i="30"/>
  <c r="K30" i="30"/>
  <c r="G31" i="30"/>
  <c r="C32" i="30"/>
  <c r="K32" i="30"/>
  <c r="G33" i="30"/>
  <c r="C34" i="30"/>
  <c r="K34" i="30"/>
  <c r="G35" i="30"/>
  <c r="C36" i="30"/>
  <c r="K36" i="30"/>
  <c r="G37" i="30"/>
  <c r="C38" i="30"/>
  <c r="K38" i="30"/>
  <c r="G39" i="30"/>
  <c r="C40" i="30"/>
  <c r="K40" i="30"/>
  <c r="G41" i="30"/>
  <c r="C42" i="30"/>
  <c r="K42" i="30"/>
  <c r="G43" i="30"/>
  <c r="C44" i="30"/>
  <c r="K44" i="30"/>
  <c r="G45" i="30"/>
  <c r="C46" i="30"/>
  <c r="K46" i="30"/>
  <c r="G47" i="30"/>
  <c r="C48" i="30"/>
  <c r="K48" i="30"/>
  <c r="G49" i="30"/>
  <c r="C50" i="30"/>
  <c r="K50" i="30"/>
  <c r="G51" i="30"/>
  <c r="C52" i="30"/>
  <c r="K52" i="30"/>
  <c r="G53" i="30"/>
  <c r="C54" i="30"/>
  <c r="K54" i="30"/>
  <c r="G55" i="30"/>
  <c r="C56" i="30"/>
  <c r="K56" i="30"/>
  <c r="G57" i="30"/>
  <c r="C58" i="30"/>
  <c r="K58" i="30"/>
  <c r="G59" i="30"/>
  <c r="C60" i="30"/>
  <c r="K60" i="30"/>
  <c r="H5" i="30"/>
  <c r="D6" i="30"/>
  <c r="L6" i="30"/>
  <c r="H7" i="30"/>
  <c r="D8" i="30"/>
  <c r="L8" i="30"/>
  <c r="H9" i="30"/>
  <c r="D10" i="30"/>
  <c r="L10" i="30"/>
  <c r="H11" i="30"/>
  <c r="D12" i="30"/>
  <c r="L12" i="30"/>
  <c r="H13" i="30"/>
  <c r="D14" i="30"/>
  <c r="L14" i="30"/>
  <c r="H15" i="30"/>
  <c r="D16" i="30"/>
  <c r="L16" i="30"/>
  <c r="H17" i="30"/>
  <c r="I5" i="30"/>
  <c r="E6" i="30"/>
  <c r="M6" i="30"/>
  <c r="I7" i="30"/>
  <c r="E8" i="30"/>
  <c r="M8" i="30"/>
  <c r="I9" i="30"/>
  <c r="E10" i="30"/>
  <c r="M10" i="30"/>
  <c r="I11" i="30"/>
  <c r="E12" i="30"/>
  <c r="M12" i="30"/>
  <c r="I13" i="30"/>
  <c r="E14" i="30"/>
  <c r="M14" i="30"/>
  <c r="I15" i="30"/>
  <c r="E16" i="30"/>
  <c r="M16" i="30"/>
  <c r="I17" i="30"/>
  <c r="E18" i="30"/>
  <c r="M18" i="30"/>
  <c r="I19" i="30"/>
  <c r="E20" i="30"/>
  <c r="M20" i="30"/>
  <c r="I21" i="30"/>
  <c r="E22" i="30"/>
  <c r="M22" i="30"/>
  <c r="J5" i="30"/>
  <c r="F6" i="30"/>
  <c r="N6" i="30"/>
  <c r="J7" i="30"/>
  <c r="F8" i="30"/>
  <c r="N8" i="30"/>
  <c r="J9" i="30"/>
  <c r="F10" i="30"/>
  <c r="N10" i="30"/>
  <c r="J11" i="30"/>
  <c r="F12" i="30"/>
  <c r="N12" i="30"/>
  <c r="J13" i="30"/>
  <c r="F14" i="30"/>
  <c r="N14" i="30"/>
  <c r="J15" i="30"/>
  <c r="F16" i="30"/>
  <c r="N16" i="30"/>
  <c r="J17" i="30"/>
  <c r="F18" i="30"/>
  <c r="N18" i="30"/>
  <c r="J19" i="30"/>
  <c r="F20" i="30"/>
  <c r="N20" i="30"/>
  <c r="J21" i="30"/>
  <c r="F22" i="30"/>
  <c r="N22" i="30"/>
  <c r="J23" i="30"/>
  <c r="F24" i="30"/>
  <c r="N24" i="30"/>
  <c r="J25" i="30"/>
  <c r="F26" i="30"/>
  <c r="N26" i="30"/>
  <c r="J27" i="30"/>
  <c r="F28" i="30"/>
  <c r="N28" i="30"/>
  <c r="J29" i="30"/>
  <c r="F30" i="30"/>
  <c r="N30" i="30"/>
  <c r="J31" i="30"/>
  <c r="F32" i="30"/>
  <c r="N32" i="30"/>
  <c r="J33" i="30"/>
  <c r="F34" i="30"/>
  <c r="N34" i="30"/>
  <c r="J35" i="30"/>
  <c r="F36" i="30"/>
  <c r="N36" i="30"/>
  <c r="J37" i="30"/>
  <c r="F38" i="30"/>
  <c r="N38" i="30"/>
  <c r="J39" i="30"/>
  <c r="F40" i="30"/>
  <c r="N40" i="30"/>
  <c r="J41" i="30"/>
  <c r="F42" i="30"/>
  <c r="N42" i="30"/>
  <c r="J43" i="30"/>
  <c r="F44" i="30"/>
  <c r="N44" i="30"/>
  <c r="J45" i="30"/>
  <c r="F46" i="30"/>
  <c r="N46" i="30"/>
  <c r="J47" i="30"/>
  <c r="F48" i="30"/>
  <c r="N48" i="30"/>
  <c r="J49" i="30"/>
  <c r="F50" i="30"/>
  <c r="N50" i="30"/>
  <c r="J51" i="30"/>
  <c r="F52" i="30"/>
  <c r="N52" i="30"/>
  <c r="J53" i="30"/>
  <c r="F54" i="30"/>
  <c r="N54" i="30"/>
  <c r="J55" i="30"/>
  <c r="F56" i="30"/>
  <c r="N56" i="30"/>
  <c r="J57" i="30"/>
  <c r="F58" i="30"/>
  <c r="N58" i="30"/>
  <c r="J59" i="30"/>
  <c r="F60" i="30"/>
  <c r="N60" i="30"/>
  <c r="C5" i="30"/>
  <c r="E5" i="30"/>
  <c r="M5" i="30"/>
  <c r="I6" i="30"/>
  <c r="E7" i="30"/>
  <c r="M7" i="30"/>
  <c r="I8" i="30"/>
  <c r="E9" i="30"/>
  <c r="M9" i="30"/>
  <c r="I10" i="30"/>
  <c r="E11" i="30"/>
  <c r="M11" i="30"/>
  <c r="I12" i="30"/>
  <c r="E13" i="30"/>
  <c r="M13" i="30"/>
  <c r="I14" i="30"/>
  <c r="E15" i="30"/>
  <c r="M15" i="30"/>
  <c r="I16" i="30"/>
  <c r="E17" i="30"/>
  <c r="M17" i="30"/>
  <c r="I18" i="30"/>
  <c r="E19" i="30"/>
  <c r="M19" i="30"/>
  <c r="I20" i="30"/>
  <c r="E21" i="30"/>
  <c r="M21" i="30"/>
  <c r="I22" i="30"/>
  <c r="E23" i="30"/>
  <c r="M23" i="30"/>
  <c r="I24" i="30"/>
  <c r="E25" i="30"/>
  <c r="M25" i="30"/>
  <c r="I26" i="30"/>
  <c r="E27" i="30"/>
  <c r="M27" i="30"/>
  <c r="I28" i="30"/>
  <c r="E29" i="30"/>
  <c r="M29" i="30"/>
  <c r="I30" i="30"/>
  <c r="E31" i="30"/>
  <c r="M31" i="30"/>
  <c r="I32" i="30"/>
  <c r="E33" i="30"/>
  <c r="M33" i="30"/>
  <c r="I34" i="30"/>
  <c r="E35" i="30"/>
  <c r="M35" i="30"/>
  <c r="I36" i="30"/>
  <c r="E37" i="30"/>
  <c r="M37" i="30"/>
  <c r="I38" i="30"/>
  <c r="E39" i="30"/>
  <c r="M39" i="30"/>
  <c r="I40" i="30"/>
  <c r="E41" i="30"/>
  <c r="M41" i="30"/>
  <c r="I42" i="30"/>
  <c r="E43" i="30"/>
  <c r="M43" i="30"/>
  <c r="I44" i="30"/>
  <c r="E45" i="30"/>
  <c r="M45" i="30"/>
  <c r="I46" i="30"/>
  <c r="E47" i="30"/>
  <c r="M47" i="30"/>
  <c r="I48" i="30"/>
  <c r="E49" i="30"/>
  <c r="M49" i="30"/>
  <c r="I50" i="30"/>
  <c r="E51" i="30"/>
  <c r="M51" i="30"/>
  <c r="I52" i="30"/>
  <c r="E53" i="30"/>
  <c r="M53" i="30"/>
  <c r="I54" i="30"/>
  <c r="E55" i="30"/>
  <c r="M55" i="30"/>
  <c r="I56" i="30"/>
  <c r="E57" i="30"/>
  <c r="M57" i="30"/>
  <c r="I58" i="30"/>
  <c r="E59" i="30"/>
  <c r="M59" i="30"/>
  <c r="I60" i="30"/>
  <c r="F5" i="30"/>
  <c r="N5" i="30"/>
  <c r="J6" i="30"/>
  <c r="F7" i="30"/>
  <c r="N7" i="30"/>
  <c r="J8" i="30"/>
  <c r="F9" i="30"/>
  <c r="N9" i="30"/>
  <c r="J10" i="30"/>
  <c r="F11" i="30"/>
  <c r="D5" i="30"/>
  <c r="L7" i="30"/>
  <c r="H10" i="30"/>
  <c r="J12" i="30"/>
  <c r="H14" i="30"/>
  <c r="G16" i="30"/>
  <c r="N17" i="30"/>
  <c r="F19" i="30"/>
  <c r="J20" i="30"/>
  <c r="N21" i="30"/>
  <c r="F23" i="30"/>
  <c r="G24" i="30"/>
  <c r="H25" i="30"/>
  <c r="H26" i="30"/>
  <c r="I27" i="30"/>
  <c r="J28" i="30"/>
  <c r="K29" i="30"/>
  <c r="L30" i="30"/>
  <c r="L31" i="30"/>
  <c r="M32" i="30"/>
  <c r="N33" i="30"/>
  <c r="C35" i="30"/>
  <c r="D36" i="30"/>
  <c r="D37" i="30"/>
  <c r="E38" i="30"/>
  <c r="F39" i="30"/>
  <c r="G40" i="30"/>
  <c r="H41" i="30"/>
  <c r="H42" i="30"/>
  <c r="I43" i="30"/>
  <c r="J44" i="30"/>
  <c r="K45" i="30"/>
  <c r="L46" i="30"/>
  <c r="L47" i="30"/>
  <c r="M48" i="30"/>
  <c r="N49" i="30"/>
  <c r="C51" i="30"/>
  <c r="D52" i="30"/>
  <c r="D53" i="30"/>
  <c r="E54" i="30"/>
  <c r="F55" i="30"/>
  <c r="G56" i="30"/>
  <c r="H57" i="30"/>
  <c r="H58" i="30"/>
  <c r="I59" i="30"/>
  <c r="J60" i="30"/>
  <c r="H61" i="30"/>
  <c r="D62" i="30"/>
  <c r="L62" i="30"/>
  <c r="H63" i="30"/>
  <c r="D64" i="30"/>
  <c r="L64" i="30"/>
  <c r="H65" i="30"/>
  <c r="D66" i="30"/>
  <c r="K5" i="30"/>
  <c r="G8" i="30"/>
  <c r="C11" i="30"/>
  <c r="C13" i="30"/>
  <c r="J14" i="30"/>
  <c r="H16" i="30"/>
  <c r="D18" i="30"/>
  <c r="H19" i="30"/>
  <c r="L20" i="30"/>
  <c r="D22" i="30"/>
  <c r="H23" i="30"/>
  <c r="H24" i="30"/>
  <c r="I25" i="30"/>
  <c r="J26" i="30"/>
  <c r="K27" i="30"/>
  <c r="L28" i="30"/>
  <c r="L29" i="30"/>
  <c r="M30" i="30"/>
  <c r="N31" i="30"/>
  <c r="C33" i="30"/>
  <c r="D34" i="30"/>
  <c r="D35" i="30"/>
  <c r="E36" i="30"/>
  <c r="F37" i="30"/>
  <c r="G38" i="30"/>
  <c r="H39" i="30"/>
  <c r="H40" i="30"/>
  <c r="I41" i="30"/>
  <c r="J42" i="30"/>
  <c r="K43" i="30"/>
  <c r="L44" i="30"/>
  <c r="L45" i="30"/>
  <c r="M46" i="30"/>
  <c r="N47" i="30"/>
  <c r="C49" i="30"/>
  <c r="D50" i="30"/>
  <c r="D51" i="30"/>
  <c r="E52" i="30"/>
  <c r="F53" i="30"/>
  <c r="G54" i="30"/>
  <c r="H55" i="30"/>
  <c r="H56" i="30"/>
  <c r="I57" i="30"/>
  <c r="J58" i="30"/>
  <c r="K59" i="30"/>
  <c r="L60" i="30"/>
  <c r="I61" i="30"/>
  <c r="E62" i="30"/>
  <c r="M62" i="30"/>
  <c r="I63" i="30"/>
  <c r="E64" i="30"/>
  <c r="M64" i="30"/>
  <c r="I65" i="30"/>
  <c r="E66" i="30"/>
  <c r="M66" i="30"/>
  <c r="I67" i="30"/>
  <c r="E68" i="30"/>
  <c r="M68" i="30"/>
  <c r="I69" i="30"/>
  <c r="E70" i="30"/>
  <c r="M70" i="30"/>
  <c r="I71" i="30"/>
  <c r="E72" i="30"/>
  <c r="M72" i="30"/>
  <c r="I73" i="30"/>
  <c r="E74" i="30"/>
  <c r="M74" i="30"/>
  <c r="I75" i="30"/>
  <c r="E76" i="30"/>
  <c r="M76" i="30"/>
  <c r="I77" i="30"/>
  <c r="E78" i="30"/>
  <c r="M78" i="30"/>
  <c r="I79" i="30"/>
  <c r="E80" i="30"/>
  <c r="L5" i="30"/>
  <c r="H8" i="30"/>
  <c r="D11" i="30"/>
  <c r="D13" i="30"/>
  <c r="C15" i="30"/>
  <c r="J16" i="30"/>
  <c r="G18" i="30"/>
  <c r="K19" i="30"/>
  <c r="C21" i="30"/>
  <c r="G22" i="30"/>
  <c r="I23" i="30"/>
  <c r="J24" i="30"/>
  <c r="K25" i="30"/>
  <c r="L26" i="30"/>
  <c r="L27" i="30"/>
  <c r="M28" i="30"/>
  <c r="N29" i="30"/>
  <c r="C31" i="30"/>
  <c r="D32" i="30"/>
  <c r="D33" i="30"/>
  <c r="E34" i="30"/>
  <c r="F35" i="30"/>
  <c r="G36" i="30"/>
  <c r="H37" i="30"/>
  <c r="H38" i="30"/>
  <c r="I39" i="30"/>
  <c r="J40" i="30"/>
  <c r="K41" i="30"/>
  <c r="L42" i="30"/>
  <c r="L43" i="30"/>
  <c r="M44" i="30"/>
  <c r="N45" i="30"/>
  <c r="C47" i="30"/>
  <c r="D48" i="30"/>
  <c r="D49" i="30"/>
  <c r="E50" i="30"/>
  <c r="F51" i="30"/>
  <c r="G52" i="30"/>
  <c r="H53" i="30"/>
  <c r="H54" i="30"/>
  <c r="I55" i="30"/>
  <c r="J56" i="30"/>
  <c r="K57" i="30"/>
  <c r="L58" i="30"/>
  <c r="L59" i="30"/>
  <c r="M60" i="30"/>
  <c r="J61" i="30"/>
  <c r="F62" i="30"/>
  <c r="N62" i="30"/>
  <c r="J63" i="30"/>
  <c r="F64" i="30"/>
  <c r="N64" i="30"/>
  <c r="J65" i="30"/>
  <c r="F66" i="30"/>
  <c r="N66" i="30"/>
  <c r="J67" i="30"/>
  <c r="F68" i="30"/>
  <c r="N68" i="30"/>
  <c r="J69" i="30"/>
  <c r="F70" i="30"/>
  <c r="N70" i="30"/>
  <c r="J71" i="30"/>
  <c r="F72" i="30"/>
  <c r="N72" i="30"/>
  <c r="J73" i="30"/>
  <c r="F74" i="30"/>
  <c r="N74" i="30"/>
  <c r="J75" i="30"/>
  <c r="F76" i="30"/>
  <c r="N76" i="30"/>
  <c r="J77" i="30"/>
  <c r="F78" i="30"/>
  <c r="N78" i="30"/>
  <c r="J79" i="30"/>
  <c r="F80" i="30"/>
  <c r="N80" i="30"/>
  <c r="J81" i="30"/>
  <c r="F82" i="30"/>
  <c r="N82" i="30"/>
  <c r="J83" i="30"/>
  <c r="F84" i="30"/>
  <c r="N84" i="30"/>
  <c r="J85" i="30"/>
  <c r="F86" i="30"/>
  <c r="N86" i="30"/>
  <c r="G6" i="30"/>
  <c r="C9" i="30"/>
  <c r="K11" i="30"/>
  <c r="F13" i="30"/>
  <c r="D15" i="30"/>
  <c r="C17" i="30"/>
  <c r="H18" i="30"/>
  <c r="L19" i="30"/>
  <c r="D21" i="30"/>
  <c r="H22" i="30"/>
  <c r="K23" i="30"/>
  <c r="L24" i="30"/>
  <c r="L25" i="30"/>
  <c r="M26" i="30"/>
  <c r="N27" i="30"/>
  <c r="C29" i="30"/>
  <c r="D30" i="30"/>
  <c r="D31" i="30"/>
  <c r="E32" i="30"/>
  <c r="F33" i="30"/>
  <c r="G34" i="30"/>
  <c r="H35" i="30"/>
  <c r="H36" i="30"/>
  <c r="I37" i="30"/>
  <c r="J38" i="30"/>
  <c r="K39" i="30"/>
  <c r="L40" i="30"/>
  <c r="L41" i="30"/>
  <c r="M42" i="30"/>
  <c r="N43" i="30"/>
  <c r="C45" i="30"/>
  <c r="D46" i="30"/>
  <c r="D47" i="30"/>
  <c r="E48" i="30"/>
  <c r="F49" i="30"/>
  <c r="G50" i="30"/>
  <c r="H51" i="30"/>
  <c r="H6" i="30"/>
  <c r="D9" i="30"/>
  <c r="L11" i="30"/>
  <c r="K13" i="30"/>
  <c r="F15" i="30"/>
  <c r="D17" i="30"/>
  <c r="J18" i="30"/>
  <c r="N19" i="30"/>
  <c r="F21" i="30"/>
  <c r="J22" i="30"/>
  <c r="L23" i="30"/>
  <c r="M24" i="30"/>
  <c r="N25" i="30"/>
  <c r="C27" i="30"/>
  <c r="D28" i="30"/>
  <c r="D29" i="30"/>
  <c r="E30" i="30"/>
  <c r="F31" i="30"/>
  <c r="G32" i="30"/>
  <c r="H33" i="30"/>
  <c r="H34" i="30"/>
  <c r="I35" i="30"/>
  <c r="J36" i="30"/>
  <c r="K37" i="30"/>
  <c r="L38" i="30"/>
  <c r="L39" i="30"/>
  <c r="M40" i="30"/>
  <c r="N41" i="30"/>
  <c r="C43" i="30"/>
  <c r="D44" i="30"/>
  <c r="D45" i="30"/>
  <c r="E46" i="30"/>
  <c r="F47" i="30"/>
  <c r="G48" i="30"/>
  <c r="H49" i="30"/>
  <c r="H50" i="30"/>
  <c r="I51" i="30"/>
  <c r="J52" i="30"/>
  <c r="K53" i="30"/>
  <c r="L54" i="30"/>
  <c r="L55" i="30"/>
  <c r="M56" i="30"/>
  <c r="N57" i="30"/>
  <c r="C59" i="30"/>
  <c r="D60" i="30"/>
  <c r="D61" i="30"/>
  <c r="L61" i="30"/>
  <c r="H62" i="30"/>
  <c r="D63" i="30"/>
  <c r="L63" i="30"/>
  <c r="H64" i="30"/>
  <c r="D65" i="30"/>
  <c r="L65" i="30"/>
  <c r="H66" i="30"/>
  <c r="D67" i="30"/>
  <c r="L67" i="30"/>
  <c r="H68" i="30"/>
  <c r="D69" i="30"/>
  <c r="L69" i="30"/>
  <c r="H70" i="30"/>
  <c r="D71" i="30"/>
  <c r="L71" i="30"/>
  <c r="H72" i="30"/>
  <c r="D73" i="30"/>
  <c r="L73" i="30"/>
  <c r="H74" i="30"/>
  <c r="D75" i="30"/>
  <c r="L75" i="30"/>
  <c r="H76" i="30"/>
  <c r="D77" i="30"/>
  <c r="L77" i="30"/>
  <c r="H78" i="30"/>
  <c r="D79" i="30"/>
  <c r="L79" i="30"/>
  <c r="H80" i="30"/>
  <c r="D81" i="30"/>
  <c r="L81" i="30"/>
  <c r="H82" i="30"/>
  <c r="D83" i="30"/>
  <c r="L83" i="30"/>
  <c r="H84" i="30"/>
  <c r="D85" i="30"/>
  <c r="L85" i="30"/>
  <c r="C7" i="30"/>
  <c r="K9" i="30"/>
  <c r="N11" i="30"/>
  <c r="L13" i="30"/>
  <c r="K15" i="30"/>
  <c r="F17" i="30"/>
  <c r="L18" i="30"/>
  <c r="D20" i="30"/>
  <c r="H21" i="30"/>
  <c r="L22" i="30"/>
  <c r="N23" i="30"/>
  <c r="C25" i="30"/>
  <c r="D26" i="30"/>
  <c r="D27" i="30"/>
  <c r="E28" i="30"/>
  <c r="F29" i="30"/>
  <c r="G30" i="30"/>
  <c r="H31" i="30"/>
  <c r="H32" i="30"/>
  <c r="I33" i="30"/>
  <c r="J34" i="30"/>
  <c r="K35" i="30"/>
  <c r="L36" i="30"/>
  <c r="L37" i="30"/>
  <c r="M38" i="30"/>
  <c r="N39" i="30"/>
  <c r="C41" i="30"/>
  <c r="D42" i="30"/>
  <c r="D43" i="30"/>
  <c r="E44" i="30"/>
  <c r="F45" i="30"/>
  <c r="G46" i="30"/>
  <c r="H47" i="30"/>
  <c r="H48" i="30"/>
  <c r="I49" i="30"/>
  <c r="J50" i="30"/>
  <c r="K51" i="30"/>
  <c r="L52" i="30"/>
  <c r="L53" i="30"/>
  <c r="M54" i="30"/>
  <c r="N55" i="30"/>
  <c r="C57" i="30"/>
  <c r="D58" i="30"/>
  <c r="D59" i="30"/>
  <c r="E60" i="30"/>
  <c r="E61" i="30"/>
  <c r="M61" i="30"/>
  <c r="I62" i="30"/>
  <c r="E63" i="30"/>
  <c r="M63" i="30"/>
  <c r="I64" i="30"/>
  <c r="E65" i="30"/>
  <c r="M65" i="30"/>
  <c r="D7" i="30"/>
  <c r="L9" i="30"/>
  <c r="G12" i="30"/>
  <c r="N13" i="30"/>
  <c r="L15" i="30"/>
  <c r="K17" i="30"/>
  <c r="C19" i="30"/>
  <c r="G20" i="30"/>
  <c r="K21" i="30"/>
  <c r="C23" i="30"/>
  <c r="D24" i="30"/>
  <c r="D25" i="30"/>
  <c r="E26" i="30"/>
  <c r="F27" i="30"/>
  <c r="G28" i="30"/>
  <c r="H29" i="30"/>
  <c r="H30" i="30"/>
  <c r="I31" i="30"/>
  <c r="J32" i="30"/>
  <c r="K33" i="30"/>
  <c r="L34" i="30"/>
  <c r="L35" i="30"/>
  <c r="M36" i="30"/>
  <c r="N37" i="30"/>
  <c r="C39" i="30"/>
  <c r="D40" i="30"/>
  <c r="D41" i="30"/>
  <c r="E42" i="30"/>
  <c r="F43" i="30"/>
  <c r="G44" i="30"/>
  <c r="H45" i="30"/>
  <c r="H46" i="30"/>
  <c r="I47" i="30"/>
  <c r="J48" i="30"/>
  <c r="K49" i="30"/>
  <c r="L50" i="30"/>
  <c r="L51" i="30"/>
  <c r="M52" i="30"/>
  <c r="N53" i="30"/>
  <c r="C55" i="30"/>
  <c r="D56" i="30"/>
  <c r="D57" i="30"/>
  <c r="E58" i="30"/>
  <c r="F59" i="30"/>
  <c r="G60" i="30"/>
  <c r="F61" i="30"/>
  <c r="N61" i="30"/>
  <c r="J62" i="30"/>
  <c r="F63" i="30"/>
  <c r="N63" i="30"/>
  <c r="J64" i="30"/>
  <c r="F65" i="30"/>
  <c r="N65" i="30"/>
  <c r="J66" i="30"/>
  <c r="F67" i="30"/>
  <c r="N67" i="30"/>
  <c r="J68" i="30"/>
  <c r="F69" i="30"/>
  <c r="N69" i="30"/>
  <c r="J70" i="30"/>
  <c r="F71" i="30"/>
  <c r="N71" i="30"/>
  <c r="J72" i="30"/>
  <c r="F73" i="30"/>
  <c r="N73" i="30"/>
  <c r="J74" i="30"/>
  <c r="F75" i="30"/>
  <c r="N75" i="30"/>
  <c r="J76" i="30"/>
  <c r="F77" i="30"/>
  <c r="N77" i="30"/>
  <c r="J78" i="30"/>
  <c r="F79" i="30"/>
  <c r="N79" i="30"/>
  <c r="J80" i="30"/>
  <c r="F81" i="30"/>
  <c r="N81" i="30"/>
  <c r="K7" i="30"/>
  <c r="L21" i="30"/>
  <c r="J30" i="30"/>
  <c r="D39" i="30"/>
  <c r="K47" i="30"/>
  <c r="D54" i="30"/>
  <c r="G58" i="30"/>
  <c r="C62" i="30"/>
  <c r="K64" i="30"/>
  <c r="L66" i="30"/>
  <c r="D68" i="30"/>
  <c r="H69" i="30"/>
  <c r="L70" i="30"/>
  <c r="D72" i="30"/>
  <c r="H73" i="30"/>
  <c r="L74" i="30"/>
  <c r="D76" i="30"/>
  <c r="H77" i="30"/>
  <c r="L78" i="30"/>
  <c r="D80" i="30"/>
  <c r="G81" i="30"/>
  <c r="G82" i="30"/>
  <c r="F83" i="30"/>
  <c r="D84" i="30"/>
  <c r="C85" i="30"/>
  <c r="N85" i="30"/>
  <c r="K86" i="30"/>
  <c r="H87" i="30"/>
  <c r="D88" i="30"/>
  <c r="L88" i="30"/>
  <c r="H89" i="30"/>
  <c r="D90" i="30"/>
  <c r="L90" i="30"/>
  <c r="H91" i="30"/>
  <c r="D92" i="30"/>
  <c r="L92" i="30"/>
  <c r="H93" i="30"/>
  <c r="D94" i="30"/>
  <c r="L94" i="30"/>
  <c r="H95" i="30"/>
  <c r="D96" i="30"/>
  <c r="L96" i="30"/>
  <c r="H97" i="30"/>
  <c r="D98" i="30"/>
  <c r="L98" i="30"/>
  <c r="H99" i="30"/>
  <c r="D100" i="30"/>
  <c r="L100" i="30"/>
  <c r="H101" i="30"/>
  <c r="D102" i="30"/>
  <c r="L102" i="30"/>
  <c r="H103" i="30"/>
  <c r="D104" i="30"/>
  <c r="L104" i="30"/>
  <c r="H105" i="30"/>
  <c r="D106" i="30"/>
  <c r="L106" i="30"/>
  <c r="H107" i="30"/>
  <c r="D108" i="30"/>
  <c r="L108" i="30"/>
  <c r="H109" i="30"/>
  <c r="D110" i="30"/>
  <c r="L110" i="30"/>
  <c r="H111" i="30"/>
  <c r="D112" i="30"/>
  <c r="L112" i="30"/>
  <c r="H113" i="30"/>
  <c r="D114" i="30"/>
  <c r="L114" i="30"/>
  <c r="H4" i="30"/>
  <c r="I29" i="30"/>
  <c r="K70" i="30"/>
  <c r="G77" i="30"/>
  <c r="E83" i="30"/>
  <c r="K88" i="30"/>
  <c r="K92" i="30"/>
  <c r="K96" i="30"/>
  <c r="K100" i="30"/>
  <c r="G105" i="30"/>
  <c r="C110" i="30"/>
  <c r="G113" i="30"/>
  <c r="G10" i="30"/>
  <c r="D23" i="30"/>
  <c r="K31" i="30"/>
  <c r="E40" i="30"/>
  <c r="L48" i="30"/>
  <c r="J54" i="30"/>
  <c r="M58" i="30"/>
  <c r="G62" i="30"/>
  <c r="C65" i="30"/>
  <c r="C67" i="30"/>
  <c r="G68" i="30"/>
  <c r="K69" i="30"/>
  <c r="C71" i="30"/>
  <c r="G72" i="30"/>
  <c r="K73" i="30"/>
  <c r="C75" i="30"/>
  <c r="G76" i="30"/>
  <c r="K77" i="30"/>
  <c r="C79" i="30"/>
  <c r="G80" i="30"/>
  <c r="H81" i="30"/>
  <c r="I82" i="30"/>
  <c r="G83" i="30"/>
  <c r="E84" i="30"/>
  <c r="E85" i="30"/>
  <c r="C86" i="30"/>
  <c r="L86" i="30"/>
  <c r="I87" i="30"/>
  <c r="E88" i="30"/>
  <c r="M88" i="30"/>
  <c r="I89" i="30"/>
  <c r="E90" i="30"/>
  <c r="M90" i="30"/>
  <c r="I91" i="30"/>
  <c r="E92" i="30"/>
  <c r="M92" i="30"/>
  <c r="I93" i="30"/>
  <c r="E94" i="30"/>
  <c r="M94" i="30"/>
  <c r="I95" i="30"/>
  <c r="E96" i="30"/>
  <c r="M96" i="30"/>
  <c r="I97" i="30"/>
  <c r="E98" i="30"/>
  <c r="M98" i="30"/>
  <c r="I99" i="30"/>
  <c r="E100" i="30"/>
  <c r="M100" i="30"/>
  <c r="I101" i="30"/>
  <c r="E102" i="30"/>
  <c r="M102" i="30"/>
  <c r="I103" i="30"/>
  <c r="E104" i="30"/>
  <c r="M104" i="30"/>
  <c r="I105" i="30"/>
  <c r="E106" i="30"/>
  <c r="M106" i="30"/>
  <c r="I107" i="30"/>
  <c r="E108" i="30"/>
  <c r="M108" i="30"/>
  <c r="I109" i="30"/>
  <c r="E110" i="30"/>
  <c r="M110" i="30"/>
  <c r="I111" i="30"/>
  <c r="E112" i="30"/>
  <c r="M112" i="30"/>
  <c r="I113" i="30"/>
  <c r="E114" i="30"/>
  <c r="M114" i="30"/>
  <c r="J4" i="30"/>
  <c r="K61" i="30"/>
  <c r="M84" i="30"/>
  <c r="G93" i="30"/>
  <c r="G99" i="30"/>
  <c r="C104" i="30"/>
  <c r="C108" i="30"/>
  <c r="K112" i="30"/>
  <c r="H12" i="30"/>
  <c r="E24" i="30"/>
  <c r="L32" i="30"/>
  <c r="F41" i="30"/>
  <c r="L49" i="30"/>
  <c r="D55" i="30"/>
  <c r="H59" i="30"/>
  <c r="K62" i="30"/>
  <c r="G65" i="30"/>
  <c r="E67" i="30"/>
  <c r="I68" i="30"/>
  <c r="M69" i="30"/>
  <c r="E71" i="30"/>
  <c r="I72" i="30"/>
  <c r="M73" i="30"/>
  <c r="E75" i="30"/>
  <c r="I76" i="30"/>
  <c r="M77" i="30"/>
  <c r="E79" i="30"/>
  <c r="I80" i="30"/>
  <c r="I81" i="30"/>
  <c r="J82" i="30"/>
  <c r="H83" i="30"/>
  <c r="G84" i="30"/>
  <c r="F85" i="30"/>
  <c r="D86" i="30"/>
  <c r="M86" i="30"/>
  <c r="J87" i="30"/>
  <c r="F88" i="30"/>
  <c r="N88" i="30"/>
  <c r="J89" i="30"/>
  <c r="F90" i="30"/>
  <c r="N90" i="30"/>
  <c r="J91" i="30"/>
  <c r="F92" i="30"/>
  <c r="N92" i="30"/>
  <c r="J93" i="30"/>
  <c r="F94" i="30"/>
  <c r="N94" i="30"/>
  <c r="J95" i="30"/>
  <c r="F96" i="30"/>
  <c r="N96" i="30"/>
  <c r="J97" i="30"/>
  <c r="F98" i="30"/>
  <c r="N98" i="30"/>
  <c r="J99" i="30"/>
  <c r="F100" i="30"/>
  <c r="N100" i="30"/>
  <c r="J101" i="30"/>
  <c r="F102" i="30"/>
  <c r="N102" i="30"/>
  <c r="J103" i="30"/>
  <c r="F104" i="30"/>
  <c r="N104" i="30"/>
  <c r="J105" i="30"/>
  <c r="F106" i="30"/>
  <c r="N106" i="30"/>
  <c r="J107" i="30"/>
  <c r="F108" i="30"/>
  <c r="N108" i="30"/>
  <c r="J109" i="30"/>
  <c r="F110" i="30"/>
  <c r="N110" i="30"/>
  <c r="J111" i="30"/>
  <c r="F112" i="30"/>
  <c r="N112" i="30"/>
  <c r="J113" i="30"/>
  <c r="F114" i="30"/>
  <c r="N114" i="30"/>
  <c r="K4" i="30"/>
  <c r="I53" i="30"/>
  <c r="C68" i="30"/>
  <c r="K74" i="30"/>
  <c r="E82" i="30"/>
  <c r="C88" i="30"/>
  <c r="G91" i="30"/>
  <c r="G95" i="30"/>
  <c r="C100" i="30"/>
  <c r="K104" i="30"/>
  <c r="G109" i="30"/>
  <c r="C114" i="30"/>
  <c r="G14" i="30"/>
  <c r="F25" i="30"/>
  <c r="L33" i="30"/>
  <c r="G42" i="30"/>
  <c r="M50" i="30"/>
  <c r="K55" i="30"/>
  <c r="N59" i="30"/>
  <c r="C63" i="30"/>
  <c r="K65" i="30"/>
  <c r="G67" i="30"/>
  <c r="K68" i="30"/>
  <c r="C70" i="30"/>
  <c r="G71" i="30"/>
  <c r="K72" i="30"/>
  <c r="C74" i="30"/>
  <c r="G75" i="30"/>
  <c r="K76" i="30"/>
  <c r="C78" i="30"/>
  <c r="G79" i="30"/>
  <c r="K80" i="30"/>
  <c r="K81" i="30"/>
  <c r="K82" i="30"/>
  <c r="I83" i="30"/>
  <c r="I84" i="30"/>
  <c r="G85" i="30"/>
  <c r="E86" i="30"/>
  <c r="C87" i="30"/>
  <c r="K87" i="30"/>
  <c r="G88" i="30"/>
  <c r="C89" i="30"/>
  <c r="K89" i="30"/>
  <c r="G90" i="30"/>
  <c r="C91" i="30"/>
  <c r="K91" i="30"/>
  <c r="G92" i="30"/>
  <c r="C93" i="30"/>
  <c r="K93" i="30"/>
  <c r="G94" i="30"/>
  <c r="C95" i="30"/>
  <c r="K95" i="30"/>
  <c r="G96" i="30"/>
  <c r="C97" i="30"/>
  <c r="K97" i="30"/>
  <c r="G98" i="30"/>
  <c r="C99" i="30"/>
  <c r="K99" i="30"/>
  <c r="G100" i="30"/>
  <c r="C101" i="30"/>
  <c r="K101" i="30"/>
  <c r="G102" i="30"/>
  <c r="C103" i="30"/>
  <c r="K103" i="30"/>
  <c r="G104" i="30"/>
  <c r="C105" i="30"/>
  <c r="K105" i="30"/>
  <c r="G106" i="30"/>
  <c r="C107" i="30"/>
  <c r="K107" i="30"/>
  <c r="G108" i="30"/>
  <c r="C109" i="30"/>
  <c r="K109" i="30"/>
  <c r="G110" i="30"/>
  <c r="C111" i="30"/>
  <c r="K111" i="30"/>
  <c r="G112" i="30"/>
  <c r="C113" i="30"/>
  <c r="K113" i="30"/>
  <c r="G114" i="30"/>
  <c r="C4" i="30"/>
  <c r="L4" i="30"/>
  <c r="D38" i="30"/>
  <c r="G69" i="30"/>
  <c r="K78" i="30"/>
  <c r="C84" i="30"/>
  <c r="G89" i="30"/>
  <c r="C94" i="30"/>
  <c r="C98" i="30"/>
  <c r="K102" i="30"/>
  <c r="G107" i="30"/>
  <c r="C112" i="30"/>
  <c r="N15" i="30"/>
  <c r="G26" i="30"/>
  <c r="M34" i="30"/>
  <c r="H43" i="30"/>
  <c r="N51" i="30"/>
  <c r="E56" i="30"/>
  <c r="H60" i="30"/>
  <c r="G63" i="30"/>
  <c r="C66" i="30"/>
  <c r="H67" i="30"/>
  <c r="L68" i="30"/>
  <c r="D70" i="30"/>
  <c r="H71" i="30"/>
  <c r="L72" i="30"/>
  <c r="D74" i="30"/>
  <c r="H75" i="30"/>
  <c r="L76" i="30"/>
  <c r="D78" i="30"/>
  <c r="H79" i="30"/>
  <c r="L80" i="30"/>
  <c r="M81" i="30"/>
  <c r="L82" i="30"/>
  <c r="K83" i="30"/>
  <c r="J84" i="30"/>
  <c r="H85" i="30"/>
  <c r="G86" i="30"/>
  <c r="D87" i="30"/>
  <c r="L87" i="30"/>
  <c r="H88" i="30"/>
  <c r="D89" i="30"/>
  <c r="L89" i="30"/>
  <c r="H90" i="30"/>
  <c r="D91" i="30"/>
  <c r="L91" i="30"/>
  <c r="H92" i="30"/>
  <c r="D93" i="30"/>
  <c r="L93" i="30"/>
  <c r="H94" i="30"/>
  <c r="D95" i="30"/>
  <c r="L95" i="30"/>
  <c r="H96" i="30"/>
  <c r="D97" i="30"/>
  <c r="L97" i="30"/>
  <c r="H98" i="30"/>
  <c r="D99" i="30"/>
  <c r="L99" i="30"/>
  <c r="H100" i="30"/>
  <c r="D101" i="30"/>
  <c r="L101" i="30"/>
  <c r="H102" i="30"/>
  <c r="D103" i="30"/>
  <c r="L103" i="30"/>
  <c r="H104" i="30"/>
  <c r="D105" i="30"/>
  <c r="L105" i="30"/>
  <c r="H106" i="30"/>
  <c r="D107" i="30"/>
  <c r="L107" i="30"/>
  <c r="H108" i="30"/>
  <c r="D109" i="30"/>
  <c r="L109" i="30"/>
  <c r="H110" i="30"/>
  <c r="D111" i="30"/>
  <c r="L111" i="30"/>
  <c r="H112" i="30"/>
  <c r="D113" i="30"/>
  <c r="L113" i="30"/>
  <c r="H114" i="30"/>
  <c r="D4" i="30"/>
  <c r="M4" i="30"/>
  <c r="L57" i="30"/>
  <c r="C76" i="30"/>
  <c r="M85" i="30"/>
  <c r="C92" i="30"/>
  <c r="G97" i="30"/>
  <c r="G103" i="30"/>
  <c r="K108" i="30"/>
  <c r="K114" i="30"/>
  <c r="L17" i="30"/>
  <c r="H27" i="30"/>
  <c r="N35" i="30"/>
  <c r="H44" i="30"/>
  <c r="H52" i="30"/>
  <c r="L56" i="30"/>
  <c r="C61" i="30"/>
  <c r="K63" i="30"/>
  <c r="G66" i="30"/>
  <c r="K67" i="30"/>
  <c r="C69" i="30"/>
  <c r="G70" i="30"/>
  <c r="K71" i="30"/>
  <c r="C73" i="30"/>
  <c r="G74" i="30"/>
  <c r="K75" i="30"/>
  <c r="C77" i="30"/>
  <c r="G78" i="30"/>
  <c r="K79" i="30"/>
  <c r="M80" i="30"/>
  <c r="C82" i="30"/>
  <c r="M82" i="30"/>
  <c r="M83" i="30"/>
  <c r="K84" i="30"/>
  <c r="I85" i="30"/>
  <c r="H86" i="30"/>
  <c r="E87" i="30"/>
  <c r="M87" i="30"/>
  <c r="I88" i="30"/>
  <c r="E89" i="30"/>
  <c r="M89" i="30"/>
  <c r="I90" i="30"/>
  <c r="E91" i="30"/>
  <c r="M91" i="30"/>
  <c r="I92" i="30"/>
  <c r="E93" i="30"/>
  <c r="M93" i="30"/>
  <c r="I94" i="30"/>
  <c r="E95" i="30"/>
  <c r="M95" i="30"/>
  <c r="I96" i="30"/>
  <c r="E97" i="30"/>
  <c r="M97" i="30"/>
  <c r="I98" i="30"/>
  <c r="E99" i="30"/>
  <c r="M99" i="30"/>
  <c r="I100" i="30"/>
  <c r="E101" i="30"/>
  <c r="M101" i="30"/>
  <c r="I102" i="30"/>
  <c r="E103" i="30"/>
  <c r="M103" i="30"/>
  <c r="I104" i="30"/>
  <c r="E105" i="30"/>
  <c r="M105" i="30"/>
  <c r="I106" i="30"/>
  <c r="E107" i="30"/>
  <c r="M107" i="30"/>
  <c r="I108" i="30"/>
  <c r="E109" i="30"/>
  <c r="M109" i="30"/>
  <c r="I110" i="30"/>
  <c r="E111" i="30"/>
  <c r="M111" i="30"/>
  <c r="I112" i="30"/>
  <c r="E113" i="30"/>
  <c r="M113" i="30"/>
  <c r="I114" i="30"/>
  <c r="E4" i="30"/>
  <c r="N4" i="30"/>
  <c r="H20" i="30"/>
  <c r="G64" i="30"/>
  <c r="C72" i="30"/>
  <c r="E81" i="30"/>
  <c r="G87" i="30"/>
  <c r="C90" i="30"/>
  <c r="K94" i="30"/>
  <c r="K98" i="30"/>
  <c r="C102" i="30"/>
  <c r="K106" i="30"/>
  <c r="G111" i="30"/>
  <c r="D19" i="30"/>
  <c r="H28" i="30"/>
  <c r="C37" i="30"/>
  <c r="I45" i="30"/>
  <c r="C53" i="30"/>
  <c r="F57" i="30"/>
  <c r="G61" i="30"/>
  <c r="C64" i="30"/>
  <c r="I66" i="30"/>
  <c r="M67" i="30"/>
  <c r="E69" i="30"/>
  <c r="I70" i="30"/>
  <c r="M71" i="30"/>
  <c r="E73" i="30"/>
  <c r="I74" i="30"/>
  <c r="M75" i="30"/>
  <c r="E77" i="30"/>
  <c r="I78" i="30"/>
  <c r="M79" i="30"/>
  <c r="C81" i="30"/>
  <c r="D82" i="30"/>
  <c r="C83" i="30"/>
  <c r="N83" i="30"/>
  <c r="L84" i="30"/>
  <c r="K85" i="30"/>
  <c r="I86" i="30"/>
  <c r="F87" i="30"/>
  <c r="N87" i="30"/>
  <c r="J88" i="30"/>
  <c r="F89" i="30"/>
  <c r="N89" i="30"/>
  <c r="J90" i="30"/>
  <c r="F91" i="30"/>
  <c r="N91" i="30"/>
  <c r="J92" i="30"/>
  <c r="F93" i="30"/>
  <c r="N93" i="30"/>
  <c r="J94" i="30"/>
  <c r="F95" i="30"/>
  <c r="N95" i="30"/>
  <c r="J96" i="30"/>
  <c r="F97" i="30"/>
  <c r="N97" i="30"/>
  <c r="J98" i="30"/>
  <c r="F99" i="30"/>
  <c r="N99" i="30"/>
  <c r="J100" i="30"/>
  <c r="F101" i="30"/>
  <c r="N101" i="30"/>
  <c r="J102" i="30"/>
  <c r="F103" i="30"/>
  <c r="N103" i="30"/>
  <c r="J104" i="30"/>
  <c r="F105" i="30"/>
  <c r="N105" i="30"/>
  <c r="J106" i="30"/>
  <c r="F107" i="30"/>
  <c r="N107" i="30"/>
  <c r="J108" i="30"/>
  <c r="F109" i="30"/>
  <c r="N109" i="30"/>
  <c r="J110" i="30"/>
  <c r="F111" i="30"/>
  <c r="N111" i="30"/>
  <c r="J112" i="30"/>
  <c r="F113" i="30"/>
  <c r="N113" i="30"/>
  <c r="J114" i="30"/>
  <c r="F4" i="30"/>
  <c r="J46" i="30"/>
  <c r="K66" i="30"/>
  <c r="G73" i="30"/>
  <c r="C80" i="30"/>
  <c r="J86" i="30"/>
  <c r="K90" i="30"/>
  <c r="C96" i="30"/>
  <c r="G101" i="30"/>
  <c r="C106" i="30"/>
  <c r="K110" i="30"/>
  <c r="G4" i="30"/>
  <c r="B127" i="26"/>
  <c r="B129" i="26" s="1"/>
  <c r="B130" i="26"/>
  <c r="L30" i="8"/>
  <c r="B37" i="30" l="1"/>
  <c r="B29" i="30"/>
  <c r="B40" i="30"/>
  <c r="B76" i="30"/>
  <c r="B110" i="30"/>
  <c r="B99" i="30"/>
  <c r="B42" i="30"/>
  <c r="N115" i="30"/>
  <c r="B8" i="30"/>
  <c r="B56" i="30"/>
  <c r="B31" i="30"/>
  <c r="B79" i="30"/>
  <c r="B45" i="30"/>
  <c r="B82" i="30"/>
  <c r="B87" i="30"/>
  <c r="B90" i="30"/>
  <c r="B92" i="30"/>
  <c r="B97" i="30"/>
  <c r="B78" i="30"/>
  <c r="B106" i="30"/>
  <c r="B84" i="30"/>
  <c r="B49" i="30"/>
  <c r="B35" i="30"/>
  <c r="B27" i="30"/>
  <c r="B32" i="30"/>
  <c r="B57" i="30"/>
  <c r="B11" i="30"/>
  <c r="B38" i="30"/>
  <c r="B39" i="30"/>
  <c r="B18" i="30"/>
  <c r="B7" i="30"/>
  <c r="B20" i="30"/>
  <c r="B46" i="30"/>
  <c r="B63" i="30"/>
  <c r="B81" i="30"/>
  <c r="E115" i="30"/>
  <c r="B4" i="30"/>
  <c r="B66" i="30"/>
  <c r="B91" i="30"/>
  <c r="B89" i="30"/>
  <c r="B51" i="30"/>
  <c r="B74" i="30"/>
  <c r="B28" i="30"/>
  <c r="B19" i="30"/>
  <c r="B24" i="30"/>
  <c r="J115" i="30"/>
  <c r="B59" i="30"/>
  <c r="B13" i="30"/>
  <c r="G115" i="30"/>
  <c r="B64" i="30"/>
  <c r="B85" i="30"/>
  <c r="B77" i="30"/>
  <c r="B111" i="30"/>
  <c r="B95" i="30"/>
  <c r="B83" i="30"/>
  <c r="B68" i="30"/>
  <c r="B104" i="30"/>
  <c r="B88" i="30"/>
  <c r="H115" i="30"/>
  <c r="B34" i="30"/>
  <c r="B62" i="30"/>
  <c r="B43" i="30"/>
  <c r="M115" i="30"/>
  <c r="L115" i="30"/>
  <c r="B108" i="30"/>
  <c r="B103" i="30"/>
  <c r="B70" i="30"/>
  <c r="B50" i="30"/>
  <c r="B72" i="30"/>
  <c r="B61" i="30"/>
  <c r="B36" i="30"/>
  <c r="B14" i="30"/>
  <c r="B17" i="30"/>
  <c r="B12" i="30"/>
  <c r="B54" i="30"/>
  <c r="B22" i="30"/>
  <c r="B6" i="30"/>
  <c r="B53" i="30"/>
  <c r="B102" i="30"/>
  <c r="D115" i="30"/>
  <c r="B98" i="30"/>
  <c r="C115" i="30"/>
  <c r="B100" i="30"/>
  <c r="K115" i="30"/>
  <c r="B113" i="30"/>
  <c r="B69" i="30"/>
  <c r="B44" i="30"/>
  <c r="B30" i="30"/>
  <c r="B80" i="30"/>
  <c r="B23" i="30"/>
  <c r="B71" i="30"/>
  <c r="B16" i="30"/>
  <c r="B41" i="30"/>
  <c r="B9" i="30"/>
  <c r="B48" i="30"/>
  <c r="B114" i="30"/>
  <c r="F115" i="30"/>
  <c r="B73" i="30"/>
  <c r="B94" i="30"/>
  <c r="B109" i="30"/>
  <c r="B93" i="30"/>
  <c r="B107" i="30"/>
  <c r="B86" i="30"/>
  <c r="B67" i="30"/>
  <c r="B60" i="30"/>
  <c r="B65" i="30"/>
  <c r="B25" i="30"/>
  <c r="B21" i="30"/>
  <c r="B58" i="30"/>
  <c r="B26" i="30"/>
  <c r="I115" i="30"/>
  <c r="B101" i="30"/>
  <c r="B112" i="30"/>
  <c r="B105" i="30"/>
  <c r="B96" i="30"/>
  <c r="B33" i="30"/>
  <c r="B55" i="30"/>
  <c r="B47" i="30"/>
  <c r="B75" i="30"/>
  <c r="B5" i="30"/>
  <c r="B15" i="30"/>
  <c r="B10" i="30"/>
  <c r="B52" i="30"/>
  <c r="B131" i="26"/>
  <c r="G21" i="11"/>
  <c r="G22" i="11"/>
  <c r="F26" i="11"/>
  <c r="G7" i="11"/>
  <c r="F22" i="11"/>
  <c r="F18" i="11"/>
  <c r="F19" i="11"/>
  <c r="H27" i="9"/>
  <c r="I27" i="9"/>
  <c r="G27" i="9"/>
  <c r="G26" i="10"/>
  <c r="G20" i="10"/>
  <c r="G21" i="10" s="1"/>
  <c r="G20" i="9"/>
  <c r="G21" i="9" s="1"/>
  <c r="H20" i="9"/>
  <c r="H21" i="9" s="1"/>
  <c r="M21" i="25"/>
  <c r="L21" i="25"/>
  <c r="K21" i="25"/>
  <c r="J21" i="25"/>
  <c r="F21" i="25"/>
  <c r="K20" i="25"/>
  <c r="M20" i="25" s="1"/>
  <c r="J20" i="25"/>
  <c r="F20" i="25"/>
  <c r="E18" i="25"/>
  <c r="E17" i="25"/>
  <c r="E16" i="25"/>
  <c r="E15" i="25"/>
  <c r="E14" i="25"/>
  <c r="E13" i="25"/>
  <c r="E12" i="25"/>
  <c r="E11" i="25"/>
  <c r="E10" i="25"/>
  <c r="E9" i="25"/>
  <c r="E8" i="25"/>
  <c r="I7" i="25"/>
  <c r="J7" i="25" s="1"/>
  <c r="H7" i="25"/>
  <c r="K7" i="25" s="1"/>
  <c r="E7" i="25"/>
  <c r="K6" i="25"/>
  <c r="M6" i="25" s="1"/>
  <c r="J6" i="25"/>
  <c r="E6" i="25"/>
  <c r="H21" i="13"/>
  <c r="K21" i="13" s="1"/>
  <c r="L21" i="13" s="1"/>
  <c r="I21" i="13"/>
  <c r="I22" i="13"/>
  <c r="I23" i="13"/>
  <c r="I24" i="13" s="1"/>
  <c r="I25" i="13" s="1"/>
  <c r="H20" i="14"/>
  <c r="H21" i="14" s="1"/>
  <c r="I20" i="14"/>
  <c r="I21" i="14"/>
  <c r="I22" i="14"/>
  <c r="H21" i="15"/>
  <c r="J21" i="15" s="1"/>
  <c r="I21" i="15"/>
  <c r="I22" i="15"/>
  <c r="I23" i="15"/>
  <c r="I19" i="16"/>
  <c r="H19" i="16"/>
  <c r="H20" i="16" s="1"/>
  <c r="J20" i="16" s="1"/>
  <c r="I20" i="16"/>
  <c r="I21" i="16"/>
  <c r="I22" i="16"/>
  <c r="I23" i="16"/>
  <c r="I24" i="16" s="1"/>
  <c r="F25" i="11"/>
  <c r="F21" i="12"/>
  <c r="I21" i="12"/>
  <c r="J21" i="12"/>
  <c r="K21" i="12" s="1"/>
  <c r="L21" i="12"/>
  <c r="F20" i="12"/>
  <c r="I20" i="12"/>
  <c r="J20" i="12"/>
  <c r="K20" i="12"/>
  <c r="L20" i="12"/>
  <c r="F25" i="13"/>
  <c r="J21" i="13"/>
  <c r="F25" i="14"/>
  <c r="J20" i="14"/>
  <c r="K20" i="14"/>
  <c r="M20" i="14" s="1"/>
  <c r="F26" i="15"/>
  <c r="F25" i="15"/>
  <c r="I20" i="17"/>
  <c r="I21" i="17" s="1"/>
  <c r="I22" i="17" s="1"/>
  <c r="I23" i="17" s="1"/>
  <c r="I24" i="17" s="1"/>
  <c r="N23" i="17"/>
  <c r="N22" i="17"/>
  <c r="N21" i="17"/>
  <c r="N20" i="17"/>
  <c r="J24" i="17" l="1"/>
  <c r="M24" i="17"/>
  <c r="L24" i="17"/>
  <c r="B118" i="30"/>
  <c r="B115" i="30"/>
  <c r="G22" i="10"/>
  <c r="J21" i="10"/>
  <c r="J20" i="10"/>
  <c r="H22" i="9"/>
  <c r="I21" i="9"/>
  <c r="J21" i="9"/>
  <c r="K21" i="9" s="1"/>
  <c r="G22" i="9"/>
  <c r="J20" i="9"/>
  <c r="K20" i="9" s="1"/>
  <c r="I20" i="9"/>
  <c r="L7" i="25"/>
  <c r="M7" i="25"/>
  <c r="L6" i="25"/>
  <c r="H8" i="25"/>
  <c r="L20" i="25"/>
  <c r="I8" i="25"/>
  <c r="H22" i="13"/>
  <c r="H23" i="13" s="1"/>
  <c r="H24" i="13" s="1"/>
  <c r="H25" i="13" s="1"/>
  <c r="J21" i="14"/>
  <c r="K21" i="14"/>
  <c r="M21" i="14" s="1"/>
  <c r="H22" i="14"/>
  <c r="I23" i="14"/>
  <c r="L20" i="14"/>
  <c r="L21" i="14"/>
  <c r="K22" i="13"/>
  <c r="J22" i="13"/>
  <c r="M21" i="13"/>
  <c r="I24" i="15"/>
  <c r="K21" i="15"/>
  <c r="H22" i="15"/>
  <c r="K20" i="16"/>
  <c r="M20" i="16" s="1"/>
  <c r="H21" i="16"/>
  <c r="L20" i="16"/>
  <c r="L21" i="9" l="1"/>
  <c r="J22" i="10"/>
  <c r="G23" i="10"/>
  <c r="J22" i="9"/>
  <c r="G23" i="9"/>
  <c r="L20" i="9"/>
  <c r="I22" i="9"/>
  <c r="H23" i="9"/>
  <c r="J8" i="25"/>
  <c r="I9" i="25"/>
  <c r="K8" i="25"/>
  <c r="H9" i="25"/>
  <c r="K22" i="14"/>
  <c r="H23" i="14"/>
  <c r="J23" i="14" s="1"/>
  <c r="I24" i="14"/>
  <c r="J22" i="14"/>
  <c r="M22" i="13"/>
  <c r="L22" i="13"/>
  <c r="K23" i="13"/>
  <c r="J23" i="13"/>
  <c r="I25" i="15"/>
  <c r="K22" i="15"/>
  <c r="H23" i="15"/>
  <c r="J22" i="15"/>
  <c r="L21" i="15"/>
  <c r="M21" i="15"/>
  <c r="J21" i="16"/>
  <c r="K21" i="16"/>
  <c r="H22" i="16"/>
  <c r="F25" i="9"/>
  <c r="F22" i="12"/>
  <c r="G6" i="12"/>
  <c r="G7" i="12" s="1"/>
  <c r="G8" i="12" s="1"/>
  <c r="G9" i="12" s="1"/>
  <c r="I9" i="13"/>
  <c r="F9" i="13"/>
  <c r="G9" i="13" s="1"/>
  <c r="G6" i="13"/>
  <c r="G7" i="13"/>
  <c r="G7" i="14"/>
  <c r="G8" i="14"/>
  <c r="G9" i="14"/>
  <c r="G10" i="14"/>
  <c r="G11" i="14"/>
  <c r="G12" i="14"/>
  <c r="G13" i="14"/>
  <c r="G14" i="14"/>
  <c r="G15" i="14"/>
  <c r="G6" i="14"/>
  <c r="H6" i="14" s="1"/>
  <c r="H7" i="14" s="1"/>
  <c r="H8" i="14" s="1"/>
  <c r="H9" i="14" s="1"/>
  <c r="I10" i="15"/>
  <c r="F10" i="15"/>
  <c r="G10" i="15"/>
  <c r="G7" i="15"/>
  <c r="G8" i="15"/>
  <c r="G9" i="15"/>
  <c r="G11" i="15"/>
  <c r="G12" i="15"/>
  <c r="G13" i="15"/>
  <c r="G6" i="15"/>
  <c r="G24" i="10" l="1"/>
  <c r="J24" i="10" s="1"/>
  <c r="J23" i="10"/>
  <c r="H24" i="9"/>
  <c r="I23" i="9"/>
  <c r="J23" i="9"/>
  <c r="G24" i="9"/>
  <c r="J24" i="9" s="1"/>
  <c r="K22" i="9"/>
  <c r="L22" i="9"/>
  <c r="J9" i="25"/>
  <c r="I10" i="25"/>
  <c r="K9" i="25"/>
  <c r="H10" i="25"/>
  <c r="L8" i="25"/>
  <c r="M8" i="25"/>
  <c r="I25" i="14"/>
  <c r="H24" i="14"/>
  <c r="K23" i="14"/>
  <c r="L22" i="14"/>
  <c r="M22" i="14"/>
  <c r="K25" i="13"/>
  <c r="K24" i="13"/>
  <c r="M23" i="13"/>
  <c r="L23" i="13"/>
  <c r="J24" i="13"/>
  <c r="J25" i="13"/>
  <c r="K23" i="15"/>
  <c r="H24" i="15"/>
  <c r="J23" i="15"/>
  <c r="I26" i="15"/>
  <c r="M22" i="15"/>
  <c r="L22" i="15"/>
  <c r="H23" i="16"/>
  <c r="J22" i="16"/>
  <c r="K22" i="16"/>
  <c r="L21" i="16"/>
  <c r="M21" i="16"/>
  <c r="H10" i="14"/>
  <c r="H11" i="14" s="1"/>
  <c r="H12" i="14" s="1"/>
  <c r="H13" i="14" s="1"/>
  <c r="H14" i="14" s="1"/>
  <c r="H15" i="14" s="1"/>
  <c r="H16" i="14" s="1"/>
  <c r="H17" i="14" s="1"/>
  <c r="H18" i="14" s="1"/>
  <c r="H19" i="14" s="1"/>
  <c r="G10" i="12"/>
  <c r="G11" i="12" s="1"/>
  <c r="G12" i="12" s="1"/>
  <c r="G13" i="12" s="1"/>
  <c r="G14" i="12" s="1"/>
  <c r="G15" i="12" s="1"/>
  <c r="G16" i="12" s="1"/>
  <c r="G17" i="12" s="1"/>
  <c r="G18" i="12" s="1"/>
  <c r="G19" i="12" s="1"/>
  <c r="H6" i="13"/>
  <c r="H7" i="13" s="1"/>
  <c r="H8" i="13" s="1"/>
  <c r="H6" i="15"/>
  <c r="H7" i="15" s="1"/>
  <c r="H8" i="15" s="1"/>
  <c r="H9" i="15" s="1"/>
  <c r="H10" i="15" s="1"/>
  <c r="K10" i="15" s="1"/>
  <c r="I24" i="9" l="1"/>
  <c r="K24" i="9"/>
  <c r="L24" i="9"/>
  <c r="K23" i="9"/>
  <c r="L23" i="9"/>
  <c r="J10" i="25"/>
  <c r="I11" i="25"/>
  <c r="K10" i="25"/>
  <c r="H11" i="25"/>
  <c r="M9" i="25"/>
  <c r="L9" i="25"/>
  <c r="K24" i="14"/>
  <c r="H25" i="14"/>
  <c r="K25" i="14" s="1"/>
  <c r="J24" i="14"/>
  <c r="L23" i="14"/>
  <c r="M23" i="14"/>
  <c r="L24" i="13"/>
  <c r="M24" i="13"/>
  <c r="M25" i="13"/>
  <c r="L25" i="13"/>
  <c r="M23" i="15"/>
  <c r="L23" i="15"/>
  <c r="K24" i="15"/>
  <c r="H25" i="15"/>
  <c r="J24" i="15"/>
  <c r="H24" i="16"/>
  <c r="K23" i="16"/>
  <c r="J23" i="16"/>
  <c r="L22" i="16"/>
  <c r="M22" i="16"/>
  <c r="H10" i="13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9" i="13"/>
  <c r="J10" i="15"/>
  <c r="L10" i="15"/>
  <c r="M10" i="15"/>
  <c r="H11" i="15"/>
  <c r="J25" i="14" l="1"/>
  <c r="J11" i="25"/>
  <c r="I12" i="25"/>
  <c r="H12" i="25"/>
  <c r="K11" i="25"/>
  <c r="M10" i="25"/>
  <c r="L10" i="25"/>
  <c r="L25" i="14"/>
  <c r="M25" i="14"/>
  <c r="L24" i="14"/>
  <c r="M24" i="14"/>
  <c r="L24" i="15"/>
  <c r="M24" i="15"/>
  <c r="K25" i="15"/>
  <c r="H26" i="15"/>
  <c r="J25" i="15"/>
  <c r="M23" i="16"/>
  <c r="L23" i="16"/>
  <c r="K24" i="16"/>
  <c r="J24" i="16"/>
  <c r="K9" i="13"/>
  <c r="J9" i="13"/>
  <c r="H12" i="15"/>
  <c r="M11" i="25" l="1"/>
  <c r="L11" i="25"/>
  <c r="H13" i="25"/>
  <c r="K12" i="25"/>
  <c r="I13" i="25"/>
  <c r="J12" i="25"/>
  <c r="L25" i="15"/>
  <c r="M25" i="15"/>
  <c r="K26" i="15"/>
  <c r="J26" i="15"/>
  <c r="M24" i="16"/>
  <c r="L24" i="16"/>
  <c r="L9" i="13"/>
  <c r="M9" i="13"/>
  <c r="H13" i="15"/>
  <c r="I14" i="25" l="1"/>
  <c r="J13" i="25"/>
  <c r="M12" i="25"/>
  <c r="L12" i="25"/>
  <c r="H14" i="25"/>
  <c r="K13" i="25"/>
  <c r="M26" i="15"/>
  <c r="L26" i="15"/>
  <c r="H14" i="15"/>
  <c r="J14" i="25" l="1"/>
  <c r="I15" i="25"/>
  <c r="M13" i="25"/>
  <c r="L13" i="25"/>
  <c r="H15" i="25"/>
  <c r="K14" i="25"/>
  <c r="H15" i="15"/>
  <c r="M14" i="25" l="1"/>
  <c r="L14" i="25"/>
  <c r="K15" i="25"/>
  <c r="H16" i="25"/>
  <c r="J15" i="25"/>
  <c r="I16" i="25"/>
  <c r="H16" i="15"/>
  <c r="K16" i="25" l="1"/>
  <c r="H17" i="25"/>
  <c r="M15" i="25"/>
  <c r="L15" i="25"/>
  <c r="J16" i="25"/>
  <c r="I17" i="25"/>
  <c r="H17" i="15"/>
  <c r="L16" i="25" l="1"/>
  <c r="M16" i="25"/>
  <c r="J17" i="25"/>
  <c r="I18" i="25"/>
  <c r="K17" i="25"/>
  <c r="H18" i="25"/>
  <c r="G7" i="16"/>
  <c r="G8" i="16"/>
  <c r="G9" i="16"/>
  <c r="G10" i="16"/>
  <c r="G11" i="16"/>
  <c r="G12" i="16"/>
  <c r="G13" i="16"/>
  <c r="G14" i="16"/>
  <c r="G15" i="16"/>
  <c r="G6" i="16"/>
  <c r="G7" i="17"/>
  <c r="M7" i="8" s="1"/>
  <c r="C7" i="8" s="1"/>
  <c r="G8" i="17"/>
  <c r="M8" i="8" s="1"/>
  <c r="C8" i="8" s="1"/>
  <c r="G9" i="17"/>
  <c r="M9" i="8" s="1"/>
  <c r="C9" i="8" s="1"/>
  <c r="G10" i="17"/>
  <c r="M10" i="8" s="1"/>
  <c r="C10" i="8" s="1"/>
  <c r="G11" i="17"/>
  <c r="M11" i="8" s="1"/>
  <c r="C11" i="8" s="1"/>
  <c r="G12" i="17"/>
  <c r="M12" i="8" s="1"/>
  <c r="C12" i="8" s="1"/>
  <c r="G13" i="17"/>
  <c r="M13" i="8" s="1"/>
  <c r="C13" i="8" s="1"/>
  <c r="G14" i="17"/>
  <c r="M14" i="8" s="1"/>
  <c r="C14" i="8" s="1"/>
  <c r="G15" i="17"/>
  <c r="M15" i="8" s="1"/>
  <c r="C15" i="8" s="1"/>
  <c r="G16" i="17"/>
  <c r="M16" i="8" s="1"/>
  <c r="C16" i="8" s="1"/>
  <c r="G6" i="17"/>
  <c r="M6" i="8" s="1"/>
  <c r="G30" i="8"/>
  <c r="I30" i="8"/>
  <c r="J30" i="8"/>
  <c r="N18" i="17"/>
  <c r="N17" i="17"/>
  <c r="E17" i="17"/>
  <c r="N16" i="17"/>
  <c r="E16" i="17"/>
  <c r="N15" i="17"/>
  <c r="E15" i="17"/>
  <c r="N14" i="17"/>
  <c r="E14" i="17"/>
  <c r="N13" i="17"/>
  <c r="E13" i="17"/>
  <c r="N12" i="17"/>
  <c r="E12" i="17"/>
  <c r="N11" i="17"/>
  <c r="E11" i="17"/>
  <c r="N10" i="17"/>
  <c r="E10" i="17"/>
  <c r="N9" i="17"/>
  <c r="E9" i="17"/>
  <c r="N8" i="17"/>
  <c r="E8" i="17"/>
  <c r="N7" i="17"/>
  <c r="E7" i="17"/>
  <c r="I7" i="17" s="1"/>
  <c r="N6" i="17"/>
  <c r="E6" i="17"/>
  <c r="E17" i="16"/>
  <c r="E16" i="16"/>
  <c r="E15" i="16"/>
  <c r="E14" i="16"/>
  <c r="E13" i="16"/>
  <c r="E12" i="16"/>
  <c r="E11" i="16"/>
  <c r="E10" i="16"/>
  <c r="E9" i="16"/>
  <c r="E8" i="16"/>
  <c r="E7" i="16"/>
  <c r="I7" i="16" s="1"/>
  <c r="E6" i="16"/>
  <c r="E17" i="15"/>
  <c r="E16" i="15"/>
  <c r="E15" i="15"/>
  <c r="E14" i="15"/>
  <c r="E13" i="15"/>
  <c r="E12" i="15"/>
  <c r="E11" i="15"/>
  <c r="E9" i="15"/>
  <c r="E8" i="15"/>
  <c r="E7" i="15"/>
  <c r="I7" i="15" s="1"/>
  <c r="I8" i="15" s="1"/>
  <c r="K6" i="15"/>
  <c r="M6" i="15" s="1"/>
  <c r="J6" i="15"/>
  <c r="E6" i="15"/>
  <c r="E17" i="14"/>
  <c r="E16" i="14"/>
  <c r="E15" i="14"/>
  <c r="E14" i="14"/>
  <c r="E13" i="14"/>
  <c r="E12" i="14"/>
  <c r="E11" i="14"/>
  <c r="E10" i="14"/>
  <c r="E9" i="14"/>
  <c r="K8" i="14"/>
  <c r="E8" i="14"/>
  <c r="K7" i="14"/>
  <c r="E7" i="14"/>
  <c r="I7" i="14" s="1"/>
  <c r="K6" i="14"/>
  <c r="M6" i="14" s="1"/>
  <c r="J6" i="14"/>
  <c r="E6" i="14"/>
  <c r="E17" i="13"/>
  <c r="E16" i="13"/>
  <c r="E15" i="13"/>
  <c r="E14" i="13"/>
  <c r="E13" i="13"/>
  <c r="E12" i="13"/>
  <c r="E11" i="13"/>
  <c r="E10" i="13"/>
  <c r="E8" i="13"/>
  <c r="I7" i="13"/>
  <c r="J7" i="13" s="1"/>
  <c r="E7" i="13"/>
  <c r="K6" i="13"/>
  <c r="M6" i="13" s="1"/>
  <c r="J6" i="13"/>
  <c r="E6" i="13"/>
  <c r="D10" i="12"/>
  <c r="E10" i="12" s="1"/>
  <c r="D9" i="12"/>
  <c r="E9" i="12" s="1"/>
  <c r="M8" i="12"/>
  <c r="D8" i="12"/>
  <c r="E8" i="12" s="1"/>
  <c r="D7" i="12"/>
  <c r="E7" i="12" s="1"/>
  <c r="H7" i="12" s="1"/>
  <c r="I6" i="12"/>
  <c r="D6" i="12"/>
  <c r="E6" i="12" s="1"/>
  <c r="E17" i="11"/>
  <c r="E16" i="11"/>
  <c r="F15" i="11"/>
  <c r="D15" i="11"/>
  <c r="E15" i="11" s="1"/>
  <c r="D14" i="11"/>
  <c r="E14" i="11" s="1"/>
  <c r="E13" i="11"/>
  <c r="E12" i="11"/>
  <c r="E11" i="11"/>
  <c r="E10" i="11"/>
  <c r="D9" i="11"/>
  <c r="E9" i="11" s="1"/>
  <c r="D8" i="11"/>
  <c r="E8" i="11" s="1"/>
  <c r="G8" i="11"/>
  <c r="E7" i="11"/>
  <c r="H7" i="11" s="1"/>
  <c r="J6" i="11"/>
  <c r="K6" i="11" s="1"/>
  <c r="I6" i="11"/>
  <c r="E6" i="11"/>
  <c r="D17" i="10"/>
  <c r="E17" i="10" s="1"/>
  <c r="D16" i="10"/>
  <c r="D15" i="10"/>
  <c r="E15" i="10" s="1"/>
  <c r="D14" i="10"/>
  <c r="E14" i="10" s="1"/>
  <c r="D13" i="10"/>
  <c r="E13" i="10" s="1"/>
  <c r="D12" i="10"/>
  <c r="E12" i="10" s="1"/>
  <c r="D11" i="10"/>
  <c r="E11" i="10" s="1"/>
  <c r="D10" i="10"/>
  <c r="E10" i="10" s="1"/>
  <c r="D9" i="10"/>
  <c r="E9" i="10" s="1"/>
  <c r="M8" i="10"/>
  <c r="E8" i="10"/>
  <c r="D8" i="10"/>
  <c r="G7" i="10"/>
  <c r="D7" i="10"/>
  <c r="E7" i="10" s="1"/>
  <c r="H7" i="10" s="1"/>
  <c r="I6" i="10"/>
  <c r="D6" i="10"/>
  <c r="J6" i="10" s="1"/>
  <c r="D17" i="9"/>
  <c r="E17" i="9" s="1"/>
  <c r="D16" i="9"/>
  <c r="E16" i="9" s="1"/>
  <c r="D15" i="9"/>
  <c r="E15" i="9" s="1"/>
  <c r="D14" i="9"/>
  <c r="E14" i="9" s="1"/>
  <c r="D13" i="9"/>
  <c r="E13" i="9" s="1"/>
  <c r="D12" i="9"/>
  <c r="E12" i="9" s="1"/>
  <c r="D11" i="9"/>
  <c r="E11" i="9" s="1"/>
  <c r="D10" i="9"/>
  <c r="E10" i="9" s="1"/>
  <c r="D9" i="9"/>
  <c r="E9" i="9" s="1"/>
  <c r="M8" i="9"/>
  <c r="D8" i="9"/>
  <c r="E8" i="9" s="1"/>
  <c r="G7" i="9"/>
  <c r="J7" i="9" s="1"/>
  <c r="D7" i="9"/>
  <c r="E7" i="9" s="1"/>
  <c r="H7" i="9" s="1"/>
  <c r="I6" i="9"/>
  <c r="D6" i="9"/>
  <c r="J6" i="9" s="1"/>
  <c r="K18" i="25" l="1"/>
  <c r="C6" i="8"/>
  <c r="M30" i="8"/>
  <c r="D30" i="8"/>
  <c r="M17" i="25"/>
  <c r="L17" i="25"/>
  <c r="M18" i="25"/>
  <c r="L18" i="25"/>
  <c r="I19" i="25"/>
  <c r="J18" i="25"/>
  <c r="J7" i="10"/>
  <c r="K7" i="10" s="1"/>
  <c r="L6" i="11"/>
  <c r="G4" i="22"/>
  <c r="J7" i="11"/>
  <c r="L7" i="11" s="1"/>
  <c r="H6" i="16"/>
  <c r="H6" i="17"/>
  <c r="K6" i="17" s="1"/>
  <c r="M6" i="17" s="1"/>
  <c r="J7" i="12"/>
  <c r="K7" i="12" s="1"/>
  <c r="L6" i="13"/>
  <c r="K7" i="13"/>
  <c r="M7" i="13" s="1"/>
  <c r="L6" i="14"/>
  <c r="L6" i="15"/>
  <c r="K6" i="16"/>
  <c r="I8" i="17"/>
  <c r="I8" i="16"/>
  <c r="K8" i="15"/>
  <c r="I9" i="15"/>
  <c r="J8" i="15"/>
  <c r="J7" i="15"/>
  <c r="K7" i="15"/>
  <c r="M8" i="14"/>
  <c r="L8" i="14"/>
  <c r="J7" i="14"/>
  <c r="I8" i="14"/>
  <c r="L7" i="14"/>
  <c r="M7" i="14"/>
  <c r="I8" i="13"/>
  <c r="I7" i="12"/>
  <c r="H8" i="12"/>
  <c r="J6" i="12"/>
  <c r="J8" i="11"/>
  <c r="G9" i="11"/>
  <c r="I7" i="11"/>
  <c r="H8" i="11"/>
  <c r="I7" i="10"/>
  <c r="G5" i="22" s="1"/>
  <c r="H8" i="10"/>
  <c r="K6" i="10"/>
  <c r="L6" i="10"/>
  <c r="G8" i="10"/>
  <c r="E6" i="10"/>
  <c r="K7" i="9"/>
  <c r="L7" i="9"/>
  <c r="I7" i="9"/>
  <c r="H8" i="9"/>
  <c r="K6" i="9"/>
  <c r="L6" i="9"/>
  <c r="G8" i="9"/>
  <c r="E6" i="9"/>
  <c r="C30" i="8" l="1"/>
  <c r="C32" i="8"/>
  <c r="B116" i="30" s="1"/>
  <c r="L6" i="17"/>
  <c r="H7" i="17"/>
  <c r="J7" i="17" s="1"/>
  <c r="F30" i="8"/>
  <c r="L7" i="10"/>
  <c r="K7" i="11"/>
  <c r="L7" i="12"/>
  <c r="L7" i="13"/>
  <c r="J6" i="16"/>
  <c r="H7" i="16"/>
  <c r="J6" i="17"/>
  <c r="K7" i="17"/>
  <c r="H8" i="17"/>
  <c r="H9" i="17" s="1"/>
  <c r="H10" i="17" s="1"/>
  <c r="H11" i="17" s="1"/>
  <c r="H12" i="17" s="1"/>
  <c r="H13" i="17" s="1"/>
  <c r="H14" i="17" s="1"/>
  <c r="H15" i="17" s="1"/>
  <c r="H16" i="17" s="1"/>
  <c r="H17" i="17" s="1"/>
  <c r="K8" i="13"/>
  <c r="M8" i="13" s="1"/>
  <c r="K9" i="14"/>
  <c r="L6" i="16"/>
  <c r="M6" i="16"/>
  <c r="I9" i="17"/>
  <c r="I9" i="16"/>
  <c r="M7" i="15"/>
  <c r="L7" i="15"/>
  <c r="J9" i="15"/>
  <c r="I11" i="15"/>
  <c r="M8" i="15"/>
  <c r="L8" i="15"/>
  <c r="K9" i="15"/>
  <c r="J8" i="14"/>
  <c r="I9" i="14"/>
  <c r="J8" i="13"/>
  <c r="I10" i="13"/>
  <c r="K6" i="12"/>
  <c r="L6" i="12"/>
  <c r="J8" i="12"/>
  <c r="H9" i="12"/>
  <c r="I8" i="12"/>
  <c r="I8" i="11"/>
  <c r="H9" i="11"/>
  <c r="L8" i="11"/>
  <c r="K8" i="11"/>
  <c r="J9" i="11"/>
  <c r="G10" i="11"/>
  <c r="J8" i="10"/>
  <c r="G9" i="10"/>
  <c r="H9" i="10"/>
  <c r="I8" i="10"/>
  <c r="G6" i="22" s="1"/>
  <c r="J8" i="9"/>
  <c r="G9" i="9"/>
  <c r="H9" i="9"/>
  <c r="I8" i="9"/>
  <c r="B117" i="30" l="1"/>
  <c r="B119" i="30"/>
  <c r="J8" i="17"/>
  <c r="L8" i="13"/>
  <c r="H8" i="16"/>
  <c r="K7" i="16"/>
  <c r="J7" i="16"/>
  <c r="F5" i="22" s="1"/>
  <c r="F4" i="22"/>
  <c r="M7" i="17"/>
  <c r="L7" i="17"/>
  <c r="K8" i="17"/>
  <c r="L8" i="17" s="1"/>
  <c r="K10" i="13"/>
  <c r="L10" i="13" s="1"/>
  <c r="K10" i="14"/>
  <c r="K9" i="17"/>
  <c r="I10" i="17"/>
  <c r="J9" i="17"/>
  <c r="I10" i="16"/>
  <c r="M9" i="15"/>
  <c r="L9" i="15"/>
  <c r="K11" i="15"/>
  <c r="J11" i="15"/>
  <c r="I12" i="15"/>
  <c r="I10" i="14"/>
  <c r="J9" i="14"/>
  <c r="M9" i="14"/>
  <c r="L9" i="14"/>
  <c r="J10" i="13"/>
  <c r="I11" i="13"/>
  <c r="I9" i="12"/>
  <c r="H10" i="12"/>
  <c r="K8" i="12"/>
  <c r="L8" i="12"/>
  <c r="J9" i="12"/>
  <c r="J10" i="11"/>
  <c r="G11" i="11"/>
  <c r="L9" i="11"/>
  <c r="K9" i="11"/>
  <c r="I9" i="11"/>
  <c r="H10" i="11"/>
  <c r="I9" i="10"/>
  <c r="G7" i="22" s="1"/>
  <c r="H10" i="10"/>
  <c r="J9" i="10"/>
  <c r="G10" i="10"/>
  <c r="K8" i="10"/>
  <c r="L8" i="10"/>
  <c r="I9" i="9"/>
  <c r="H10" i="9"/>
  <c r="J9" i="9"/>
  <c r="G10" i="9"/>
  <c r="K8" i="9"/>
  <c r="L8" i="9"/>
  <c r="M10" i="13" l="1"/>
  <c r="L7" i="16"/>
  <c r="M7" i="16"/>
  <c r="H9" i="16"/>
  <c r="K8" i="16"/>
  <c r="J8" i="16"/>
  <c r="F6" i="22" s="1"/>
  <c r="M8" i="17"/>
  <c r="K11" i="13"/>
  <c r="M11" i="13" s="1"/>
  <c r="K11" i="14"/>
  <c r="J10" i="17"/>
  <c r="I11" i="17"/>
  <c r="M9" i="17"/>
  <c r="L9" i="17"/>
  <c r="K10" i="17"/>
  <c r="I11" i="16"/>
  <c r="J12" i="15"/>
  <c r="I13" i="15"/>
  <c r="K12" i="15"/>
  <c r="L11" i="15"/>
  <c r="M11" i="15"/>
  <c r="J10" i="14"/>
  <c r="I11" i="14"/>
  <c r="M10" i="14"/>
  <c r="L10" i="14"/>
  <c r="J11" i="13"/>
  <c r="I12" i="13"/>
  <c r="J10" i="12"/>
  <c r="L9" i="12"/>
  <c r="K9" i="12"/>
  <c r="I10" i="12"/>
  <c r="H11" i="12"/>
  <c r="G12" i="11"/>
  <c r="J11" i="11"/>
  <c r="K10" i="11"/>
  <c r="L10" i="11"/>
  <c r="I10" i="11"/>
  <c r="H11" i="11"/>
  <c r="L9" i="10"/>
  <c r="K9" i="10"/>
  <c r="I10" i="10"/>
  <c r="G8" i="22" s="1"/>
  <c r="H11" i="10"/>
  <c r="J10" i="10"/>
  <c r="G11" i="10"/>
  <c r="I10" i="9"/>
  <c r="H11" i="9"/>
  <c r="J10" i="9"/>
  <c r="G11" i="9"/>
  <c r="K9" i="9"/>
  <c r="L9" i="9"/>
  <c r="L11" i="13" l="1"/>
  <c r="M8" i="16"/>
  <c r="L8" i="16"/>
  <c r="H10" i="16"/>
  <c r="J9" i="16"/>
  <c r="F7" i="22" s="1"/>
  <c r="K9" i="16"/>
  <c r="K12" i="13"/>
  <c r="M12" i="13" s="1"/>
  <c r="K12" i="14"/>
  <c r="M10" i="17"/>
  <c r="L10" i="17"/>
  <c r="K11" i="17"/>
  <c r="I12" i="17"/>
  <c r="J11" i="17"/>
  <c r="I12" i="16"/>
  <c r="K13" i="15"/>
  <c r="L12" i="15"/>
  <c r="M12" i="15"/>
  <c r="J13" i="15"/>
  <c r="I14" i="15"/>
  <c r="I12" i="14"/>
  <c r="J11" i="14"/>
  <c r="M11" i="14"/>
  <c r="L11" i="14"/>
  <c r="I13" i="13"/>
  <c r="J12" i="13"/>
  <c r="K10" i="12"/>
  <c r="L10" i="12"/>
  <c r="I11" i="12"/>
  <c r="H12" i="12"/>
  <c r="J11" i="12"/>
  <c r="G13" i="11"/>
  <c r="J12" i="11"/>
  <c r="L11" i="11"/>
  <c r="K11" i="11"/>
  <c r="H12" i="11"/>
  <c r="I11" i="11"/>
  <c r="K10" i="10"/>
  <c r="L10" i="10"/>
  <c r="J11" i="10"/>
  <c r="G12" i="10"/>
  <c r="I11" i="10"/>
  <c r="G9" i="22" s="1"/>
  <c r="H12" i="10"/>
  <c r="I11" i="9"/>
  <c r="H12" i="9"/>
  <c r="J11" i="9"/>
  <c r="G12" i="9"/>
  <c r="K10" i="9"/>
  <c r="L10" i="9"/>
  <c r="L9" i="16" l="1"/>
  <c r="M9" i="16"/>
  <c r="H11" i="16"/>
  <c r="J10" i="16"/>
  <c r="F8" i="22" s="1"/>
  <c r="K10" i="16"/>
  <c r="L12" i="13"/>
  <c r="K13" i="13"/>
  <c r="L13" i="13" s="1"/>
  <c r="K13" i="14"/>
  <c r="J12" i="17"/>
  <c r="I13" i="17"/>
  <c r="M11" i="17"/>
  <c r="L11" i="17"/>
  <c r="K12" i="17"/>
  <c r="I13" i="16"/>
  <c r="J14" i="15"/>
  <c r="I15" i="15"/>
  <c r="K14" i="15"/>
  <c r="M13" i="15"/>
  <c r="L13" i="15"/>
  <c r="I13" i="14"/>
  <c r="J12" i="14"/>
  <c r="L12" i="14"/>
  <c r="M12" i="14"/>
  <c r="I14" i="13"/>
  <c r="J13" i="13"/>
  <c r="K11" i="12"/>
  <c r="L11" i="12"/>
  <c r="J12" i="12"/>
  <c r="I12" i="12"/>
  <c r="H13" i="12"/>
  <c r="G14" i="11"/>
  <c r="G15" i="11" s="1"/>
  <c r="J13" i="11"/>
  <c r="L12" i="11"/>
  <c r="K12" i="11"/>
  <c r="H13" i="11"/>
  <c r="I12" i="11"/>
  <c r="I12" i="10"/>
  <c r="G10" i="22" s="1"/>
  <c r="H13" i="10"/>
  <c r="J12" i="10"/>
  <c r="G13" i="10"/>
  <c r="K11" i="10"/>
  <c r="L11" i="10"/>
  <c r="J12" i="9"/>
  <c r="G13" i="9"/>
  <c r="K11" i="9"/>
  <c r="L11" i="9"/>
  <c r="I12" i="9"/>
  <c r="H13" i="9"/>
  <c r="M13" i="13" l="1"/>
  <c r="M10" i="16"/>
  <c r="L10" i="16"/>
  <c r="H12" i="16"/>
  <c r="J11" i="16"/>
  <c r="F9" i="22" s="1"/>
  <c r="K11" i="16"/>
  <c r="K14" i="13"/>
  <c r="M14" i="13" s="1"/>
  <c r="K14" i="14"/>
  <c r="M12" i="17"/>
  <c r="L12" i="17"/>
  <c r="K13" i="17"/>
  <c r="J13" i="17"/>
  <c r="I14" i="17"/>
  <c r="I14" i="16"/>
  <c r="K15" i="15"/>
  <c r="M14" i="15"/>
  <c r="L14" i="15"/>
  <c r="I16" i="15"/>
  <c r="J15" i="15"/>
  <c r="J13" i="14"/>
  <c r="I14" i="14"/>
  <c r="L13" i="14"/>
  <c r="M13" i="14"/>
  <c r="J14" i="13"/>
  <c r="I15" i="13"/>
  <c r="H14" i="12"/>
  <c r="I13" i="12"/>
  <c r="J13" i="12"/>
  <c r="L12" i="12"/>
  <c r="K12" i="12"/>
  <c r="H14" i="11"/>
  <c r="I13" i="11"/>
  <c r="L13" i="11"/>
  <c r="K13" i="11"/>
  <c r="J14" i="11"/>
  <c r="I13" i="10"/>
  <c r="G11" i="22" s="1"/>
  <c r="H14" i="10"/>
  <c r="J13" i="10"/>
  <c r="G14" i="10"/>
  <c r="K12" i="10"/>
  <c r="L12" i="10"/>
  <c r="J13" i="9"/>
  <c r="G14" i="9"/>
  <c r="I13" i="9"/>
  <c r="H14" i="9"/>
  <c r="L12" i="9"/>
  <c r="K12" i="9"/>
  <c r="M11" i="16" l="1"/>
  <c r="L11" i="16"/>
  <c r="H13" i="16"/>
  <c r="K12" i="16"/>
  <c r="J12" i="16"/>
  <c r="F10" i="22" s="1"/>
  <c r="L14" i="13"/>
  <c r="K15" i="13"/>
  <c r="L15" i="13" s="1"/>
  <c r="K15" i="14"/>
  <c r="M13" i="17"/>
  <c r="L13" i="17"/>
  <c r="I15" i="17"/>
  <c r="J14" i="17"/>
  <c r="K14" i="17"/>
  <c r="I15" i="16"/>
  <c r="I17" i="15"/>
  <c r="J16" i="15"/>
  <c r="M15" i="15"/>
  <c r="L15" i="15"/>
  <c r="K16" i="15"/>
  <c r="J14" i="14"/>
  <c r="I15" i="14"/>
  <c r="M14" i="14"/>
  <c r="L14" i="14"/>
  <c r="I16" i="13"/>
  <c r="J15" i="13"/>
  <c r="H15" i="12"/>
  <c r="I14" i="12"/>
  <c r="L13" i="12"/>
  <c r="K13" i="12"/>
  <c r="J14" i="12"/>
  <c r="H15" i="11"/>
  <c r="I14" i="11"/>
  <c r="G16" i="11"/>
  <c r="J15" i="11"/>
  <c r="L14" i="11"/>
  <c r="K14" i="11"/>
  <c r="I14" i="10"/>
  <c r="G12" i="22" s="1"/>
  <c r="H15" i="10"/>
  <c r="J14" i="10"/>
  <c r="G15" i="10"/>
  <c r="K13" i="10"/>
  <c r="L13" i="10"/>
  <c r="I14" i="9"/>
  <c r="H15" i="9"/>
  <c r="J14" i="9"/>
  <c r="G15" i="9"/>
  <c r="K13" i="9"/>
  <c r="L13" i="9"/>
  <c r="M15" i="13" l="1"/>
  <c r="M12" i="16"/>
  <c r="L12" i="16"/>
  <c r="H14" i="16"/>
  <c r="J13" i="16"/>
  <c r="F11" i="22" s="1"/>
  <c r="K13" i="16"/>
  <c r="K16" i="13"/>
  <c r="M16" i="13" s="1"/>
  <c r="K16" i="14"/>
  <c r="K30" i="8"/>
  <c r="M14" i="17"/>
  <c r="L14" i="17"/>
  <c r="K15" i="17"/>
  <c r="J15" i="17"/>
  <c r="I16" i="17"/>
  <c r="I16" i="16"/>
  <c r="M16" i="15"/>
  <c r="L16" i="15"/>
  <c r="H18" i="15"/>
  <c r="K17" i="15"/>
  <c r="I18" i="15"/>
  <c r="J17" i="15"/>
  <c r="I16" i="14"/>
  <c r="J15" i="14"/>
  <c r="L15" i="14"/>
  <c r="M15" i="14"/>
  <c r="J16" i="13"/>
  <c r="I17" i="13"/>
  <c r="L14" i="12"/>
  <c r="K14" i="12"/>
  <c r="J15" i="12"/>
  <c r="I15" i="12"/>
  <c r="H16" i="12"/>
  <c r="H16" i="11"/>
  <c r="I15" i="11"/>
  <c r="L15" i="11"/>
  <c r="K15" i="11"/>
  <c r="G17" i="11"/>
  <c r="J16" i="11"/>
  <c r="I15" i="10"/>
  <c r="G13" i="22" s="1"/>
  <c r="J15" i="10"/>
  <c r="L14" i="10"/>
  <c r="K14" i="10"/>
  <c r="I15" i="9"/>
  <c r="H16" i="9"/>
  <c r="J15" i="9"/>
  <c r="G16" i="9"/>
  <c r="K14" i="9"/>
  <c r="L14" i="9"/>
  <c r="L16" i="13" l="1"/>
  <c r="L13" i="16"/>
  <c r="M13" i="16"/>
  <c r="H15" i="16"/>
  <c r="K14" i="16"/>
  <c r="J14" i="16"/>
  <c r="F12" i="22" s="1"/>
  <c r="K17" i="13"/>
  <c r="M17" i="13" s="1"/>
  <c r="K17" i="14"/>
  <c r="M15" i="17"/>
  <c r="L15" i="17"/>
  <c r="I17" i="17"/>
  <c r="J16" i="17"/>
  <c r="K16" i="17"/>
  <c r="I17" i="16"/>
  <c r="J18" i="15"/>
  <c r="I19" i="15"/>
  <c r="H19" i="15"/>
  <c r="K18" i="15"/>
  <c r="M17" i="15"/>
  <c r="L17" i="15"/>
  <c r="J16" i="14"/>
  <c r="I17" i="14"/>
  <c r="M16" i="14"/>
  <c r="L16" i="14"/>
  <c r="J17" i="13"/>
  <c r="I18" i="13"/>
  <c r="L15" i="12"/>
  <c r="K15" i="12"/>
  <c r="I16" i="12"/>
  <c r="H17" i="12"/>
  <c r="J16" i="12"/>
  <c r="H17" i="11"/>
  <c r="I16" i="11"/>
  <c r="G18" i="11"/>
  <c r="J17" i="11"/>
  <c r="L16" i="11"/>
  <c r="K16" i="11"/>
  <c r="K15" i="10"/>
  <c r="L15" i="10"/>
  <c r="I16" i="9"/>
  <c r="H17" i="9"/>
  <c r="J16" i="9"/>
  <c r="G17" i="9"/>
  <c r="K15" i="9"/>
  <c r="L15" i="9"/>
  <c r="L17" i="13" l="1"/>
  <c r="L14" i="16"/>
  <c r="M14" i="16"/>
  <c r="H16" i="16"/>
  <c r="J15" i="16"/>
  <c r="F13" i="22" s="1"/>
  <c r="K15" i="16"/>
  <c r="K18" i="13"/>
  <c r="M18" i="13" s="1"/>
  <c r="K18" i="14"/>
  <c r="K19" i="14"/>
  <c r="M16" i="17"/>
  <c r="L16" i="17"/>
  <c r="J17" i="17"/>
  <c r="I18" i="17"/>
  <c r="H18" i="17"/>
  <c r="H19" i="17" s="1"/>
  <c r="H20" i="17" s="1"/>
  <c r="K17" i="17"/>
  <c r="I18" i="16"/>
  <c r="M18" i="15"/>
  <c r="L18" i="15"/>
  <c r="K19" i="15"/>
  <c r="H20" i="15"/>
  <c r="K20" i="15" s="1"/>
  <c r="J19" i="15"/>
  <c r="I20" i="15"/>
  <c r="J17" i="14"/>
  <c r="I18" i="14"/>
  <c r="M17" i="14"/>
  <c r="L17" i="14"/>
  <c r="J18" i="13"/>
  <c r="I19" i="13"/>
  <c r="K16" i="12"/>
  <c r="L16" i="12"/>
  <c r="H18" i="12"/>
  <c r="I17" i="12"/>
  <c r="J17" i="12"/>
  <c r="L17" i="11"/>
  <c r="K17" i="11"/>
  <c r="J18" i="11"/>
  <c r="G19" i="11"/>
  <c r="I17" i="11"/>
  <c r="H18" i="11"/>
  <c r="K16" i="9"/>
  <c r="L16" i="9"/>
  <c r="J17" i="9"/>
  <c r="G18" i="9"/>
  <c r="I17" i="9"/>
  <c r="H18" i="9"/>
  <c r="H21" i="17" l="1"/>
  <c r="K20" i="17"/>
  <c r="J20" i="17"/>
  <c r="F18" i="22" s="1"/>
  <c r="J19" i="11"/>
  <c r="G20" i="11"/>
  <c r="L18" i="13"/>
  <c r="H17" i="16"/>
  <c r="J16" i="16"/>
  <c r="F14" i="22" s="1"/>
  <c r="K16" i="16"/>
  <c r="M15" i="16"/>
  <c r="L15" i="16"/>
  <c r="K20" i="13"/>
  <c r="K19" i="13"/>
  <c r="L19" i="13" s="1"/>
  <c r="M17" i="17"/>
  <c r="L17" i="17"/>
  <c r="K18" i="17"/>
  <c r="K19" i="17"/>
  <c r="J18" i="17"/>
  <c r="F16" i="22" s="1"/>
  <c r="I19" i="17"/>
  <c r="J20" i="15"/>
  <c r="L20" i="15"/>
  <c r="M20" i="15"/>
  <c r="L19" i="15"/>
  <c r="M19" i="15"/>
  <c r="J18" i="14"/>
  <c r="I19" i="14"/>
  <c r="M18" i="14"/>
  <c r="L18" i="14"/>
  <c r="I20" i="13"/>
  <c r="J19" i="13"/>
  <c r="J18" i="12"/>
  <c r="J19" i="12"/>
  <c r="L17" i="12"/>
  <c r="K17" i="12"/>
  <c r="I18" i="12"/>
  <c r="H19" i="12"/>
  <c r="L18" i="11"/>
  <c r="K18" i="11"/>
  <c r="I18" i="11"/>
  <c r="H19" i="11"/>
  <c r="J18" i="9"/>
  <c r="G19" i="9"/>
  <c r="J19" i="9" s="1"/>
  <c r="K17" i="9"/>
  <c r="L17" i="9"/>
  <c r="I18" i="9"/>
  <c r="H19" i="9"/>
  <c r="M20" i="17" l="1"/>
  <c r="L20" i="17"/>
  <c r="H22" i="17"/>
  <c r="J21" i="17"/>
  <c r="F19" i="22" s="1"/>
  <c r="K21" i="17"/>
  <c r="I19" i="11"/>
  <c r="H20" i="11"/>
  <c r="G28" i="11"/>
  <c r="I20" i="11"/>
  <c r="J20" i="11"/>
  <c r="M16" i="16"/>
  <c r="L16" i="16"/>
  <c r="H18" i="16"/>
  <c r="K17" i="16"/>
  <c r="J17" i="16"/>
  <c r="F15" i="22" s="1"/>
  <c r="I19" i="9"/>
  <c r="I19" i="12"/>
  <c r="M19" i="13"/>
  <c r="J19" i="17"/>
  <c r="F17" i="22" s="1"/>
  <c r="M19" i="17"/>
  <c r="L19" i="17"/>
  <c r="M18" i="17"/>
  <c r="L18" i="17"/>
  <c r="J19" i="14"/>
  <c r="L19" i="14"/>
  <c r="M19" i="14"/>
  <c r="J20" i="13"/>
  <c r="M20" i="13"/>
  <c r="L20" i="13"/>
  <c r="L19" i="12"/>
  <c r="K19" i="12"/>
  <c r="K18" i="12"/>
  <c r="L18" i="12"/>
  <c r="L19" i="11"/>
  <c r="K19" i="11"/>
  <c r="L19" i="9"/>
  <c r="K19" i="9"/>
  <c r="K18" i="9"/>
  <c r="L18" i="9"/>
  <c r="G16" i="10"/>
  <c r="J16" i="10" s="1"/>
  <c r="E16" i="10"/>
  <c r="H16" i="10" s="1"/>
  <c r="L21" i="17" l="1"/>
  <c r="M21" i="17"/>
  <c r="K22" i="17"/>
  <c r="H23" i="17"/>
  <c r="J22" i="17"/>
  <c r="F20" i="22" s="1"/>
  <c r="H21" i="11"/>
  <c r="H22" i="11" s="1"/>
  <c r="H23" i="11" s="1"/>
  <c r="H24" i="11" s="1"/>
  <c r="H25" i="11" s="1"/>
  <c r="K20" i="11"/>
  <c r="L20" i="11"/>
  <c r="J21" i="11"/>
  <c r="I21" i="11"/>
  <c r="K18" i="16"/>
  <c r="J18" i="16"/>
  <c r="M17" i="16"/>
  <c r="L17" i="16"/>
  <c r="G17" i="10"/>
  <c r="G18" i="10" s="1"/>
  <c r="G19" i="10" s="1"/>
  <c r="J19" i="10" s="1"/>
  <c r="H17" i="10"/>
  <c r="I16" i="10"/>
  <c r="G14" i="22" s="1"/>
  <c r="L16" i="10"/>
  <c r="K16" i="10"/>
  <c r="J17" i="10"/>
  <c r="K23" i="17" l="1"/>
  <c r="J23" i="17"/>
  <c r="F21" i="22" s="1"/>
  <c r="L22" i="17"/>
  <c r="M22" i="17"/>
  <c r="E30" i="8"/>
  <c r="H28" i="11"/>
  <c r="G23" i="11"/>
  <c r="J22" i="11"/>
  <c r="I22" i="11"/>
  <c r="K21" i="11"/>
  <c r="L21" i="11"/>
  <c r="I28" i="11"/>
  <c r="M18" i="16"/>
  <c r="L18" i="16"/>
  <c r="K19" i="16"/>
  <c r="J19" i="16"/>
  <c r="J18" i="10"/>
  <c r="L17" i="10"/>
  <c r="K17" i="10"/>
  <c r="H18" i="10"/>
  <c r="L18" i="10" s="1"/>
  <c r="I17" i="10"/>
  <c r="G15" i="22" s="1"/>
  <c r="L23" i="17" l="1"/>
  <c r="M23" i="17"/>
  <c r="L22" i="11"/>
  <c r="K22" i="11"/>
  <c r="G24" i="11"/>
  <c r="J23" i="11"/>
  <c r="I23" i="11"/>
  <c r="M19" i="16"/>
  <c r="L19" i="16"/>
  <c r="K18" i="10"/>
  <c r="I18" i="10"/>
  <c r="G16" i="22" s="1"/>
  <c r="H19" i="10"/>
  <c r="H20" i="10" s="1"/>
  <c r="H21" i="10" l="1"/>
  <c r="H26" i="10"/>
  <c r="I20" i="10"/>
  <c r="L20" i="10"/>
  <c r="K20" i="10"/>
  <c r="K23" i="11"/>
  <c r="L23" i="11"/>
  <c r="G25" i="11"/>
  <c r="J24" i="11"/>
  <c r="I24" i="11"/>
  <c r="I19" i="10"/>
  <c r="G17" i="22" s="1"/>
  <c r="L19" i="10"/>
  <c r="K19" i="10"/>
  <c r="G18" i="22" l="1"/>
  <c r="H22" i="10"/>
  <c r="I21" i="10"/>
  <c r="G19" i="22" s="1"/>
  <c r="L21" i="10"/>
  <c r="K21" i="10"/>
  <c r="K24" i="11"/>
  <c r="L24" i="11"/>
  <c r="J25" i="11"/>
  <c r="I25" i="11"/>
  <c r="H23" i="10" l="1"/>
  <c r="I22" i="10"/>
  <c r="G20" i="22" s="1"/>
  <c r="K22" i="10"/>
  <c r="L22" i="10"/>
  <c r="I26" i="10"/>
  <c r="L25" i="11"/>
  <c r="K25" i="11"/>
  <c r="I23" i="10" l="1"/>
  <c r="G21" i="22" s="1"/>
  <c r="H24" i="10"/>
  <c r="L23" i="10"/>
  <c r="K23" i="10"/>
  <c r="K24" i="10" l="1"/>
  <c r="I24" i="10"/>
  <c r="L24" i="10"/>
</calcChain>
</file>

<file path=xl/sharedStrings.xml><?xml version="1.0" encoding="utf-8"?>
<sst xmlns="http://schemas.openxmlformats.org/spreadsheetml/2006/main" count="1090" uniqueCount="244">
  <si>
    <t>مرتضی اسدیان</t>
  </si>
  <si>
    <t>یلدا اسدیان</t>
  </si>
  <si>
    <t>فهیمه عامری</t>
  </si>
  <si>
    <t>ماکان اسدیان</t>
  </si>
  <si>
    <t>ایران اسدیان</t>
  </si>
  <si>
    <t>محسن اسدیان</t>
  </si>
  <si>
    <t>مهدیه عباسی</t>
  </si>
  <si>
    <t>مهسا اسدیان</t>
  </si>
  <si>
    <t>حامد پیمان</t>
  </si>
  <si>
    <t>آرسن پیمان</t>
  </si>
  <si>
    <t>کبری اسدیان</t>
  </si>
  <si>
    <t>رمضانعلی سعیدی</t>
  </si>
  <si>
    <t>فاطمه سعیدی</t>
  </si>
  <si>
    <t>امین سعیدی</t>
  </si>
  <si>
    <t>مصطفی سعیدی</t>
  </si>
  <si>
    <t>حمیدرضا اسدیان</t>
  </si>
  <si>
    <t>محدثه اسدیان</t>
  </si>
  <si>
    <t>اکرم اسدیان</t>
  </si>
  <si>
    <t>علی مرادی</t>
  </si>
  <si>
    <t>عباس اسدیان</t>
  </si>
  <si>
    <t>آوا اسدیان</t>
  </si>
  <si>
    <t>یاشار عربمحمدی</t>
  </si>
  <si>
    <t>بهاره عامری</t>
  </si>
  <si>
    <t>زهرا غیاث الدین</t>
  </si>
  <si>
    <t>اشرف شاطری</t>
  </si>
  <si>
    <t>رضا ترابی</t>
  </si>
  <si>
    <t>محبوبه محمدی</t>
  </si>
  <si>
    <t>مرتضی خلجی</t>
  </si>
  <si>
    <t>مونا اسدیان</t>
  </si>
  <si>
    <t>حسین اسدیان (محمد)</t>
  </si>
  <si>
    <t>محمد سعیدی</t>
  </si>
  <si>
    <t>نفس سعیدی</t>
  </si>
  <si>
    <t>مریم کاکو</t>
  </si>
  <si>
    <t>هومن اسدیان</t>
  </si>
  <si>
    <t>هما اسدیان</t>
  </si>
  <si>
    <t>عرشیا ناظمی</t>
  </si>
  <si>
    <t>شمیم عرب محمدی</t>
  </si>
  <si>
    <t>باران افشار</t>
  </si>
  <si>
    <t>علی اسدیان</t>
  </si>
  <si>
    <t>مریم محمدی</t>
  </si>
  <si>
    <t>حسین بازیار</t>
  </si>
  <si>
    <t>عادله ناظمی</t>
  </si>
  <si>
    <t>محمود اسدیان</t>
  </si>
  <si>
    <t>فرهاد عامری</t>
  </si>
  <si>
    <t>بردیا عامری</t>
  </si>
  <si>
    <t>پرهام مرادی</t>
  </si>
  <si>
    <t>شناسه</t>
  </si>
  <si>
    <t>اسفند</t>
  </si>
  <si>
    <t>بهمن</t>
  </si>
  <si>
    <t>دی</t>
  </si>
  <si>
    <t xml:space="preserve">فروردین 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</si>
  <si>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</si>
  <si>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</si>
  <si>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</si>
  <si>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</si>
  <si>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</si>
  <si>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</si>
  <si>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</si>
  <si>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</si>
  <si>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حداقل پرداخت ماهانه (هزار تومن)</t>
  </si>
  <si>
    <t>ابراهیم پیمان</t>
  </si>
  <si>
    <t xml:space="preserve">حسین زنده دل </t>
  </si>
  <si>
    <t>ام کلثوم (عسل) ابوترابی</t>
  </si>
  <si>
    <t>محمد هاشم زاده</t>
  </si>
  <si>
    <t>محمدرضا شکیبا</t>
  </si>
  <si>
    <t>فاطمه اسدیان (علی)</t>
  </si>
  <si>
    <t xml:space="preserve">فاطمه عرب محمدی </t>
  </si>
  <si>
    <t>مسعود محمدی</t>
  </si>
  <si>
    <t>حسین رحیمی</t>
  </si>
  <si>
    <t>آدینا رحیمی</t>
  </si>
  <si>
    <t>سارینا رحیمی</t>
  </si>
  <si>
    <t>مصطفی بیاری</t>
  </si>
  <si>
    <t>مجتبی بیاری</t>
  </si>
  <si>
    <t>حسین اسدیان (رمضانعلی)</t>
  </si>
  <si>
    <t>الهام زمانی</t>
  </si>
  <si>
    <t>رضا صانعی</t>
  </si>
  <si>
    <t>حسن مرادی</t>
  </si>
  <si>
    <t>اعظم اسلامی</t>
  </si>
  <si>
    <t xml:space="preserve">آمنه (منیژه) سعیدی </t>
  </si>
  <si>
    <t>متین محمدی</t>
  </si>
  <si>
    <t>امیرمحمد محمدی</t>
  </si>
  <si>
    <t>غلام رضا محمدی</t>
  </si>
  <si>
    <t>محمد محمدی</t>
  </si>
  <si>
    <t>معصومه پسنده</t>
  </si>
  <si>
    <t>علی  اصغر عرب محمدی</t>
  </si>
  <si>
    <t>عماد محمدی</t>
  </si>
  <si>
    <t>حسن اسدیان  (محمد)</t>
  </si>
  <si>
    <t>زهرا بیاری</t>
  </si>
  <si>
    <t>نام و نام خانوادگی</t>
  </si>
  <si>
    <t>نفیسه محمدی</t>
  </si>
  <si>
    <t>عذرا اسدیان</t>
  </si>
  <si>
    <t xml:space="preserve">حسین محمدی </t>
  </si>
  <si>
    <t>محبوبه عامری</t>
  </si>
  <si>
    <t>فرم تحویل شده است</t>
  </si>
  <si>
    <t>زهره میرطالبی</t>
  </si>
  <si>
    <t>فرزاد محمدی</t>
  </si>
  <si>
    <t>فائزه محمدی</t>
  </si>
  <si>
    <t>الینا محمدی</t>
  </si>
  <si>
    <t>مصطفی نمازی</t>
  </si>
  <si>
    <t>جعفر جعفری</t>
  </si>
  <si>
    <t>مرتضی عادلی</t>
  </si>
  <si>
    <t>لیلا  دهقانی</t>
  </si>
  <si>
    <t>خیرنسا ابو ترابی</t>
  </si>
  <si>
    <t>علی کاریان</t>
  </si>
  <si>
    <t>مجید محمدی</t>
  </si>
  <si>
    <t>محسن محمدی</t>
  </si>
  <si>
    <t>مهدی محمدی</t>
  </si>
  <si>
    <t>ابوالفضل اسدیان</t>
  </si>
  <si>
    <t>ابوالفضل عربمحمدی</t>
  </si>
  <si>
    <t>ابراهیم اسدیان</t>
  </si>
  <si>
    <t>اسماعیل اسدیان</t>
  </si>
  <si>
    <t>فاطمه اسدیان (ابراهیم)</t>
  </si>
  <si>
    <t>نسیبه محمدی</t>
  </si>
  <si>
    <t>ملیحه محمدی</t>
  </si>
  <si>
    <t xml:space="preserve">صغری مرادی </t>
  </si>
  <si>
    <t xml:space="preserve">علی محمدی </t>
  </si>
  <si>
    <t>فاضل ناظمی</t>
  </si>
  <si>
    <t>جمع(هزار تومن)</t>
  </si>
  <si>
    <t>نام سهم</t>
  </si>
  <si>
    <t>آخرین قیمت (ریال)</t>
  </si>
  <si>
    <t xml:space="preserve">تعداد سهام خریداری </t>
  </si>
  <si>
    <t>ارزش هر سهم</t>
  </si>
  <si>
    <t>کل سرمایه گذاری</t>
  </si>
  <si>
    <t>سود/ضرر</t>
  </si>
  <si>
    <t>‌کچاد</t>
  </si>
  <si>
    <t>شستا</t>
  </si>
  <si>
    <t>فملی</t>
  </si>
  <si>
    <t>آریا</t>
  </si>
  <si>
    <t>فروی</t>
  </si>
  <si>
    <t>AUD</t>
  </si>
  <si>
    <t>USDT</t>
  </si>
  <si>
    <t>ETH</t>
  </si>
  <si>
    <t>BTC</t>
  </si>
  <si>
    <t>total</t>
  </si>
  <si>
    <t>مجموع</t>
  </si>
  <si>
    <t>تاریخ</t>
  </si>
  <si>
    <t>دوره</t>
  </si>
  <si>
    <t>قیمت خرید</t>
  </si>
  <si>
    <t>مقدار سرمایه گذاری در دوره</t>
  </si>
  <si>
    <t>تعداد خرید سهم</t>
  </si>
  <si>
    <t>کل تعداد خرید سهم</t>
  </si>
  <si>
    <t>میانگین قیمت تمام شده برای هر سهم</t>
  </si>
  <si>
    <t>کل سرمایه</t>
  </si>
  <si>
    <t>درصد سود/ضرر</t>
  </si>
  <si>
    <t>قیمت دلار</t>
  </si>
  <si>
    <t>date</t>
  </si>
  <si>
    <t>priod</t>
  </si>
  <si>
    <t>Shares price</t>
  </si>
  <si>
    <t>Shares invesment</t>
  </si>
  <si>
    <t>Shares  bought</t>
  </si>
  <si>
    <t>Shares owned</t>
  </si>
  <si>
    <t>shares cost</t>
  </si>
  <si>
    <t>Avarges per Shares</t>
  </si>
  <si>
    <t>Total value</t>
  </si>
  <si>
    <t>Porofit/Loss</t>
  </si>
  <si>
    <t>Pofit%</t>
  </si>
  <si>
    <t>Column1</t>
  </si>
  <si>
    <t>270586</t>
  </si>
  <si>
    <t>28/8/2021</t>
  </si>
  <si>
    <t>29/9/2021</t>
  </si>
  <si>
    <t>27/10/2021</t>
  </si>
  <si>
    <t>28/11/2021</t>
  </si>
  <si>
    <t>26/12/2021</t>
  </si>
  <si>
    <t>27/1/2022</t>
  </si>
  <si>
    <t>27/2/2022</t>
  </si>
  <si>
    <t>dolar</t>
  </si>
  <si>
    <t>کل سرمایه گذاری (ریال)</t>
  </si>
  <si>
    <t xml:space="preserve">1400/01/10 </t>
  </si>
  <si>
    <t>1400/02/05</t>
  </si>
  <si>
    <t>1400/03/22</t>
  </si>
  <si>
    <t>افزایش سرمایه به مقدار 50 درصد</t>
  </si>
  <si>
    <t>1400/05/05</t>
  </si>
  <si>
    <t>مقدار سهام جایزه 184عدد</t>
  </si>
  <si>
    <t>1400/06/06</t>
  </si>
  <si>
    <t>1400/07/06</t>
  </si>
  <si>
    <t>1400/08/05</t>
  </si>
  <si>
    <t>1400/09/06</t>
  </si>
  <si>
    <t>1400/10/05</t>
  </si>
  <si>
    <t>1400/11/05</t>
  </si>
  <si>
    <t>1400/12/07</t>
  </si>
  <si>
    <t>فروردین</t>
  </si>
  <si>
    <t>1400/03/05</t>
  </si>
  <si>
    <t>1400/04/05</t>
  </si>
  <si>
    <t>1400/11/06</t>
  </si>
  <si>
    <t xml:space="preserve">دی </t>
  </si>
  <si>
    <t>1400/09/16</t>
  </si>
  <si>
    <t>افزایش سرمایه</t>
  </si>
  <si>
    <t>1400/08/15</t>
  </si>
  <si>
    <t>خرید همزمان</t>
  </si>
  <si>
    <t>انحراف از معیار</t>
  </si>
  <si>
    <t>1400/12/11</t>
  </si>
  <si>
    <t>ریال</t>
  </si>
  <si>
    <t>مرچع: آخرین قیمت خرید</t>
  </si>
  <si>
    <t>نت صندوق</t>
  </si>
  <si>
    <t>ارزش صندوق</t>
  </si>
  <si>
    <t>ارزش سهام خریداری</t>
  </si>
  <si>
    <t>باقی مانده صندوق</t>
  </si>
  <si>
    <t>مقدار کل سهم خریداری</t>
  </si>
  <si>
    <t>کل واریزی صندوق</t>
  </si>
  <si>
    <t xml:space="preserve">ماه </t>
  </si>
  <si>
    <t>سال</t>
  </si>
  <si>
    <t xml:space="preserve">تیر </t>
  </si>
  <si>
    <t>کچاد</t>
  </si>
  <si>
    <t>طلا (PAXG)</t>
  </si>
  <si>
    <t>دلار (USDT)</t>
  </si>
  <si>
    <t>اتریوم (ETH)</t>
  </si>
  <si>
    <t>بیت کوین (BTC)</t>
  </si>
  <si>
    <t>ماه/سهم</t>
  </si>
  <si>
    <t>مجموع ارزش (ریال)</t>
  </si>
  <si>
    <t>Column2</t>
  </si>
  <si>
    <t>ایندکس میانگین قیمت سهام خریداری شده</t>
  </si>
  <si>
    <t>ایندکس میانگین قیمت ارزهای خریداری شده</t>
  </si>
  <si>
    <t>1401/01/09</t>
  </si>
  <si>
    <t>1401/02/10</t>
  </si>
  <si>
    <t>1401/03/10</t>
  </si>
  <si>
    <t>1401/04/08</t>
  </si>
  <si>
    <t>1401/05/09</t>
  </si>
  <si>
    <t>1401/06/12</t>
  </si>
  <si>
    <t>1401/01/24</t>
  </si>
  <si>
    <t>1401/02/12</t>
  </si>
  <si>
    <t xml:space="preserve">1401/03/10 </t>
  </si>
  <si>
    <t>29/4/2022</t>
  </si>
  <si>
    <t>31/5/2022</t>
  </si>
  <si>
    <t xml:space="preserve"> واریز امسال به سال قبل (درصد)</t>
  </si>
  <si>
    <t xml:space="preserve"> </t>
  </si>
  <si>
    <t xml:space="preserve"> نقد صندوق</t>
  </si>
  <si>
    <t>جمع کل واریزی</t>
  </si>
  <si>
    <t>سال 1400</t>
  </si>
  <si>
    <t xml:space="preserve">سال1401 </t>
  </si>
  <si>
    <t>هانیه بیگی</t>
  </si>
  <si>
    <t>زهرا سادات موسوی</t>
  </si>
  <si>
    <t>محبوبه عباسی</t>
  </si>
  <si>
    <t>محمد مهدی بیاری</t>
  </si>
  <si>
    <t>فزر</t>
  </si>
  <si>
    <t>ارزش تنزیل شده</t>
  </si>
  <si>
    <t>فاطمه شاملو</t>
  </si>
  <si>
    <t>ابراهیم عرب محمدی</t>
  </si>
  <si>
    <t>غلام رضا میرزایی</t>
  </si>
  <si>
    <t>رشیده شهرباف</t>
  </si>
  <si>
    <t>یاسین حیدری</t>
  </si>
  <si>
    <t>مرتضی هدایتی پور</t>
  </si>
  <si>
    <t>صدیقه هدایتی پور</t>
  </si>
  <si>
    <t>روقیه شهرباف</t>
  </si>
  <si>
    <t>1401/07/11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</si>
</sst>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19" x14ac:knownFonts="1">
    <font>
      <sz val="11"/>
      <color theme="1"/>
      <name val="Calibri"/>
      <family val="2"/>
      <charset val="178"/>
      <scheme val="minor"/>
    </font>
    <font>
      <sz val="11"/>
      <color theme="1"/>
      <name val="B Titr"/>
      <charset val="178"/>
    </font>
    <font>
      <b/>
      <sz val="11"/>
      <color theme="1"/>
      <name val="B Homa"/>
      <charset val="178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color theme="1"/>
      <name val="B Nazanin"/>
      <charset val="178"/>
    </font>
    <font>
      <sz val="22"/>
      <color theme="1"/>
      <name val="Calibri"/>
      <family val="2"/>
      <charset val="178"/>
      <scheme val="minor"/>
    </font>
    <font>
      <b/>
      <sz val="12"/>
      <color theme="1"/>
      <name val="Calibri"/>
      <scheme val="minor"/>
    </font>
    <font>
      <sz val="8"/>
      <color rgb="FF3C464A"/>
      <name val="Tahoma"/>
      <family val="2"/>
    </font>
    <font>
      <b/>
      <sz val="15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5999938962981048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/>
    <xf numFmtId="0" fontId="9" fillId="6" borderId="0" xfId="0" applyFont="1" applyFill="1"/>
    <xf numFmtId="0" fontId="10" fillId="0" borderId="0" xfId="0" applyFont="1"/>
    <xf numFmtId="0" fontId="11" fillId="8" borderId="4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2" fontId="0" fillId="0" borderId="0" xfId="0" applyNumberFormat="1"/>
    <xf numFmtId="0" fontId="12" fillId="0" borderId="0" xfId="0" applyNumberFormat="1" applyFont="1" applyBorder="1" applyAlignment="1">
      <alignment horizontal="center"/>
    </xf>
    <xf numFmtId="0" fontId="12" fillId="0" borderId="1" xfId="0" applyNumberFormat="1" applyFont="1" applyBorder="1" applyAlignment="1">
      <alignment horizontal="center"/>
    </xf>
    <xf numFmtId="0" fontId="12" fillId="0" borderId="0" xfId="0" applyNumberFormat="1" applyFont="1" applyAlignment="1">
      <alignment horizontal="center"/>
    </xf>
    <xf numFmtId="14" fontId="0" fillId="0" borderId="0" xfId="0" applyNumberFormat="1"/>
    <xf numFmtId="22" fontId="13" fillId="0" borderId="5" xfId="0" applyNumberFormat="1" applyFont="1" applyBorder="1" applyAlignment="1">
      <alignment horizontal="center"/>
    </xf>
    <xf numFmtId="0" fontId="12" fillId="9" borderId="0" xfId="0" applyNumberFormat="1" applyFont="1" applyFill="1" applyAlignment="1">
      <alignment horizontal="center"/>
    </xf>
    <xf numFmtId="0" fontId="12" fillId="10" borderId="0" xfId="0" applyNumberFormat="1" applyFont="1" applyFill="1" applyBorder="1" applyAlignment="1">
      <alignment horizontal="center"/>
    </xf>
    <xf numFmtId="0" fontId="12" fillId="10" borderId="0" xfId="0" applyNumberFormat="1" applyFont="1" applyFill="1" applyAlignment="1">
      <alignment horizontal="center"/>
    </xf>
    <xf numFmtId="4" fontId="12" fillId="0" borderId="0" xfId="0" applyNumberFormat="1" applyFont="1" applyBorder="1" applyAlignment="1">
      <alignment horizontal="center"/>
    </xf>
    <xf numFmtId="3" fontId="12" fillId="0" borderId="0" xfId="0" applyNumberFormat="1" applyFont="1" applyAlignment="1">
      <alignment horizontal="center"/>
    </xf>
    <xf numFmtId="3" fontId="12" fillId="9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3" fontId="12" fillId="0" borderId="0" xfId="0" applyNumberFormat="1" applyFont="1" applyBorder="1" applyAlignment="1">
      <alignment horizontal="center"/>
    </xf>
    <xf numFmtId="0" fontId="12" fillId="6" borderId="0" xfId="0" applyNumberFormat="1" applyFont="1" applyFill="1" applyBorder="1" applyAlignment="1">
      <alignment horizontal="center"/>
    </xf>
    <xf numFmtId="0" fontId="0" fillId="6" borderId="0" xfId="0" applyFill="1"/>
    <xf numFmtId="0" fontId="12" fillId="11" borderId="0" xfId="0" applyNumberFormat="1" applyFont="1" applyFill="1" applyAlignment="1">
      <alignment horizontal="center"/>
    </xf>
    <xf numFmtId="3" fontId="12" fillId="6" borderId="0" xfId="0" applyNumberFormat="1" applyFont="1" applyFill="1" applyBorder="1" applyAlignment="1">
      <alignment horizontal="center"/>
    </xf>
    <xf numFmtId="0" fontId="0" fillId="0" borderId="0" xfId="0" applyAlignment="1"/>
    <xf numFmtId="0" fontId="12" fillId="6" borderId="0" xfId="0" applyNumberFormat="1" applyFont="1" applyFill="1" applyAlignment="1">
      <alignment horizontal="center"/>
    </xf>
    <xf numFmtId="3" fontId="12" fillId="6" borderId="0" xfId="0" applyNumberFormat="1" applyFont="1" applyFill="1" applyAlignment="1">
      <alignment horizontal="center"/>
    </xf>
    <xf numFmtId="3" fontId="12" fillId="10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3" fontId="0" fillId="0" borderId="0" xfId="0" applyNumberFormat="1"/>
    <xf numFmtId="0" fontId="0" fillId="0" borderId="0" xfId="0" applyFont="1"/>
    <xf numFmtId="0" fontId="7" fillId="6" borderId="3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7" fillId="14" borderId="6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7" fillId="15" borderId="7" xfId="0" applyFont="1" applyFill="1" applyBorder="1" applyAlignment="1">
      <alignment horizontal="center" vertical="center"/>
    </xf>
    <xf numFmtId="0" fontId="7" fillId="16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7" fillId="17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7" fillId="0" borderId="0" xfId="0" applyNumberFormat="1" applyFont="1"/>
    <xf numFmtId="164" fontId="5" fillId="19" borderId="0" xfId="0" applyNumberFormat="1" applyFont="1" applyFill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164" fontId="5" fillId="20" borderId="0" xfId="0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7" fillId="15" borderId="8" xfId="0" applyFont="1" applyFill="1" applyBorder="1" applyAlignment="1">
      <alignment horizontal="center" vertical="center"/>
    </xf>
    <xf numFmtId="0" fontId="0" fillId="4" borderId="0" xfId="0" applyFill="1"/>
    <xf numFmtId="0" fontId="18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18" borderId="0" xfId="0" applyFont="1" applyFill="1" applyAlignment="1">
      <alignment horizontal="center" vertical="center" wrapText="1"/>
    </xf>
    <xf numFmtId="164" fontId="5" fillId="18" borderId="0" xfId="0" applyNumberFormat="1" applyFont="1" applyFill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2" fillId="6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5" fillId="13" borderId="0" xfId="0" applyFont="1" applyFill="1" applyAlignment="1">
      <alignment horizontal="center" vertical="center" readingOrder="1"/>
    </xf>
  </cellXfs>
  <cellStyles count="1">
    <cellStyle name="Normal" xfId="0" builtinId="0"/>
  </cellStyles>
  <dxfs count="16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/>
  </tableStyles>
  <colors>
    <mruColors>
      <color rgb="FFFF99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4306924977487"/>
          <c:y val="2.220726900982763E-2"/>
          <c:w val="0.86366395732791479"/>
          <c:h val="0.83990212269381004"/>
        </c:manualLayout>
      </c:layout>
      <c:barChart>
        <c:barDir val="col"/>
        <c:grouping val="clustered"/>
        <c:varyColors val="0"/>
        <c:ser>
          <c:idx val="0"/>
          <c:order val="0"/>
          <c:tx>
            <c:v>مقدار سرمایه گذاری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'[3]نت صندوق'!$L$11:$L$22</c:f>
              <c:strCache>
                <c:ptCount val="12"/>
                <c:pt idx="0">
                  <c:v>فروردین</c:v>
                </c:pt>
                <c:pt idx="1">
                  <c:v>اردیبهشت</c:v>
                </c:pt>
                <c:pt idx="2">
                  <c:v>خرداد</c:v>
                </c:pt>
                <c:pt idx="3">
                  <c:v>تیر 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'نت صندوق'!$K$11:$K$22</c:f>
              <c:numCache>
                <c:formatCode>General</c:formatCode>
                <c:ptCount val="12"/>
                <c:pt idx="0">
                  <c:v>1466750000</c:v>
                </c:pt>
                <c:pt idx="1">
                  <c:v>1603550000</c:v>
                </c:pt>
                <c:pt idx="2">
                  <c:v>1756250000</c:v>
                </c:pt>
                <c:pt idx="3">
                  <c:v>1893550000</c:v>
                </c:pt>
                <c:pt idx="4">
                  <c:v>2027100000</c:v>
                </c:pt>
                <c:pt idx="5">
                  <c:v>2166300000</c:v>
                </c:pt>
                <c:pt idx="6">
                  <c:v>2309350000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ارزش صندوق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'[3]نت صندوق'!$L$11:$L$22</c:f>
              <c:strCache>
                <c:ptCount val="12"/>
                <c:pt idx="0">
                  <c:v>فروردین</c:v>
                </c:pt>
                <c:pt idx="1">
                  <c:v>اردیبهشت</c:v>
                </c:pt>
                <c:pt idx="2">
                  <c:v>خرداد</c:v>
                </c:pt>
                <c:pt idx="3">
                  <c:v>تیر 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'نت صندوق'!$F$11:$F$22</c:f>
              <c:numCache>
                <c:formatCode>General</c:formatCode>
                <c:ptCount val="12"/>
                <c:pt idx="0">
                  <c:v>1562851318.3098493</c:v>
                </c:pt>
                <c:pt idx="1">
                  <c:v>1685656375.5797422</c:v>
                </c:pt>
                <c:pt idx="2">
                  <c:v>1751831161.5797422</c:v>
                </c:pt>
                <c:pt idx="3">
                  <c:v>1658034591.0821099</c:v>
                </c:pt>
                <c:pt idx="4">
                  <c:v>1780507616.5079899</c:v>
                </c:pt>
                <c:pt idx="5">
                  <c:v>1815744979.6588354</c:v>
                </c:pt>
                <c:pt idx="6">
                  <c:v>1902623861.0618534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ارزش تنزیل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'نت صندوق'!$J$11:$J$22</c:f>
              <c:numCache>
                <c:formatCode>General</c:formatCode>
                <c:ptCount val="12"/>
                <c:pt idx="0">
                  <c:v>1308092890.1405201</c:v>
                </c:pt>
                <c:pt idx="1">
                  <c:v>1418602225.5200901</c:v>
                </c:pt>
                <c:pt idx="2">
                  <c:v>1529680174.2084301</c:v>
                </c:pt>
                <c:pt idx="3">
                  <c:v>1638937172.9182701</c:v>
                </c:pt>
                <c:pt idx="4">
                  <c:v>1751776368.3071201</c:v>
                </c:pt>
                <c:pt idx="5">
                  <c:v>1871443989.7434599</c:v>
                </c:pt>
                <c:pt idx="6">
                  <c:v>2082942573.4891801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602064"/>
        <c:axId val="2091600976"/>
      </c:barChart>
      <c:catAx>
        <c:axId val="209160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400" b="1" i="0" baseline="0"/>
                  <a:t>سال 1401</a:t>
                </a:r>
                <a:endParaRPr lang="en-US" sz="1400" b="1" i="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2091600976"/>
        <c:crossesAt val="0"/>
        <c:auto val="1"/>
        <c:lblAlgn val="ctr"/>
        <c:lblOffset val="100"/>
        <c:noMultiLvlLbl val="0"/>
      </c:catAx>
      <c:valAx>
        <c:axId val="20916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600" b="1" i="0" baseline="0"/>
                  <a:t>میلیون ریال</a:t>
                </a:r>
                <a:endParaRPr lang="en-US" sz="1600" b="1" i="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0206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6252638141639919"/>
          <c:y val="2.8933989091573277E-2"/>
          <c:w val="0.19084605260119614"/>
          <c:h val="0.15343998863089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'شاخص میانگین خرید'!$F$3</c:f>
              <c:strCache>
                <c:ptCount val="1"/>
                <c:pt idx="0">
                  <c:v>ایندکس میانگین قیمت سهام خریداری شده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'شاخص میانگین خرید'!$F$4:$F$21</c:f>
              <c:numCache>
                <c:formatCode>General</c:formatCode>
                <c:ptCount val="18"/>
                <c:pt idx="0">
                  <c:v>3850.589542350423</c:v>
                </c:pt>
                <c:pt idx="1">
                  <c:v>3726.8960647150484</c:v>
                </c:pt>
                <c:pt idx="2">
                  <c:v>3589.1218695707444</c:v>
                </c:pt>
                <c:pt idx="3">
                  <c:v>3620.2981272198904</c:v>
                </c:pt>
                <c:pt idx="4">
                  <c:v>3785.4216847647253</c:v>
                </c:pt>
                <c:pt idx="5">
                  <c:v>3930.3322292813446</c:v>
                </c:pt>
                <c:pt idx="6">
                  <c:v>3970.6793860278294</c:v>
                </c:pt>
                <c:pt idx="7">
                  <c:v>3996.8336612656071</c:v>
                </c:pt>
                <c:pt idx="8">
                  <c:v>3880.1943288074804</c:v>
                </c:pt>
                <c:pt idx="9">
                  <c:v>3869.7228330129383</c:v>
                </c:pt>
                <c:pt idx="10">
                  <c:v>3848.580914593228</c:v>
                </c:pt>
                <c:pt idx="11">
                  <c:v>3838.0063141372461</c:v>
                </c:pt>
                <c:pt idx="12">
                  <c:v>3846.9663089674486</c:v>
                </c:pt>
                <c:pt idx="13">
                  <c:v>3862.0720274333426</c:v>
                </c:pt>
                <c:pt idx="14">
                  <c:v>3843.2671148249165</c:v>
                </c:pt>
                <c:pt idx="15">
                  <c:v>3867.6248110420174</c:v>
                </c:pt>
                <c:pt idx="16">
                  <c:v>3880.5237652532278</c:v>
                </c:pt>
                <c:pt idx="17">
                  <c:v>3890.2766877172739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99344"/>
        <c:axId val="2091601520"/>
      </c:scatterChart>
      <c:valAx>
        <c:axId val="209159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01520"/>
        <c:crosses val="autoZero"/>
        <c:crossBetween val="midCat"/>
      </c:valAx>
      <c:valAx>
        <c:axId val="20916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9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'شاخص میانگین خرید'!$G$3</c:f>
              <c:strCache>
                <c:ptCount val="1"/>
                <c:pt idx="0">
                  <c:v>ایندکس میانگین قیمت ارزهای خریداری شده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'شاخص میانگین خرید'!$G$4:$G$21</c:f>
              <c:numCache>
                <c:formatCode>General</c:formatCode>
                <c:ptCount val="18"/>
                <c:pt idx="0">
                  <c:v>1071878.2297015728</c:v>
                </c:pt>
                <c:pt idx="1">
                  <c:v>1022595.9739823275</c:v>
                </c:pt>
                <c:pt idx="2">
                  <c:v>1004767.5531982542</c:v>
                </c:pt>
                <c:pt idx="3">
                  <c:v>1001771.6183669472</c:v>
                </c:pt>
                <c:pt idx="4">
                  <c:v>1002889.0264768675</c:v>
                </c:pt>
                <c:pt idx="5">
                  <c:v>971445.96899132757</c:v>
                </c:pt>
                <c:pt idx="6">
                  <c:v>955296.15366154641</c:v>
                </c:pt>
                <c:pt idx="7">
                  <c:v>937993.40908399271</c:v>
                </c:pt>
                <c:pt idx="8">
                  <c:v>933425.50646999932</c:v>
                </c:pt>
                <c:pt idx="9">
                  <c:v>930557.50096534495</c:v>
                </c:pt>
                <c:pt idx="10">
                  <c:v>946933.51930271601</c:v>
                </c:pt>
                <c:pt idx="11">
                  <c:v>954940.65949566406</c:v>
                </c:pt>
                <c:pt idx="12">
                  <c:v>966725.75644023623</c:v>
                </c:pt>
                <c:pt idx="13">
                  <c:v>979320.90105173166</c:v>
                </c:pt>
                <c:pt idx="14">
                  <c:v>0</c:v>
                </c:pt>
                <c:pt idx="15">
                  <c:v>0</c:v>
                </c:pt>
                <c:pt idx="16">
                  <c:v>959289.86685997609</c:v>
                </c:pt>
                <c:pt idx="17">
                  <c:v>973795.49300317757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96080"/>
        <c:axId val="2091596624"/>
      </c:scatterChart>
      <c:valAx>
        <c:axId val="209159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96624"/>
        <c:crosses val="autoZero"/>
        <c:crossBetween val="midCat"/>
      </c:valAx>
      <c:valAx>
        <c:axId val="20915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9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hsan%20novin/rep/master/1401/06/DCA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hsan%20novin/rep/master/1401/06/DCA-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hsan%20novin/rep/master/1401/DCA1-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01"/>
      <sheetName val="تنزیل"/>
    </sheetNames>
    <sheetDataSet>
      <sheetData sheetId="0">
        <row r="4">
          <cell r="C4"/>
          <cell r="D4"/>
          <cell r="E4"/>
          <cell r="F4"/>
          <cell r="G4"/>
          <cell r="I4">
            <v>300</v>
          </cell>
          <cell r="J4">
            <v>300</v>
          </cell>
          <cell r="K4">
            <v>300</v>
          </cell>
          <cell r="L4">
            <v>300</v>
          </cell>
          <cell r="M4">
            <v>300</v>
          </cell>
          <cell r="N4">
            <v>300</v>
          </cell>
        </row>
        <row r="5">
          <cell r="C5"/>
          <cell r="D5"/>
          <cell r="E5"/>
          <cell r="F5"/>
          <cell r="G5"/>
          <cell r="I5">
            <v>250</v>
          </cell>
          <cell r="J5">
            <v>200</v>
          </cell>
          <cell r="K5">
            <v>200</v>
          </cell>
          <cell r="L5">
            <v>100</v>
          </cell>
          <cell r="M5">
            <v>100</v>
          </cell>
          <cell r="N5">
            <v>100</v>
          </cell>
        </row>
        <row r="6">
          <cell r="C6"/>
          <cell r="D6"/>
          <cell r="E6"/>
          <cell r="F6"/>
          <cell r="G6"/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</row>
        <row r="7">
          <cell r="C7"/>
          <cell r="D7"/>
          <cell r="E7"/>
          <cell r="F7"/>
          <cell r="G7"/>
          <cell r="I7">
            <v>100</v>
          </cell>
          <cell r="J7">
            <v>100</v>
          </cell>
          <cell r="K7">
            <v>100</v>
          </cell>
          <cell r="L7">
            <v>100</v>
          </cell>
          <cell r="M7">
            <v>100</v>
          </cell>
          <cell r="N7">
            <v>100</v>
          </cell>
        </row>
        <row r="8">
          <cell r="C8"/>
          <cell r="D8"/>
          <cell r="E8"/>
          <cell r="F8"/>
          <cell r="G8"/>
          <cell r="I8">
            <v>100</v>
          </cell>
          <cell r="J8">
            <v>100</v>
          </cell>
          <cell r="K8">
            <v>200</v>
          </cell>
          <cell r="L8">
            <v>100</v>
          </cell>
          <cell r="M8">
            <v>100</v>
          </cell>
          <cell r="N8">
            <v>100</v>
          </cell>
        </row>
        <row r="9">
          <cell r="C9"/>
          <cell r="D9"/>
          <cell r="E9"/>
          <cell r="F9"/>
          <cell r="G9"/>
          <cell r="I9">
            <v>200</v>
          </cell>
          <cell r="J9">
            <v>200</v>
          </cell>
          <cell r="K9">
            <v>100</v>
          </cell>
          <cell r="L9">
            <v>200</v>
          </cell>
          <cell r="M9">
            <v>200</v>
          </cell>
          <cell r="N9">
            <v>200</v>
          </cell>
        </row>
        <row r="10">
          <cell r="C10"/>
          <cell r="D10"/>
          <cell r="E10"/>
          <cell r="F10"/>
          <cell r="G10"/>
          <cell r="I10">
            <v>100</v>
          </cell>
          <cell r="J10">
            <v>100</v>
          </cell>
          <cell r="K10">
            <v>100</v>
          </cell>
          <cell r="L10">
            <v>100</v>
          </cell>
          <cell r="M10">
            <v>100</v>
          </cell>
          <cell r="N10">
            <v>100</v>
          </cell>
        </row>
        <row r="11">
          <cell r="C11"/>
          <cell r="D11"/>
          <cell r="E11"/>
          <cell r="F11"/>
          <cell r="G11"/>
          <cell r="I11">
            <v>50</v>
          </cell>
          <cell r="J11">
            <v>50</v>
          </cell>
          <cell r="K11">
            <v>50</v>
          </cell>
          <cell r="L11">
            <v>50</v>
          </cell>
          <cell r="M11">
            <v>50</v>
          </cell>
          <cell r="N11">
            <v>50</v>
          </cell>
        </row>
        <row r="12">
          <cell r="C12"/>
          <cell r="D12"/>
          <cell r="E12"/>
          <cell r="F12"/>
          <cell r="G12"/>
          <cell r="I12">
            <v>200</v>
          </cell>
          <cell r="J12">
            <v>200</v>
          </cell>
          <cell r="K12">
            <v>200</v>
          </cell>
          <cell r="L12">
            <v>200</v>
          </cell>
          <cell r="M12">
            <v>200</v>
          </cell>
          <cell r="N12">
            <v>200</v>
          </cell>
        </row>
        <row r="13">
          <cell r="C13"/>
          <cell r="D13"/>
          <cell r="E13"/>
          <cell r="F13"/>
          <cell r="G13"/>
          <cell r="I13">
            <v>50</v>
          </cell>
          <cell r="J13">
            <v>50</v>
          </cell>
          <cell r="K13">
            <v>50</v>
          </cell>
          <cell r="L13">
            <v>50</v>
          </cell>
          <cell r="M13">
            <v>50</v>
          </cell>
          <cell r="N13">
            <v>50</v>
          </cell>
        </row>
        <row r="14">
          <cell r="C14"/>
          <cell r="D14"/>
          <cell r="E14"/>
          <cell r="F14"/>
          <cell r="G14"/>
          <cell r="I14">
            <v>50</v>
          </cell>
          <cell r="J14">
            <v>50</v>
          </cell>
          <cell r="K14">
            <v>50</v>
          </cell>
          <cell r="L14">
            <v>50</v>
          </cell>
          <cell r="M14">
            <v>50</v>
          </cell>
          <cell r="N14">
            <v>50</v>
          </cell>
        </row>
        <row r="15">
          <cell r="C15"/>
          <cell r="D15"/>
          <cell r="E15"/>
          <cell r="F15"/>
          <cell r="G15"/>
          <cell r="I15">
            <v>50</v>
          </cell>
          <cell r="J15">
            <v>50</v>
          </cell>
          <cell r="K15">
            <v>50</v>
          </cell>
          <cell r="L15">
            <v>50</v>
          </cell>
          <cell r="M15">
            <v>50</v>
          </cell>
          <cell r="N15">
            <v>50</v>
          </cell>
        </row>
        <row r="16">
          <cell r="C16"/>
          <cell r="D16"/>
          <cell r="E16"/>
          <cell r="F16"/>
          <cell r="G16"/>
          <cell r="I16">
            <v>50</v>
          </cell>
          <cell r="J16">
            <v>50</v>
          </cell>
          <cell r="K16">
            <v>50</v>
          </cell>
          <cell r="L16">
            <v>50</v>
          </cell>
          <cell r="M16">
            <v>50</v>
          </cell>
          <cell r="N16">
            <v>50</v>
          </cell>
        </row>
        <row r="17">
          <cell r="C17"/>
          <cell r="D17"/>
          <cell r="E17"/>
          <cell r="F17"/>
          <cell r="G17"/>
          <cell r="I17">
            <v>75</v>
          </cell>
          <cell r="J17">
            <v>75</v>
          </cell>
          <cell r="K17">
            <v>75</v>
          </cell>
          <cell r="L17">
            <v>75</v>
          </cell>
          <cell r="M17">
            <v>50</v>
          </cell>
          <cell r="N17">
            <v>50</v>
          </cell>
        </row>
        <row r="18">
          <cell r="C18"/>
          <cell r="D18"/>
          <cell r="E18"/>
          <cell r="F18"/>
          <cell r="G18"/>
          <cell r="I18">
            <v>200</v>
          </cell>
          <cell r="J18">
            <v>300</v>
          </cell>
          <cell r="K18">
            <v>200</v>
          </cell>
          <cell r="L18">
            <v>200</v>
          </cell>
          <cell r="M18">
            <v>100</v>
          </cell>
          <cell r="N18">
            <v>100</v>
          </cell>
        </row>
        <row r="19">
          <cell r="C19"/>
          <cell r="D19"/>
          <cell r="E19"/>
          <cell r="F19"/>
          <cell r="G19"/>
          <cell r="I19">
            <v>200</v>
          </cell>
          <cell r="J19">
            <v>200</v>
          </cell>
          <cell r="K19">
            <v>200</v>
          </cell>
          <cell r="L19">
            <v>200</v>
          </cell>
          <cell r="M19">
            <v>100</v>
          </cell>
          <cell r="N19">
            <v>100</v>
          </cell>
        </row>
        <row r="20">
          <cell r="C20"/>
          <cell r="D20"/>
          <cell r="E20"/>
          <cell r="F20"/>
          <cell r="G20"/>
          <cell r="I20">
            <v>100</v>
          </cell>
          <cell r="J20">
            <v>150</v>
          </cell>
          <cell r="K20">
            <v>100</v>
          </cell>
          <cell r="L20">
            <v>100</v>
          </cell>
          <cell r="M20">
            <v>50</v>
          </cell>
          <cell r="N20">
            <v>50</v>
          </cell>
        </row>
        <row r="21">
          <cell r="C21"/>
          <cell r="D21"/>
          <cell r="E21"/>
          <cell r="F21"/>
          <cell r="G21"/>
          <cell r="I21">
            <v>0</v>
          </cell>
          <cell r="J21">
            <v>0</v>
          </cell>
          <cell r="K21">
            <v>150</v>
          </cell>
          <cell r="L21">
            <v>150</v>
          </cell>
          <cell r="M21">
            <v>100</v>
          </cell>
          <cell r="N21">
            <v>100</v>
          </cell>
        </row>
        <row r="22">
          <cell r="C22"/>
          <cell r="D22"/>
          <cell r="E22"/>
          <cell r="F22"/>
          <cell r="G22"/>
          <cell r="I22">
            <v>100</v>
          </cell>
          <cell r="J22">
            <v>100</v>
          </cell>
          <cell r="K22">
            <v>100</v>
          </cell>
          <cell r="L22">
            <v>100</v>
          </cell>
          <cell r="M22">
            <v>100</v>
          </cell>
          <cell r="N22">
            <v>100</v>
          </cell>
        </row>
        <row r="23">
          <cell r="C23"/>
          <cell r="D23"/>
          <cell r="E23"/>
          <cell r="F23"/>
          <cell r="G23"/>
          <cell r="I23">
            <v>100</v>
          </cell>
          <cell r="J23">
            <v>100</v>
          </cell>
          <cell r="K23">
            <v>100</v>
          </cell>
          <cell r="L23">
            <v>100</v>
          </cell>
          <cell r="M23">
            <v>100</v>
          </cell>
          <cell r="N23">
            <v>100</v>
          </cell>
        </row>
        <row r="24">
          <cell r="C24"/>
          <cell r="D24"/>
          <cell r="E24"/>
          <cell r="F24"/>
          <cell r="G24"/>
          <cell r="I24">
            <v>100</v>
          </cell>
          <cell r="J24">
            <v>100</v>
          </cell>
          <cell r="K24">
            <v>100</v>
          </cell>
          <cell r="L24">
            <v>100</v>
          </cell>
          <cell r="M24">
            <v>100</v>
          </cell>
          <cell r="N24">
            <v>100</v>
          </cell>
        </row>
        <row r="25">
          <cell r="C25"/>
          <cell r="D25"/>
          <cell r="E25"/>
          <cell r="F25"/>
          <cell r="G25"/>
          <cell r="I25">
            <v>150</v>
          </cell>
          <cell r="J25">
            <v>150</v>
          </cell>
          <cell r="K25">
            <v>150</v>
          </cell>
          <cell r="L25">
            <v>150</v>
          </cell>
          <cell r="M25">
            <v>150</v>
          </cell>
          <cell r="N25">
            <v>100</v>
          </cell>
        </row>
        <row r="26">
          <cell r="C26"/>
          <cell r="D26"/>
          <cell r="E26"/>
          <cell r="F26"/>
          <cell r="G26"/>
          <cell r="I26">
            <v>150</v>
          </cell>
          <cell r="J26">
            <v>150</v>
          </cell>
          <cell r="K26">
            <v>150</v>
          </cell>
          <cell r="L26">
            <v>150</v>
          </cell>
          <cell r="M26">
            <v>150</v>
          </cell>
          <cell r="N26">
            <v>100</v>
          </cell>
        </row>
        <row r="27">
          <cell r="C27"/>
          <cell r="D27"/>
          <cell r="E27"/>
          <cell r="F27"/>
          <cell r="G27"/>
          <cell r="I27">
            <v>75</v>
          </cell>
          <cell r="J27">
            <v>75</v>
          </cell>
          <cell r="K27">
            <v>75</v>
          </cell>
          <cell r="L27">
            <v>75</v>
          </cell>
          <cell r="M27">
            <v>75</v>
          </cell>
          <cell r="N27">
            <v>75</v>
          </cell>
        </row>
        <row r="28">
          <cell r="C28"/>
          <cell r="D28"/>
          <cell r="E28"/>
          <cell r="F28"/>
          <cell r="G28"/>
          <cell r="I28">
            <v>75</v>
          </cell>
          <cell r="J28">
            <v>75</v>
          </cell>
          <cell r="K28">
            <v>75</v>
          </cell>
          <cell r="L28">
            <v>75</v>
          </cell>
          <cell r="M28">
            <v>75</v>
          </cell>
          <cell r="N28">
            <v>75</v>
          </cell>
        </row>
        <row r="29">
          <cell r="C29"/>
          <cell r="D29"/>
          <cell r="E29"/>
          <cell r="F29"/>
          <cell r="G29"/>
          <cell r="I29">
            <v>75</v>
          </cell>
          <cell r="J29">
            <v>75</v>
          </cell>
          <cell r="K29">
            <v>75</v>
          </cell>
          <cell r="L29">
            <v>75</v>
          </cell>
          <cell r="M29">
            <v>75</v>
          </cell>
          <cell r="N29">
            <v>75</v>
          </cell>
        </row>
        <row r="30">
          <cell r="C30"/>
          <cell r="D30"/>
          <cell r="E30"/>
          <cell r="F30"/>
          <cell r="G30"/>
          <cell r="I30">
            <v>50</v>
          </cell>
          <cell r="J30">
            <v>50</v>
          </cell>
          <cell r="K30">
            <v>25</v>
          </cell>
          <cell r="L30">
            <v>0</v>
          </cell>
          <cell r="M30">
            <v>0</v>
          </cell>
          <cell r="N30">
            <v>0</v>
          </cell>
        </row>
        <row r="31">
          <cell r="C31"/>
          <cell r="D31"/>
          <cell r="E31"/>
          <cell r="F31"/>
          <cell r="G31"/>
          <cell r="I31">
            <v>200</v>
          </cell>
          <cell r="J31">
            <v>200</v>
          </cell>
          <cell r="K31">
            <v>200</v>
          </cell>
          <cell r="L31">
            <v>200</v>
          </cell>
          <cell r="M31">
            <v>200</v>
          </cell>
          <cell r="N31">
            <v>200</v>
          </cell>
        </row>
        <row r="32">
          <cell r="C32"/>
          <cell r="D32"/>
          <cell r="E32"/>
          <cell r="F32"/>
          <cell r="G32"/>
          <cell r="I32">
            <v>100</v>
          </cell>
          <cell r="J32">
            <v>100</v>
          </cell>
          <cell r="K32">
            <v>100</v>
          </cell>
          <cell r="L32">
            <v>0</v>
          </cell>
          <cell r="M32">
            <v>0</v>
          </cell>
          <cell r="N32">
            <v>0</v>
          </cell>
        </row>
        <row r="33">
          <cell r="C33"/>
          <cell r="D33"/>
          <cell r="E33"/>
          <cell r="F33"/>
          <cell r="G33"/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/>
          <cell r="D34"/>
          <cell r="E34"/>
          <cell r="F34"/>
          <cell r="G34"/>
          <cell r="I34">
            <v>250</v>
          </cell>
          <cell r="J34">
            <v>200</v>
          </cell>
          <cell r="K34">
            <v>200</v>
          </cell>
          <cell r="L34">
            <v>200</v>
          </cell>
          <cell r="M34">
            <v>200</v>
          </cell>
          <cell r="N34">
            <v>200</v>
          </cell>
        </row>
        <row r="35">
          <cell r="C35"/>
          <cell r="D35"/>
          <cell r="E35"/>
          <cell r="F35"/>
          <cell r="G35"/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C36"/>
          <cell r="D36"/>
          <cell r="E36"/>
          <cell r="F36"/>
          <cell r="G36"/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C37"/>
          <cell r="D37"/>
          <cell r="E37"/>
          <cell r="F37"/>
          <cell r="G37"/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C38"/>
          <cell r="D38"/>
          <cell r="E38"/>
          <cell r="F38"/>
          <cell r="G38"/>
          <cell r="I38">
            <v>150</v>
          </cell>
          <cell r="J38">
            <v>150</v>
          </cell>
          <cell r="K38">
            <v>150</v>
          </cell>
          <cell r="L38">
            <v>125</v>
          </cell>
          <cell r="M38">
            <v>100</v>
          </cell>
          <cell r="N38">
            <v>125</v>
          </cell>
        </row>
        <row r="39">
          <cell r="C39"/>
          <cell r="D39"/>
          <cell r="E39"/>
          <cell r="F39"/>
          <cell r="G39"/>
          <cell r="I39">
            <v>200</v>
          </cell>
          <cell r="J39">
            <v>200</v>
          </cell>
          <cell r="K39">
            <v>200</v>
          </cell>
          <cell r="L39">
            <v>0</v>
          </cell>
          <cell r="M39">
            <v>200</v>
          </cell>
          <cell r="N39">
            <v>200</v>
          </cell>
        </row>
        <row r="40">
          <cell r="C40"/>
          <cell r="D40"/>
          <cell r="E40"/>
          <cell r="F40"/>
          <cell r="G40"/>
          <cell r="I40">
            <v>150</v>
          </cell>
          <cell r="J40">
            <v>150</v>
          </cell>
          <cell r="K40">
            <v>150</v>
          </cell>
          <cell r="L40">
            <v>125</v>
          </cell>
          <cell r="M40">
            <v>100</v>
          </cell>
          <cell r="N40">
            <v>125</v>
          </cell>
        </row>
        <row r="41">
          <cell r="C41"/>
          <cell r="D41"/>
          <cell r="E41"/>
          <cell r="F41"/>
          <cell r="G41"/>
          <cell r="I41">
            <v>100</v>
          </cell>
          <cell r="J41">
            <v>100</v>
          </cell>
          <cell r="K41">
            <v>100</v>
          </cell>
          <cell r="L41">
            <v>100</v>
          </cell>
          <cell r="M41">
            <v>100</v>
          </cell>
          <cell r="N41">
            <v>100</v>
          </cell>
        </row>
        <row r="42">
          <cell r="C42"/>
          <cell r="D42"/>
          <cell r="E42"/>
          <cell r="F42"/>
          <cell r="G42"/>
          <cell r="I42">
            <v>50</v>
          </cell>
          <cell r="J42">
            <v>50</v>
          </cell>
          <cell r="K42">
            <v>50</v>
          </cell>
          <cell r="L42">
            <v>50</v>
          </cell>
          <cell r="M42">
            <v>50</v>
          </cell>
          <cell r="N42">
            <v>50</v>
          </cell>
        </row>
        <row r="43">
          <cell r="C43"/>
          <cell r="D43"/>
          <cell r="E43"/>
          <cell r="F43"/>
          <cell r="G43"/>
          <cell r="I43">
            <v>50</v>
          </cell>
          <cell r="J43">
            <v>50</v>
          </cell>
          <cell r="K43">
            <v>50</v>
          </cell>
          <cell r="L43">
            <v>50</v>
          </cell>
          <cell r="M43">
            <v>50</v>
          </cell>
          <cell r="N43">
            <v>50</v>
          </cell>
        </row>
        <row r="44">
          <cell r="C44"/>
          <cell r="D44"/>
          <cell r="E44"/>
          <cell r="F44"/>
          <cell r="G44"/>
          <cell r="I44">
            <v>100</v>
          </cell>
          <cell r="J44">
            <v>100</v>
          </cell>
          <cell r="K44">
            <v>100</v>
          </cell>
          <cell r="L44">
            <v>100</v>
          </cell>
          <cell r="M44">
            <v>100</v>
          </cell>
          <cell r="N44">
            <v>100</v>
          </cell>
        </row>
        <row r="45">
          <cell r="C45"/>
          <cell r="D45"/>
          <cell r="E45"/>
          <cell r="F45"/>
          <cell r="G45"/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/>
          <cell r="D46"/>
          <cell r="E46"/>
          <cell r="F46"/>
          <cell r="G46"/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/>
          <cell r="D47"/>
          <cell r="E47"/>
          <cell r="F47"/>
          <cell r="G47"/>
          <cell r="I47">
            <v>150</v>
          </cell>
          <cell r="J47">
            <v>150</v>
          </cell>
          <cell r="K47">
            <v>150</v>
          </cell>
          <cell r="L47">
            <v>150</v>
          </cell>
          <cell r="M47">
            <v>150</v>
          </cell>
          <cell r="N47">
            <v>150</v>
          </cell>
        </row>
        <row r="48">
          <cell r="C48"/>
          <cell r="D48"/>
          <cell r="E48"/>
          <cell r="F48"/>
          <cell r="G48"/>
          <cell r="I48">
            <v>150</v>
          </cell>
          <cell r="J48">
            <v>150</v>
          </cell>
          <cell r="K48">
            <v>150</v>
          </cell>
          <cell r="L48">
            <v>150</v>
          </cell>
          <cell r="M48">
            <v>150</v>
          </cell>
          <cell r="N48">
            <v>150</v>
          </cell>
        </row>
        <row r="49">
          <cell r="C49"/>
          <cell r="D49"/>
          <cell r="E49"/>
          <cell r="F49"/>
          <cell r="G49"/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C50"/>
          <cell r="D50"/>
          <cell r="E50"/>
          <cell r="F50"/>
          <cell r="G50"/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C51"/>
          <cell r="D51"/>
          <cell r="E51"/>
          <cell r="F51"/>
          <cell r="G51"/>
          <cell r="I51">
            <v>50</v>
          </cell>
          <cell r="J51">
            <v>50</v>
          </cell>
          <cell r="K51">
            <v>50</v>
          </cell>
          <cell r="L51">
            <v>50</v>
          </cell>
          <cell r="M51">
            <v>50</v>
          </cell>
          <cell r="N51">
            <v>50</v>
          </cell>
        </row>
        <row r="52">
          <cell r="C52"/>
          <cell r="D52"/>
          <cell r="E52"/>
          <cell r="F52"/>
          <cell r="G52"/>
          <cell r="I52">
            <v>100</v>
          </cell>
          <cell r="J52">
            <v>100</v>
          </cell>
          <cell r="K52">
            <v>100</v>
          </cell>
          <cell r="L52">
            <v>100</v>
          </cell>
          <cell r="M52">
            <v>100</v>
          </cell>
          <cell r="N52">
            <v>100</v>
          </cell>
        </row>
        <row r="53">
          <cell r="C53"/>
          <cell r="D53"/>
          <cell r="E53"/>
          <cell r="F53"/>
          <cell r="G53"/>
          <cell r="I53">
            <v>50</v>
          </cell>
          <cell r="J53">
            <v>50</v>
          </cell>
          <cell r="K53">
            <v>50</v>
          </cell>
          <cell r="L53">
            <v>50</v>
          </cell>
          <cell r="M53">
            <v>50</v>
          </cell>
          <cell r="N53">
            <v>50</v>
          </cell>
        </row>
        <row r="54">
          <cell r="C54"/>
          <cell r="D54"/>
          <cell r="E54"/>
          <cell r="F54"/>
          <cell r="G54"/>
          <cell r="I54">
            <v>50</v>
          </cell>
          <cell r="J54">
            <v>50</v>
          </cell>
          <cell r="K54">
            <v>50</v>
          </cell>
          <cell r="L54">
            <v>50</v>
          </cell>
          <cell r="M54">
            <v>50</v>
          </cell>
          <cell r="N54">
            <v>50</v>
          </cell>
        </row>
        <row r="55">
          <cell r="C55"/>
          <cell r="D55"/>
          <cell r="E55"/>
          <cell r="F55"/>
          <cell r="G55"/>
          <cell r="I55">
            <v>100</v>
          </cell>
          <cell r="J55">
            <v>100</v>
          </cell>
          <cell r="K55">
            <v>100</v>
          </cell>
          <cell r="L55">
            <v>100</v>
          </cell>
          <cell r="M55">
            <v>100</v>
          </cell>
          <cell r="N55">
            <v>100</v>
          </cell>
        </row>
        <row r="56">
          <cell r="C56"/>
          <cell r="D56"/>
          <cell r="E56"/>
          <cell r="F56"/>
          <cell r="G56"/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/>
          <cell r="D57"/>
          <cell r="E57"/>
          <cell r="F57"/>
          <cell r="G57"/>
          <cell r="I57">
            <v>50</v>
          </cell>
          <cell r="J57">
            <v>50</v>
          </cell>
          <cell r="K57">
            <v>65</v>
          </cell>
          <cell r="L57">
            <v>50</v>
          </cell>
          <cell r="M57">
            <v>150</v>
          </cell>
          <cell r="N57">
            <v>150</v>
          </cell>
        </row>
        <row r="58">
          <cell r="C58"/>
          <cell r="D58"/>
          <cell r="E58"/>
          <cell r="F58"/>
          <cell r="G58"/>
          <cell r="I58">
            <v>100</v>
          </cell>
          <cell r="J58">
            <v>100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/>
          <cell r="D59"/>
          <cell r="E59"/>
          <cell r="F59"/>
          <cell r="G59">
            <v>0</v>
          </cell>
          <cell r="I59">
            <v>840</v>
          </cell>
          <cell r="J59">
            <v>1090</v>
          </cell>
          <cell r="K59">
            <v>800</v>
          </cell>
          <cell r="L59">
            <v>980</v>
          </cell>
          <cell r="M59">
            <v>800</v>
          </cell>
          <cell r="N59">
            <v>800</v>
          </cell>
        </row>
        <row r="60">
          <cell r="C60"/>
          <cell r="D60"/>
          <cell r="E60"/>
          <cell r="F60"/>
          <cell r="G60"/>
          <cell r="I60">
            <v>400</v>
          </cell>
          <cell r="J60">
            <v>400</v>
          </cell>
          <cell r="K60">
            <v>400</v>
          </cell>
          <cell r="L60">
            <v>400</v>
          </cell>
          <cell r="M60">
            <v>400</v>
          </cell>
          <cell r="N60">
            <v>400</v>
          </cell>
        </row>
        <row r="61">
          <cell r="C61"/>
          <cell r="D61"/>
          <cell r="E61"/>
          <cell r="F61"/>
          <cell r="G61"/>
          <cell r="I61">
            <v>300</v>
          </cell>
          <cell r="J61">
            <v>300</v>
          </cell>
          <cell r="K61">
            <v>300</v>
          </cell>
          <cell r="L61">
            <v>300</v>
          </cell>
          <cell r="M61">
            <v>300</v>
          </cell>
          <cell r="N61">
            <v>300</v>
          </cell>
        </row>
        <row r="62">
          <cell r="C62"/>
          <cell r="D62"/>
          <cell r="E62"/>
          <cell r="F62"/>
          <cell r="G62"/>
          <cell r="I62">
            <v>300</v>
          </cell>
          <cell r="J62">
            <v>300</v>
          </cell>
          <cell r="K62">
            <v>300</v>
          </cell>
          <cell r="L62">
            <v>300</v>
          </cell>
          <cell r="M62">
            <v>300</v>
          </cell>
          <cell r="N62">
            <v>300</v>
          </cell>
        </row>
        <row r="63">
          <cell r="C63"/>
          <cell r="D63"/>
          <cell r="E63"/>
          <cell r="F63"/>
          <cell r="G63"/>
          <cell r="I63">
            <v>150</v>
          </cell>
          <cell r="J63">
            <v>150</v>
          </cell>
          <cell r="K63">
            <v>150</v>
          </cell>
          <cell r="L63">
            <v>150</v>
          </cell>
          <cell r="M63">
            <v>150</v>
          </cell>
          <cell r="N63">
            <v>150</v>
          </cell>
        </row>
        <row r="64">
          <cell r="C64"/>
          <cell r="D64"/>
          <cell r="E64"/>
          <cell r="F64"/>
          <cell r="G64"/>
          <cell r="I64">
            <v>150</v>
          </cell>
          <cell r="J64">
            <v>150</v>
          </cell>
          <cell r="K64">
            <v>150</v>
          </cell>
          <cell r="L64">
            <v>150</v>
          </cell>
          <cell r="M64">
            <v>150</v>
          </cell>
          <cell r="N64">
            <v>150</v>
          </cell>
        </row>
        <row r="65">
          <cell r="C65"/>
          <cell r="D65"/>
          <cell r="E65"/>
          <cell r="F65"/>
          <cell r="G65"/>
          <cell r="I65">
            <v>150</v>
          </cell>
          <cell r="J65">
            <v>150</v>
          </cell>
          <cell r="K65">
            <v>150</v>
          </cell>
          <cell r="L65">
            <v>150</v>
          </cell>
          <cell r="M65">
            <v>150</v>
          </cell>
          <cell r="N65">
            <v>150</v>
          </cell>
        </row>
        <row r="66">
          <cell r="C66"/>
          <cell r="D66"/>
          <cell r="E66"/>
          <cell r="F66"/>
          <cell r="G66"/>
          <cell r="I66">
            <v>75</v>
          </cell>
          <cell r="J66">
            <v>75</v>
          </cell>
          <cell r="K66">
            <v>75</v>
          </cell>
          <cell r="L66">
            <v>75</v>
          </cell>
          <cell r="M66">
            <v>75</v>
          </cell>
          <cell r="N66">
            <v>75</v>
          </cell>
        </row>
        <row r="67">
          <cell r="C67"/>
          <cell r="D67"/>
          <cell r="E67"/>
          <cell r="F67"/>
          <cell r="G67"/>
          <cell r="I67">
            <v>75</v>
          </cell>
          <cell r="J67">
            <v>75</v>
          </cell>
          <cell r="K67">
            <v>75</v>
          </cell>
          <cell r="L67">
            <v>75</v>
          </cell>
          <cell r="M67">
            <v>75</v>
          </cell>
          <cell r="N67">
            <v>75</v>
          </cell>
        </row>
        <row r="68">
          <cell r="C68"/>
          <cell r="D68"/>
          <cell r="E68"/>
          <cell r="F68"/>
          <cell r="G68"/>
          <cell r="I68">
            <v>75</v>
          </cell>
          <cell r="J68">
            <v>75</v>
          </cell>
          <cell r="K68">
            <v>75</v>
          </cell>
          <cell r="L68">
            <v>75</v>
          </cell>
          <cell r="M68">
            <v>75</v>
          </cell>
          <cell r="N68">
            <v>75</v>
          </cell>
        </row>
        <row r="69">
          <cell r="C69"/>
          <cell r="D69"/>
          <cell r="E69"/>
          <cell r="F69"/>
          <cell r="G69"/>
          <cell r="I69">
            <v>75</v>
          </cell>
          <cell r="J69">
            <v>75</v>
          </cell>
          <cell r="K69">
            <v>75</v>
          </cell>
          <cell r="L69">
            <v>75</v>
          </cell>
          <cell r="M69">
            <v>75</v>
          </cell>
          <cell r="N69">
            <v>75</v>
          </cell>
        </row>
        <row r="70">
          <cell r="C70"/>
          <cell r="D70"/>
          <cell r="E70"/>
          <cell r="F70"/>
          <cell r="G70"/>
          <cell r="I70">
            <v>50</v>
          </cell>
          <cell r="J70">
            <v>50</v>
          </cell>
          <cell r="K70">
            <v>50</v>
          </cell>
          <cell r="L70">
            <v>50</v>
          </cell>
          <cell r="M70">
            <v>50</v>
          </cell>
          <cell r="N70">
            <v>50</v>
          </cell>
        </row>
        <row r="71">
          <cell r="C71"/>
          <cell r="D71"/>
          <cell r="E71"/>
          <cell r="F71"/>
          <cell r="G71"/>
          <cell r="I71">
            <v>50</v>
          </cell>
          <cell r="J71">
            <v>50</v>
          </cell>
          <cell r="K71">
            <v>50</v>
          </cell>
          <cell r="L71">
            <v>50</v>
          </cell>
          <cell r="M71">
            <v>50</v>
          </cell>
          <cell r="N71">
            <v>50</v>
          </cell>
        </row>
        <row r="72">
          <cell r="C72"/>
          <cell r="D72"/>
          <cell r="E72"/>
          <cell r="F72"/>
          <cell r="G72"/>
          <cell r="I72">
            <v>50</v>
          </cell>
          <cell r="J72">
            <v>50</v>
          </cell>
          <cell r="K72">
            <v>50</v>
          </cell>
          <cell r="L72">
            <v>50</v>
          </cell>
          <cell r="M72">
            <v>50</v>
          </cell>
          <cell r="N72">
            <v>50</v>
          </cell>
        </row>
        <row r="73">
          <cell r="C73"/>
          <cell r="D73"/>
          <cell r="E73"/>
          <cell r="F73"/>
          <cell r="G73"/>
          <cell r="I73">
            <v>50</v>
          </cell>
          <cell r="J73">
            <v>50</v>
          </cell>
          <cell r="K73">
            <v>50</v>
          </cell>
          <cell r="L73">
            <v>50</v>
          </cell>
          <cell r="M73">
            <v>50</v>
          </cell>
          <cell r="N73">
            <v>50</v>
          </cell>
        </row>
        <row r="74">
          <cell r="C74"/>
          <cell r="D74"/>
          <cell r="E74"/>
          <cell r="F74"/>
          <cell r="G74"/>
          <cell r="I74">
            <v>50</v>
          </cell>
          <cell r="J74">
            <v>50</v>
          </cell>
          <cell r="K74">
            <v>50</v>
          </cell>
          <cell r="L74">
            <v>50</v>
          </cell>
          <cell r="M74">
            <v>50</v>
          </cell>
          <cell r="N74">
            <v>50</v>
          </cell>
        </row>
        <row r="75">
          <cell r="C75"/>
          <cell r="D75"/>
          <cell r="E75"/>
          <cell r="F75"/>
          <cell r="G75"/>
          <cell r="I75">
            <v>50</v>
          </cell>
          <cell r="J75">
            <v>50</v>
          </cell>
          <cell r="K75">
            <v>50</v>
          </cell>
          <cell r="L75">
            <v>50</v>
          </cell>
          <cell r="M75">
            <v>50</v>
          </cell>
          <cell r="N75">
            <v>50</v>
          </cell>
        </row>
        <row r="76">
          <cell r="C76"/>
          <cell r="D76"/>
          <cell r="E76"/>
          <cell r="F76"/>
          <cell r="G76"/>
          <cell r="I76">
            <v>150</v>
          </cell>
          <cell r="J76">
            <v>150</v>
          </cell>
          <cell r="K76">
            <v>150</v>
          </cell>
          <cell r="L76">
            <v>150</v>
          </cell>
          <cell r="M76">
            <v>150</v>
          </cell>
          <cell r="N76">
            <v>100</v>
          </cell>
        </row>
        <row r="77">
          <cell r="C77"/>
          <cell r="D77"/>
          <cell r="E77"/>
          <cell r="F77"/>
          <cell r="G77"/>
          <cell r="I77">
            <v>150</v>
          </cell>
          <cell r="J77">
            <v>150</v>
          </cell>
          <cell r="K77">
            <v>150</v>
          </cell>
          <cell r="L77">
            <v>150</v>
          </cell>
          <cell r="M77">
            <v>150</v>
          </cell>
          <cell r="N77">
            <v>100</v>
          </cell>
        </row>
        <row r="78">
          <cell r="C78"/>
          <cell r="D78"/>
          <cell r="E78"/>
          <cell r="F78"/>
          <cell r="G78"/>
          <cell r="I78">
            <v>150</v>
          </cell>
          <cell r="J78">
            <v>150</v>
          </cell>
          <cell r="K78">
            <v>150</v>
          </cell>
          <cell r="L78">
            <v>150</v>
          </cell>
          <cell r="M78">
            <v>150</v>
          </cell>
          <cell r="N78">
            <v>100</v>
          </cell>
        </row>
        <row r="79">
          <cell r="C79"/>
          <cell r="D79"/>
          <cell r="E79"/>
          <cell r="F79"/>
          <cell r="G79"/>
          <cell r="I79">
            <v>100</v>
          </cell>
          <cell r="J79">
            <v>100</v>
          </cell>
          <cell r="K79">
            <v>100</v>
          </cell>
          <cell r="L79">
            <v>100</v>
          </cell>
          <cell r="M79">
            <v>100</v>
          </cell>
          <cell r="N79">
            <v>100</v>
          </cell>
        </row>
        <row r="80">
          <cell r="C80"/>
          <cell r="D80"/>
          <cell r="E80"/>
          <cell r="F80"/>
          <cell r="G80"/>
          <cell r="I80">
            <v>100</v>
          </cell>
          <cell r="J80">
            <v>100</v>
          </cell>
          <cell r="K80">
            <v>100</v>
          </cell>
          <cell r="L80">
            <v>100</v>
          </cell>
          <cell r="M80">
            <v>100</v>
          </cell>
          <cell r="N80">
            <v>100</v>
          </cell>
        </row>
        <row r="81">
          <cell r="C81"/>
          <cell r="D81"/>
          <cell r="E81"/>
          <cell r="F81"/>
          <cell r="G81"/>
          <cell r="I81">
            <v>100</v>
          </cell>
          <cell r="J81">
            <v>100</v>
          </cell>
          <cell r="K81">
            <v>100</v>
          </cell>
          <cell r="L81">
            <v>100</v>
          </cell>
          <cell r="M81">
            <v>100</v>
          </cell>
          <cell r="N81">
            <v>100</v>
          </cell>
        </row>
        <row r="82">
          <cell r="C82"/>
          <cell r="D82"/>
          <cell r="E82"/>
          <cell r="F82"/>
          <cell r="G82"/>
          <cell r="I82">
            <v>100</v>
          </cell>
          <cell r="J82">
            <v>100</v>
          </cell>
          <cell r="K82">
            <v>100</v>
          </cell>
          <cell r="L82">
            <v>100</v>
          </cell>
          <cell r="M82">
            <v>100</v>
          </cell>
          <cell r="N82">
            <v>100</v>
          </cell>
        </row>
        <row r="83">
          <cell r="C83"/>
          <cell r="D83"/>
          <cell r="E83"/>
          <cell r="F83"/>
          <cell r="G83"/>
          <cell r="I83">
            <v>200</v>
          </cell>
          <cell r="J83">
            <v>200</v>
          </cell>
          <cell r="K83">
            <v>200</v>
          </cell>
          <cell r="L83">
            <v>200</v>
          </cell>
          <cell r="M83">
            <v>200</v>
          </cell>
          <cell r="N83">
            <v>200</v>
          </cell>
        </row>
        <row r="84">
          <cell r="C84"/>
          <cell r="D84"/>
          <cell r="E84"/>
          <cell r="F84"/>
          <cell r="G84"/>
          <cell r="I84">
            <v>100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</row>
        <row r="85">
          <cell r="C85"/>
          <cell r="D85"/>
          <cell r="E85"/>
          <cell r="F85"/>
          <cell r="G85"/>
          <cell r="I85">
            <v>100</v>
          </cell>
          <cell r="J85">
            <v>100</v>
          </cell>
          <cell r="K85">
            <v>100</v>
          </cell>
          <cell r="L85">
            <v>100</v>
          </cell>
          <cell r="M85">
            <v>100</v>
          </cell>
          <cell r="N85">
            <v>100</v>
          </cell>
        </row>
        <row r="86">
          <cell r="C86"/>
          <cell r="D86"/>
          <cell r="E86"/>
          <cell r="F86"/>
          <cell r="G86"/>
          <cell r="I86">
            <v>150</v>
          </cell>
          <cell r="J86">
            <v>150</v>
          </cell>
          <cell r="K86">
            <v>150</v>
          </cell>
          <cell r="L86">
            <v>150</v>
          </cell>
          <cell r="M86">
            <v>150</v>
          </cell>
          <cell r="N86">
            <v>100</v>
          </cell>
        </row>
        <row r="87">
          <cell r="C87"/>
          <cell r="D87"/>
          <cell r="E87"/>
          <cell r="F87"/>
          <cell r="G87"/>
          <cell r="I87">
            <v>100</v>
          </cell>
          <cell r="J87">
            <v>100</v>
          </cell>
          <cell r="K87">
            <v>100</v>
          </cell>
          <cell r="L87">
            <v>100</v>
          </cell>
          <cell r="M87">
            <v>100</v>
          </cell>
          <cell r="N87">
            <v>100</v>
          </cell>
        </row>
        <row r="88">
          <cell r="C88"/>
          <cell r="D88"/>
          <cell r="E88"/>
          <cell r="F88"/>
          <cell r="G88"/>
          <cell r="I88">
            <v>100</v>
          </cell>
          <cell r="J88">
            <v>100</v>
          </cell>
          <cell r="K88">
            <v>100</v>
          </cell>
          <cell r="L88">
            <v>100</v>
          </cell>
          <cell r="M88">
            <v>100</v>
          </cell>
          <cell r="N88">
            <v>100</v>
          </cell>
        </row>
        <row r="89">
          <cell r="C89"/>
          <cell r="D89"/>
          <cell r="E89"/>
          <cell r="F89"/>
          <cell r="G89"/>
          <cell r="I89">
            <v>100</v>
          </cell>
          <cell r="J89">
            <v>100</v>
          </cell>
          <cell r="K89">
            <v>100</v>
          </cell>
          <cell r="L89">
            <v>100</v>
          </cell>
          <cell r="M89">
            <v>100</v>
          </cell>
          <cell r="N89">
            <v>100</v>
          </cell>
        </row>
        <row r="90">
          <cell r="C90"/>
          <cell r="D90"/>
          <cell r="E90"/>
          <cell r="F90"/>
          <cell r="G90"/>
          <cell r="I90">
            <v>150</v>
          </cell>
          <cell r="J90">
            <v>150</v>
          </cell>
          <cell r="K90">
            <v>150</v>
          </cell>
          <cell r="L90">
            <v>150</v>
          </cell>
          <cell r="M90">
            <v>150</v>
          </cell>
          <cell r="N90">
            <v>150</v>
          </cell>
        </row>
        <row r="91">
          <cell r="C91"/>
          <cell r="D91"/>
          <cell r="E91"/>
          <cell r="F91"/>
          <cell r="G91"/>
          <cell r="I91">
            <v>30</v>
          </cell>
          <cell r="J91">
            <v>30</v>
          </cell>
          <cell r="K91">
            <v>30</v>
          </cell>
          <cell r="L91">
            <v>35</v>
          </cell>
          <cell r="M91">
            <v>25</v>
          </cell>
          <cell r="N91">
            <v>25</v>
          </cell>
        </row>
        <row r="92">
          <cell r="C92"/>
          <cell r="D92"/>
          <cell r="E92"/>
          <cell r="F92"/>
          <cell r="G92"/>
          <cell r="I92">
            <v>50</v>
          </cell>
          <cell r="J92">
            <v>50</v>
          </cell>
          <cell r="K92">
            <v>50</v>
          </cell>
          <cell r="L92">
            <v>50</v>
          </cell>
          <cell r="M92">
            <v>25</v>
          </cell>
          <cell r="N92">
            <v>25</v>
          </cell>
        </row>
        <row r="93">
          <cell r="C93"/>
          <cell r="D93"/>
          <cell r="E93"/>
          <cell r="F93"/>
          <cell r="G93"/>
          <cell r="I93">
            <v>30</v>
          </cell>
          <cell r="J93">
            <v>30</v>
          </cell>
          <cell r="K93">
            <v>30</v>
          </cell>
          <cell r="L93">
            <v>35</v>
          </cell>
          <cell r="M93">
            <v>25</v>
          </cell>
          <cell r="N93">
            <v>25</v>
          </cell>
        </row>
        <row r="94">
          <cell r="C94"/>
          <cell r="D94"/>
          <cell r="E94"/>
          <cell r="F94"/>
          <cell r="G94"/>
          <cell r="I94">
            <v>750</v>
          </cell>
          <cell r="J94">
            <v>750</v>
          </cell>
          <cell r="K94">
            <v>750</v>
          </cell>
          <cell r="L94">
            <v>750</v>
          </cell>
          <cell r="M94">
            <v>750</v>
          </cell>
          <cell r="N94">
            <v>750</v>
          </cell>
        </row>
        <row r="95">
          <cell r="C95"/>
          <cell r="D95"/>
          <cell r="E95"/>
          <cell r="F95"/>
          <cell r="G95"/>
          <cell r="I95">
            <v>900</v>
          </cell>
          <cell r="J95">
            <v>900</v>
          </cell>
          <cell r="K95">
            <v>600</v>
          </cell>
          <cell r="L95">
            <v>900</v>
          </cell>
          <cell r="M95">
            <v>900</v>
          </cell>
          <cell r="N95">
            <v>900</v>
          </cell>
        </row>
        <row r="96">
          <cell r="C96"/>
          <cell r="D96"/>
          <cell r="E96"/>
          <cell r="F96"/>
          <cell r="G96"/>
          <cell r="I96">
            <v>0</v>
          </cell>
          <cell r="J96">
            <v>600</v>
          </cell>
          <cell r="K96">
            <v>600</v>
          </cell>
          <cell r="L96">
            <v>600</v>
          </cell>
          <cell r="M96">
            <v>600</v>
          </cell>
          <cell r="N96">
            <v>0</v>
          </cell>
        </row>
        <row r="97">
          <cell r="C97"/>
          <cell r="D97"/>
          <cell r="E97"/>
          <cell r="F97"/>
          <cell r="G97"/>
          <cell r="I97">
            <v>250</v>
          </cell>
          <cell r="J97">
            <v>250</v>
          </cell>
          <cell r="K97">
            <v>250</v>
          </cell>
          <cell r="L97">
            <v>250</v>
          </cell>
          <cell r="M97">
            <v>250</v>
          </cell>
          <cell r="N97">
            <v>100</v>
          </cell>
        </row>
        <row r="98">
          <cell r="C98"/>
          <cell r="D98"/>
          <cell r="E98"/>
          <cell r="F98"/>
          <cell r="G98"/>
          <cell r="I98">
            <v>300</v>
          </cell>
          <cell r="J98">
            <v>300</v>
          </cell>
          <cell r="K98">
            <v>300</v>
          </cell>
          <cell r="L98">
            <v>300</v>
          </cell>
          <cell r="M98">
            <v>300</v>
          </cell>
          <cell r="N98">
            <v>300</v>
          </cell>
        </row>
        <row r="99">
          <cell r="C99"/>
          <cell r="D99"/>
          <cell r="E99"/>
          <cell r="F99"/>
          <cell r="G99"/>
          <cell r="I99">
            <v>100</v>
          </cell>
          <cell r="J99">
            <v>100</v>
          </cell>
          <cell r="K99">
            <v>100</v>
          </cell>
          <cell r="L99">
            <v>100</v>
          </cell>
          <cell r="M99">
            <v>100</v>
          </cell>
          <cell r="N99">
            <v>100</v>
          </cell>
        </row>
        <row r="100">
          <cell r="C100"/>
          <cell r="D100"/>
          <cell r="E100"/>
          <cell r="F100"/>
          <cell r="G100"/>
          <cell r="I100">
            <v>150</v>
          </cell>
          <cell r="J100">
            <v>150</v>
          </cell>
          <cell r="K100">
            <v>150</v>
          </cell>
          <cell r="L100">
            <v>150</v>
          </cell>
          <cell r="M100">
            <v>150</v>
          </cell>
          <cell r="N100">
            <v>150</v>
          </cell>
        </row>
        <row r="101">
          <cell r="C101"/>
          <cell r="D101"/>
          <cell r="E101"/>
          <cell r="F101"/>
          <cell r="G101"/>
          <cell r="I101">
            <v>300</v>
          </cell>
          <cell r="J101">
            <v>300</v>
          </cell>
          <cell r="K101">
            <v>300</v>
          </cell>
          <cell r="L101">
            <v>300</v>
          </cell>
          <cell r="M101">
            <v>300</v>
          </cell>
          <cell r="N101">
            <v>300</v>
          </cell>
        </row>
        <row r="102">
          <cell r="C102"/>
          <cell r="D102"/>
          <cell r="E102"/>
          <cell r="F102"/>
          <cell r="G102"/>
          <cell r="I102">
            <v>200</v>
          </cell>
          <cell r="J102">
            <v>200</v>
          </cell>
          <cell r="K102">
            <v>200</v>
          </cell>
          <cell r="L102">
            <v>200</v>
          </cell>
          <cell r="M102">
            <v>200</v>
          </cell>
          <cell r="N102">
            <v>200</v>
          </cell>
        </row>
        <row r="103">
          <cell r="C103">
            <v>200</v>
          </cell>
          <cell r="D103">
            <v>200</v>
          </cell>
          <cell r="E103">
            <v>200</v>
          </cell>
          <cell r="F103">
            <v>200</v>
          </cell>
          <cell r="G103">
            <v>200</v>
          </cell>
          <cell r="I103">
            <v>200</v>
          </cell>
          <cell r="J103">
            <v>200</v>
          </cell>
          <cell r="K103">
            <v>200</v>
          </cell>
          <cell r="L103">
            <v>200</v>
          </cell>
          <cell r="M103">
            <v>200</v>
          </cell>
          <cell r="N103">
            <v>200</v>
          </cell>
        </row>
        <row r="104">
          <cell r="C104"/>
          <cell r="D104"/>
          <cell r="E104"/>
          <cell r="F104"/>
          <cell r="G104"/>
          <cell r="I104">
            <v>300</v>
          </cell>
          <cell r="J104">
            <v>300</v>
          </cell>
          <cell r="K104">
            <v>300</v>
          </cell>
          <cell r="L104">
            <v>300</v>
          </cell>
          <cell r="M104">
            <v>300</v>
          </cell>
          <cell r="N104">
            <v>300</v>
          </cell>
        </row>
        <row r="105">
          <cell r="C105"/>
          <cell r="D105"/>
          <cell r="E105"/>
          <cell r="F105"/>
          <cell r="G105"/>
          <cell r="I105">
            <v>300</v>
          </cell>
          <cell r="J105">
            <v>300</v>
          </cell>
          <cell r="K105">
            <v>300</v>
          </cell>
          <cell r="L105">
            <v>300</v>
          </cell>
          <cell r="M105">
            <v>300</v>
          </cell>
          <cell r="N105">
            <v>300</v>
          </cell>
        </row>
        <row r="106">
          <cell r="C106"/>
          <cell r="D106"/>
          <cell r="E106"/>
          <cell r="F106"/>
          <cell r="G106"/>
          <cell r="I106">
            <v>100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/>
          <cell r="D107"/>
          <cell r="E107"/>
          <cell r="F107"/>
          <cell r="G107"/>
          <cell r="I107">
            <v>0</v>
          </cell>
          <cell r="J107"/>
          <cell r="K107"/>
          <cell r="L107"/>
          <cell r="M107"/>
          <cell r="N107"/>
        </row>
        <row r="108">
          <cell r="I108">
            <v>100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C109"/>
          <cell r="D109"/>
          <cell r="E109"/>
          <cell r="F109"/>
          <cell r="G109"/>
          <cell r="I109">
            <v>200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/>
          <cell r="D110"/>
          <cell r="E110"/>
          <cell r="F110"/>
          <cell r="G110"/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C111"/>
          <cell r="D111"/>
          <cell r="E111"/>
          <cell r="F111"/>
          <cell r="G111"/>
          <cell r="I111"/>
          <cell r="J111"/>
          <cell r="K111"/>
          <cell r="L111"/>
          <cell r="M111"/>
          <cell r="N111"/>
        </row>
        <row r="112">
          <cell r="C112"/>
          <cell r="D112"/>
          <cell r="E112"/>
          <cell r="F112"/>
          <cell r="G112"/>
          <cell r="I112"/>
          <cell r="J112"/>
          <cell r="L112"/>
          <cell r="M112"/>
          <cell r="N112"/>
        </row>
        <row r="113">
          <cell r="C113"/>
          <cell r="D113"/>
          <cell r="E113"/>
          <cell r="F113"/>
          <cell r="G113"/>
          <cell r="I113"/>
          <cell r="J113"/>
          <cell r="K113"/>
          <cell r="L113"/>
          <cell r="M113"/>
          <cell r="N113"/>
        </row>
        <row r="114">
          <cell r="C114"/>
          <cell r="D114"/>
          <cell r="E114"/>
          <cell r="F114"/>
          <cell r="G114"/>
          <cell r="I114"/>
          <cell r="J114"/>
          <cell r="K114"/>
          <cell r="L114"/>
          <cell r="M114"/>
          <cell r="N114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01"/>
      <sheetName val="ارزش 1401"/>
      <sheetName val="تنزیل"/>
      <sheetName val="شاخص میانگین خرید"/>
      <sheetName val="مجموع"/>
      <sheetName val="BTC"/>
      <sheetName val="ETH"/>
      <sheetName val="USDT"/>
      <sheetName val="AUD"/>
      <sheetName val="فزر"/>
      <sheetName val="فروی"/>
      <sheetName val="آریا"/>
      <sheetName val="فملی"/>
      <sheetName val="شستا"/>
      <sheetName val="کچاد"/>
      <sheetName val="calulator"/>
      <sheetName val="نت صندوق"/>
      <sheetName val="Chart1"/>
      <sheetName val="Chart2"/>
      <sheetName val="Chart3"/>
    </sheetNames>
    <sheetDataSet>
      <sheetData sheetId="0">
        <row r="4">
          <cell r="H4">
            <v>300</v>
          </cell>
        </row>
        <row r="5">
          <cell r="H5">
            <v>100</v>
          </cell>
        </row>
        <row r="6">
          <cell r="H6">
            <v>100</v>
          </cell>
        </row>
        <row r="7">
          <cell r="H7">
            <v>100</v>
          </cell>
        </row>
        <row r="8">
          <cell r="H8">
            <v>100</v>
          </cell>
        </row>
        <row r="9">
          <cell r="H9">
            <v>200</v>
          </cell>
        </row>
        <row r="10">
          <cell r="H10">
            <v>100</v>
          </cell>
        </row>
        <row r="11">
          <cell r="H11">
            <v>50</v>
          </cell>
        </row>
        <row r="12">
          <cell r="H12">
            <v>200</v>
          </cell>
        </row>
        <row r="13">
          <cell r="H13">
            <v>50</v>
          </cell>
        </row>
        <row r="14">
          <cell r="H14">
            <v>50</v>
          </cell>
        </row>
        <row r="15">
          <cell r="H15">
            <v>50</v>
          </cell>
        </row>
        <row r="16">
          <cell r="H16">
            <v>50</v>
          </cell>
        </row>
        <row r="17">
          <cell r="H17">
            <v>75</v>
          </cell>
        </row>
        <row r="18">
          <cell r="H18">
            <v>200</v>
          </cell>
        </row>
        <row r="19">
          <cell r="H19">
            <v>200</v>
          </cell>
        </row>
        <row r="20">
          <cell r="H20">
            <v>100</v>
          </cell>
        </row>
        <row r="21">
          <cell r="H21">
            <v>0</v>
          </cell>
        </row>
        <row r="22">
          <cell r="H22">
            <v>100</v>
          </cell>
        </row>
        <row r="23">
          <cell r="H23">
            <v>100</v>
          </cell>
        </row>
        <row r="24">
          <cell r="H24">
            <v>100</v>
          </cell>
        </row>
        <row r="25">
          <cell r="H25">
            <v>150</v>
          </cell>
        </row>
        <row r="26">
          <cell r="H26">
            <v>150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50</v>
          </cell>
        </row>
        <row r="31">
          <cell r="H31">
            <v>200</v>
          </cell>
        </row>
        <row r="32">
          <cell r="H32">
            <v>100</v>
          </cell>
        </row>
        <row r="33">
          <cell r="H33">
            <v>0</v>
          </cell>
        </row>
        <row r="34">
          <cell r="H34">
            <v>200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150</v>
          </cell>
        </row>
        <row r="39">
          <cell r="H39">
            <v>200</v>
          </cell>
        </row>
        <row r="40">
          <cell r="H40">
            <v>150</v>
          </cell>
        </row>
        <row r="41">
          <cell r="H41">
            <v>100</v>
          </cell>
        </row>
        <row r="42">
          <cell r="H42">
            <v>50</v>
          </cell>
        </row>
        <row r="43">
          <cell r="H43">
            <v>50</v>
          </cell>
        </row>
        <row r="44">
          <cell r="H44">
            <v>100</v>
          </cell>
        </row>
        <row r="45">
          <cell r="H45">
            <v>0</v>
          </cell>
        </row>
        <row r="46">
          <cell r="H46">
            <v>0</v>
          </cell>
        </row>
        <row r="47">
          <cell r="H47">
            <v>150</v>
          </cell>
        </row>
        <row r="48">
          <cell r="H48">
            <v>150</v>
          </cell>
        </row>
        <row r="49">
          <cell r="H49">
            <v>0</v>
          </cell>
        </row>
        <row r="50">
          <cell r="H50">
            <v>0</v>
          </cell>
        </row>
        <row r="51">
          <cell r="H51">
            <v>50</v>
          </cell>
        </row>
        <row r="52">
          <cell r="H52">
            <v>100</v>
          </cell>
        </row>
        <row r="53">
          <cell r="H53">
            <v>50</v>
          </cell>
        </row>
        <row r="54">
          <cell r="H54">
            <v>50</v>
          </cell>
        </row>
        <row r="55">
          <cell r="H55">
            <v>189</v>
          </cell>
        </row>
        <row r="56">
          <cell r="H56">
            <v>0</v>
          </cell>
        </row>
        <row r="57">
          <cell r="H57">
            <v>300</v>
          </cell>
        </row>
        <row r="58">
          <cell r="H58">
            <v>100</v>
          </cell>
        </row>
        <row r="59">
          <cell r="H59">
            <v>846</v>
          </cell>
        </row>
        <row r="60">
          <cell r="H60">
            <v>400</v>
          </cell>
        </row>
        <row r="61">
          <cell r="H61">
            <v>300</v>
          </cell>
        </row>
        <row r="62">
          <cell r="H62">
            <v>300</v>
          </cell>
        </row>
        <row r="63">
          <cell r="H63">
            <v>150</v>
          </cell>
        </row>
        <row r="64">
          <cell r="H64">
            <v>150</v>
          </cell>
        </row>
        <row r="65">
          <cell r="H65">
            <v>150</v>
          </cell>
        </row>
        <row r="66">
          <cell r="H66">
            <v>75</v>
          </cell>
        </row>
        <row r="67">
          <cell r="H67">
            <v>75</v>
          </cell>
        </row>
        <row r="68">
          <cell r="H68">
            <v>75</v>
          </cell>
        </row>
        <row r="69">
          <cell r="H69">
            <v>75</v>
          </cell>
        </row>
        <row r="70">
          <cell r="H70">
            <v>50</v>
          </cell>
        </row>
        <row r="71">
          <cell r="H71">
            <v>50</v>
          </cell>
        </row>
        <row r="72">
          <cell r="H72">
            <v>50</v>
          </cell>
        </row>
        <row r="73">
          <cell r="H73">
            <v>50</v>
          </cell>
        </row>
        <row r="74">
          <cell r="H74">
            <v>50</v>
          </cell>
        </row>
        <row r="75">
          <cell r="H75">
            <v>50</v>
          </cell>
        </row>
        <row r="76">
          <cell r="H76">
            <v>150</v>
          </cell>
        </row>
        <row r="77">
          <cell r="H77">
            <v>150</v>
          </cell>
        </row>
        <row r="78">
          <cell r="H78">
            <v>150</v>
          </cell>
        </row>
        <row r="79">
          <cell r="H79">
            <v>100</v>
          </cell>
        </row>
        <row r="80">
          <cell r="H80">
            <v>100</v>
          </cell>
        </row>
        <row r="81">
          <cell r="H81">
            <v>100</v>
          </cell>
        </row>
        <row r="82">
          <cell r="H82">
            <v>100</v>
          </cell>
        </row>
        <row r="83">
          <cell r="H83">
            <v>200</v>
          </cell>
        </row>
        <row r="84">
          <cell r="H84">
            <v>100</v>
          </cell>
        </row>
        <row r="85">
          <cell r="H85">
            <v>100</v>
          </cell>
        </row>
        <row r="86">
          <cell r="H86">
            <v>150</v>
          </cell>
        </row>
        <row r="87">
          <cell r="H87">
            <v>100</v>
          </cell>
        </row>
        <row r="88">
          <cell r="H88">
            <v>100</v>
          </cell>
        </row>
        <row r="89">
          <cell r="H89">
            <v>100</v>
          </cell>
        </row>
        <row r="90">
          <cell r="H90">
            <v>150</v>
          </cell>
        </row>
        <row r="91">
          <cell r="H91">
            <v>30</v>
          </cell>
        </row>
        <row r="92">
          <cell r="H92">
            <v>50</v>
          </cell>
        </row>
        <row r="93">
          <cell r="H93">
            <v>30</v>
          </cell>
        </row>
        <row r="94">
          <cell r="H94">
            <v>750</v>
          </cell>
        </row>
        <row r="95">
          <cell r="H95">
            <v>900</v>
          </cell>
        </row>
        <row r="96">
          <cell r="H96">
            <v>600</v>
          </cell>
        </row>
        <row r="97">
          <cell r="H97">
            <v>250</v>
          </cell>
        </row>
        <row r="98">
          <cell r="H98">
            <v>300</v>
          </cell>
        </row>
        <row r="99">
          <cell r="H99">
            <v>100</v>
          </cell>
        </row>
        <row r="100">
          <cell r="H100">
            <v>150</v>
          </cell>
        </row>
        <row r="101">
          <cell r="H101">
            <v>300</v>
          </cell>
        </row>
        <row r="102">
          <cell r="H102">
            <v>200</v>
          </cell>
        </row>
        <row r="103">
          <cell r="H103">
            <v>200</v>
          </cell>
        </row>
        <row r="104">
          <cell r="H104">
            <v>300</v>
          </cell>
        </row>
        <row r="105">
          <cell r="H105">
            <v>300</v>
          </cell>
        </row>
        <row r="106">
          <cell r="H106">
            <v>100</v>
          </cell>
        </row>
        <row r="107">
          <cell r="H107">
            <v>0</v>
          </cell>
        </row>
        <row r="108">
          <cell r="H108">
            <v>100</v>
          </cell>
        </row>
        <row r="109">
          <cell r="H109">
            <v>200</v>
          </cell>
        </row>
        <row r="110">
          <cell r="H110">
            <v>0</v>
          </cell>
        </row>
        <row r="111">
          <cell r="H111">
            <v>80</v>
          </cell>
        </row>
        <row r="112">
          <cell r="H112">
            <v>0</v>
          </cell>
        </row>
        <row r="113">
          <cell r="H113">
            <v>200</v>
          </cell>
        </row>
        <row r="114">
          <cell r="H114">
            <v>100</v>
          </cell>
        </row>
        <row r="119">
          <cell r="H119">
            <v>0</v>
          </cell>
        </row>
        <row r="120">
          <cell r="H120">
            <v>0</v>
          </cell>
        </row>
        <row r="121">
          <cell r="H121">
            <v>0</v>
          </cell>
        </row>
        <row r="122">
          <cell r="H122">
            <v>0</v>
          </cell>
        </row>
        <row r="123">
          <cell r="H1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C"/>
      <sheetName val="ETH"/>
      <sheetName val="USDT"/>
      <sheetName val="AUD"/>
      <sheetName val="فزر"/>
      <sheetName val="فروی"/>
      <sheetName val="آریا"/>
      <sheetName val="فملی"/>
      <sheetName val="شستا"/>
      <sheetName val="کچاد"/>
      <sheetName val="calulator"/>
      <sheetName val="نت صندوق"/>
      <sheetName val="Chart1"/>
      <sheetName val="Chart2"/>
      <sheetName val="char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L11" t="str">
            <v>فروردین</v>
          </cell>
        </row>
        <row r="12">
          <cell r="L12" t="str">
            <v>اردیبهشت</v>
          </cell>
        </row>
        <row r="13">
          <cell r="L13" t="str">
            <v>خرداد</v>
          </cell>
        </row>
        <row r="14">
          <cell r="L14" t="str">
            <v xml:space="preserve">تیر </v>
          </cell>
        </row>
        <row r="15">
          <cell r="L15" t="str">
            <v>مرداد</v>
          </cell>
        </row>
        <row r="16">
          <cell r="L16" t="str">
            <v>شهریور</v>
          </cell>
        </row>
        <row r="17">
          <cell r="L17" t="str">
            <v>مهر</v>
          </cell>
        </row>
        <row r="18">
          <cell r="L18" t="str">
            <v>آبان</v>
          </cell>
        </row>
        <row r="19">
          <cell r="L19" t="str">
            <v>آذر</v>
          </cell>
        </row>
        <row r="20">
          <cell r="L20" t="str">
            <v xml:space="preserve">دی </v>
          </cell>
        </row>
        <row r="21">
          <cell r="L21" t="str">
            <v>بهمن</v>
          </cell>
        </row>
        <row r="22">
          <cell r="L22" t="str">
            <v>اسفند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id="1" name="Table1" displayName="Table1" ref="C5:M24" totalsRowShown="0" headerRowDxfId="160" dataDxfId="158" headerRowBorderDxfId="159" tableBorderDxfId="157">
  <autoFilter ref="C5:M24"/>
  <tableColumns count="11">
    <tableColumn id="1" name="priod" dataDxfId="156"/>
    <tableColumn id="2" name="Shares price" dataDxfId="155"/>
    <tableColumn id="3" name="Shares invesment" dataDxfId="154"/>
    <tableColumn id="4" name="Shares  bought" dataDxfId="153">
      <calculatedColumnFormula>E6/D6</calculatedColumnFormula>
    </tableColumn>
    <tableColumn id="5" name="Shares owned" dataDxfId="152"/>
    <tableColumn id="6" name="shares cost" dataDxfId="151"/>
    <tableColumn id="7" name="Avarges per Shares" dataDxfId="150">
      <calculatedColumnFormula>H6/G6</calculatedColumnFormula>
    </tableColumn>
    <tableColumn id="8" name="Total value" dataDxfId="149">
      <calculatedColumnFormula>G6*D6</calculatedColumnFormula>
    </tableColumn>
    <tableColumn id="9" name="Porofit/Loss" dataDxfId="148">
      <calculatedColumnFormula>J6-H6</calculatedColumnFormula>
    </tableColumn>
    <tableColumn id="10" name="Pofit%" dataDxfId="147">
      <calculatedColumnFormula>100*(J6-H6)/H6</calculatedColumnFormula>
    </tableColumn>
    <tableColumn id="11" name="Column1" dataDxfId="146"/>
  </tableColumns>
  <tableStyleInfo name="TableStyleDark9" showFirstColumn="0" showLastColumn="0" showRowStripes="1" showColumnStripes="0"/>
</table>
</file>

<file path=xl/tables/table10.xml><?xml version="1.0" encoding="utf-8"?>
<table xmlns="http://schemas.openxmlformats.org/spreadsheetml/2006/main" id="9" name="Table111" displayName="Table111" ref="C5:N29" totalsRowShown="0" headerRowDxfId="26" dataDxfId="24" headerRowBorderDxfId="25" tableBorderDxfId="23">
  <autoFilter ref="C5:N29"/>
  <tableColumns count="12">
    <tableColumn id="1" name="priod" dataDxfId="22"/>
    <tableColumn id="2" name="Shares price" dataDxfId="21"/>
    <tableColumn id="3" name="Shares invesment" dataDxfId="20"/>
    <tableColumn id="4" name="Shares  bought" dataDxfId="19">
      <calculatedColumnFormula>E6/D6</calculatedColumnFormula>
    </tableColumn>
    <tableColumn id="12" name="Column2" dataDxfId="18">
      <calculatedColumnFormula>INT(Table111[[#This Row],[Shares  bought]]*1.14)</calculatedColumnFormula>
    </tableColumn>
    <tableColumn id="5" name="Shares owned" dataDxfId="17"/>
    <tableColumn id="6" name="shares cost" dataDxfId="16"/>
    <tableColumn id="7" name="Avarges per Shares" dataDxfId="15">
      <calculatedColumnFormula>I6/H6</calculatedColumnFormula>
    </tableColumn>
    <tableColumn id="8" name="Total value" dataDxfId="14">
      <calculatedColumnFormula>H6*D6</calculatedColumnFormula>
    </tableColumn>
    <tableColumn id="9" name="Porofit/Loss" dataDxfId="13">
      <calculatedColumnFormula>K6-I6</calculatedColumnFormula>
    </tableColumn>
    <tableColumn id="10" name="Pofit%" dataDxfId="12">
      <calculatedColumnFormula>100*(K6-I6)/I6</calculatedColumnFormula>
    </tableColumn>
    <tableColumn id="11" name="Column1" dataDxfId="11">
      <calculatedColumnFormula>_xlfn.STDEV.S(D1:D6)</calculatedColumnFormula>
    </tableColumn>
  </tableColumns>
  <tableStyleInfo name="TableStyleDark9" showFirstColumn="0" showLastColumn="0" showRowStripes="1" showColumnStripes="0"/>
</table>
</file>

<file path=xl/tables/table11.xml><?xml version="1.0" encoding="utf-8"?>
<table xmlns="http://schemas.openxmlformats.org/spreadsheetml/2006/main" id="10" name="Table5" displayName="Table5" ref="D9:K22" totalsRowShown="0" headerRowDxfId="10" dataDxfId="8" headerRowBorderDxfId="9">
  <autoFilter ref="D9:K22"/>
  <tableColumns count="8">
    <tableColumn id="1" name="درصد سود/ضرر" dataDxfId="7"/>
    <tableColumn id="2" name="نت صندوق" dataDxfId="6"/>
    <tableColumn id="3" name="ارزش صندوق" dataDxfId="5"/>
    <tableColumn id="4" name="ارزش سهام خریداری" dataDxfId="4"/>
    <tableColumn id="5" name="باقی مانده صندوق" dataDxfId="3"/>
    <tableColumn id="6" name="مقدار کل سهم خریداری" dataDxfId="2"/>
    <tableColumn id="9" name="ارزش تنزیل شده" dataDxfId="1"/>
    <tableColumn id="7" name="کل واریزی صندوق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18" displayName="Table118" ref="C5:M24" totalsRowShown="0" headerRowDxfId="145" dataDxfId="143" headerRowBorderDxfId="144" tableBorderDxfId="142">
  <autoFilter ref="C5:M24"/>
  <tableColumns count="11">
    <tableColumn id="1" name="priod" dataDxfId="141"/>
    <tableColumn id="2" name="Shares price" dataDxfId="140"/>
    <tableColumn id="3" name="Shares invesment" dataDxfId="139"/>
    <tableColumn id="4" name="Shares  bought" dataDxfId="138">
      <calculatedColumnFormula>E6/D6</calculatedColumnFormula>
    </tableColumn>
    <tableColumn id="5" name="Shares owned" dataDxfId="137"/>
    <tableColumn id="6" name="shares cost" dataDxfId="136"/>
    <tableColumn id="7" name="Avarges per Shares" dataDxfId="135">
      <calculatedColumnFormula>H6/G6</calculatedColumnFormula>
    </tableColumn>
    <tableColumn id="8" name="Total value" dataDxfId="134">
      <calculatedColumnFormula>G6*D6</calculatedColumnFormula>
    </tableColumn>
    <tableColumn id="9" name="Porofit/Loss" dataDxfId="133">
      <calculatedColumnFormula>J6-H6</calculatedColumnFormula>
    </tableColumn>
    <tableColumn id="10" name="Pofit%" dataDxfId="132">
      <calculatedColumnFormula>100*(J6-H6)/H6</calculatedColumnFormula>
    </tableColumn>
    <tableColumn id="11" name="dolar" dataDxfId="131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3" name="Table117" displayName="Table117" ref="C5:L25" totalsRowShown="0" headerRowDxfId="130" dataDxfId="128" headerRowBorderDxfId="129" tableBorderDxfId="127">
  <autoFilter ref="C5:L25"/>
  <tableColumns count="10">
    <tableColumn id="1" name="priod" dataDxfId="126"/>
    <tableColumn id="2" name="Shares price" dataDxfId="125"/>
    <tableColumn id="3" name="Shares invesment" dataDxfId="124"/>
    <tableColumn id="4" name="Shares  bought" dataDxfId="123">
      <calculatedColumnFormula>E6/D6</calculatedColumnFormula>
    </tableColumn>
    <tableColumn id="5" name="Shares owned" dataDxfId="122"/>
    <tableColumn id="6" name="shares cost" dataDxfId="121"/>
    <tableColumn id="7" name="Avarges per Shares" dataDxfId="120">
      <calculatedColumnFormula>H6/G6</calculatedColumnFormula>
    </tableColumn>
    <tableColumn id="8" name="Total value" dataDxfId="119">
      <calculatedColumnFormula>G6*D6</calculatedColumnFormula>
    </tableColumn>
    <tableColumn id="9" name="Porofit/Loss" dataDxfId="118">
      <calculatedColumnFormula>J6-H6</calculatedColumnFormula>
    </tableColumn>
    <tableColumn id="10" name="Pofit%" dataDxfId="117">
      <calculatedColumnFormula>100*(J6-H6)/H6</calculatedColumnFormula>
    </tableColumn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4" name="Table116" displayName="Table116" ref="C5:M21" totalsRowShown="0" headerRowDxfId="116" dataDxfId="114" headerRowBorderDxfId="115" tableBorderDxfId="113">
  <autoFilter ref="C5:M21"/>
  <tableColumns count="11">
    <tableColumn id="1" name="priod" dataDxfId="112"/>
    <tableColumn id="2" name="Shares price" dataDxfId="111"/>
    <tableColumn id="3" name="Shares invesment" dataDxfId="110"/>
    <tableColumn id="4" name="Shares  bought" dataDxfId="109">
      <calculatedColumnFormula>E6/D6</calculatedColumnFormula>
    </tableColumn>
    <tableColumn id="5" name="Shares owned" dataDxfId="108"/>
    <tableColumn id="6" name="shares cost" dataDxfId="107"/>
    <tableColumn id="7" name="Avarges per Shares" dataDxfId="106">
      <calculatedColumnFormula>H6/G6</calculatedColumnFormula>
    </tableColumn>
    <tableColumn id="8" name="Total value" dataDxfId="105">
      <calculatedColumnFormula>G6*D6</calculatedColumnFormula>
    </tableColumn>
    <tableColumn id="9" name="Porofit/Loss" dataDxfId="104">
      <calculatedColumnFormula>J6-H6</calculatedColumnFormula>
    </tableColumn>
    <tableColumn id="10" name="Pofit%" dataDxfId="103">
      <calculatedColumnFormula>100*(J6-H6)/H6</calculatedColumnFormula>
    </tableColumn>
    <tableColumn id="11" name="dolar" dataDxfId="102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1" name="Table11420" displayName="Table11420" ref="C5:M21" totalsRowShown="0" headerRowDxfId="101" dataDxfId="99" headerRowBorderDxfId="100" tableBorderDxfId="98">
  <autoFilter ref="C5:M21"/>
  <tableColumns count="11">
    <tableColumn id="1" name="priod" dataDxfId="97"/>
    <tableColumn id="2" name="Shares price" dataDxfId="96"/>
    <tableColumn id="3" name="Shares invesment" dataDxfId="95"/>
    <tableColumn id="4" name="Shares  bought" dataDxfId="94">
      <calculatedColumnFormula>E6/D6</calculatedColumnFormula>
    </tableColumn>
    <tableColumn id="11" name="Column1" dataDxfId="93"/>
    <tableColumn id="5" name="Shares owned" dataDxfId="92"/>
    <tableColumn id="6" name="shares cost" dataDxfId="91"/>
    <tableColumn id="7" name="Avarges per Shares" dataDxfId="90">
      <calculatedColumnFormula>I6/H6</calculatedColumnFormula>
    </tableColumn>
    <tableColumn id="8" name="Total value" dataDxfId="89">
      <calculatedColumnFormula>H6*D6</calculatedColumnFormula>
    </tableColumn>
    <tableColumn id="9" name="Porofit/Loss" dataDxfId="88">
      <calculatedColumnFormula>K6-I6</calculatedColumnFormula>
    </tableColumn>
    <tableColumn id="10" name="Pofit%" dataDxfId="87">
      <calculatedColumnFormula>100*(K6-I6)/I6</calculatedColumnFormula>
    </tableColumn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id="5" name="Table115" displayName="Table115" ref="C5:M25" totalsRowShown="0" headerRowDxfId="86" dataDxfId="84" headerRowBorderDxfId="85" tableBorderDxfId="83">
  <autoFilter ref="C5:M25"/>
  <tableColumns count="11">
    <tableColumn id="1" name="priod" dataDxfId="82"/>
    <tableColumn id="2" name="Shares price" dataDxfId="81"/>
    <tableColumn id="3" name="Shares invesment" dataDxfId="80"/>
    <tableColumn id="4" name="Shares  bought" dataDxfId="79">
      <calculatedColumnFormula>E6/D6</calculatedColumnFormula>
    </tableColumn>
    <tableColumn id="11" name="Column1" dataDxfId="78">
      <calculatedColumnFormula>INT(Table115[[#This Row],[Shares  bought]]*0.5)</calculatedColumnFormula>
    </tableColumn>
    <tableColumn id="5" name="Shares owned" dataDxfId="77"/>
    <tableColumn id="6" name="shares cost" dataDxfId="76"/>
    <tableColumn id="7" name="Avarges per Shares" dataDxfId="75">
      <calculatedColumnFormula>I6/H6</calculatedColumnFormula>
    </tableColumn>
    <tableColumn id="8" name="Total value" dataDxfId="74">
      <calculatedColumnFormula>H6*D6</calculatedColumnFormula>
    </tableColumn>
    <tableColumn id="9" name="Porofit/Loss" dataDxfId="73">
      <calculatedColumnFormula>K6-I6</calculatedColumnFormula>
    </tableColumn>
    <tableColumn id="10" name="Pofit%" dataDxfId="72">
      <calculatedColumnFormula>100*(K6-I6)/I6</calculatedColumnFormula>
    </tableColumn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id="6" name="Table114" displayName="Table114" ref="C5:M25" totalsRowShown="0" headerRowDxfId="71" dataDxfId="69" headerRowBorderDxfId="70" tableBorderDxfId="68">
  <autoFilter ref="C5:M25"/>
  <tableColumns count="11">
    <tableColumn id="1" name="priod" dataDxfId="67"/>
    <tableColumn id="2" name="Shares price" dataDxfId="66"/>
    <tableColumn id="3" name="Shares invesment" dataDxfId="65"/>
    <tableColumn id="4" name="Shares  bought" dataDxfId="64">
      <calculatedColumnFormula>E6/D6</calculatedColumnFormula>
    </tableColumn>
    <tableColumn id="11" name="Column1" dataDxfId="63">
      <calculatedColumnFormula>INT(Table114[[#This Row],[Shares  bought]]*0.5)</calculatedColumnFormula>
    </tableColumn>
    <tableColumn id="5" name="Shares owned" dataDxfId="62"/>
    <tableColumn id="6" name="shares cost" dataDxfId="61"/>
    <tableColumn id="7" name="Avarges per Shares" dataDxfId="60">
      <calculatedColumnFormula>I6/H6</calculatedColumnFormula>
    </tableColumn>
    <tableColumn id="8" name="Total value" dataDxfId="59">
      <calculatedColumnFormula>H6*D6</calculatedColumnFormula>
    </tableColumn>
    <tableColumn id="9" name="Porofit/Loss" dataDxfId="58">
      <calculatedColumnFormula>K6-I6</calculatedColumnFormula>
    </tableColumn>
    <tableColumn id="10" name="Pofit%" dataDxfId="57">
      <calculatedColumnFormula>100*(K6-I6)/I6</calculatedColumnFormula>
    </tableColumn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id="7" name="Table113" displayName="Table113" ref="C5:M26" totalsRowShown="0" headerRowDxfId="56" dataDxfId="54" headerRowBorderDxfId="55" tableBorderDxfId="53">
  <autoFilter ref="C5:M26"/>
  <tableColumns count="11">
    <tableColumn id="1" name="priod" dataDxfId="52"/>
    <tableColumn id="2" name="Shares price" dataDxfId="51"/>
    <tableColumn id="3" name="Shares invesment" dataDxfId="50"/>
    <tableColumn id="4" name="Shares  bought" dataDxfId="49">
      <calculatedColumnFormula>E6/D6</calculatedColumnFormula>
    </tableColumn>
    <tableColumn id="11" name="Column1" dataDxfId="48">
      <calculatedColumnFormula>INT(Table113[[#This Row],[Shares  bought]]*1)</calculatedColumnFormula>
    </tableColumn>
    <tableColumn id="5" name="Shares owned" dataDxfId="47"/>
    <tableColumn id="6" name="shares cost" dataDxfId="46"/>
    <tableColumn id="7" name="Avarges per Shares" dataDxfId="45">
      <calculatedColumnFormula>I6/H6</calculatedColumnFormula>
    </tableColumn>
    <tableColumn id="8" name="Total value" dataDxfId="44">
      <calculatedColumnFormula>H6*D6</calculatedColumnFormula>
    </tableColumn>
    <tableColumn id="9" name="Porofit/Loss" dataDxfId="43">
      <calculatedColumnFormula>K6-I6</calculatedColumnFormula>
    </tableColumn>
    <tableColumn id="10" name="Pofit%" dataDxfId="42">
      <calculatedColumnFormula>100*(K6-I6)/I6</calculatedColumnFormula>
    </tableColumn>
  </tableColumns>
  <tableStyleInfo name="TableStyleDark9" showFirstColumn="0" showLastColumn="0" showRowStripes="1" showColumnStripes="0"/>
</table>
</file>

<file path=xl/tables/table9.xml><?xml version="1.0" encoding="utf-8"?>
<table xmlns="http://schemas.openxmlformats.org/spreadsheetml/2006/main" id="8" name="Table112" displayName="Table112" ref="C5:M24" totalsRowShown="0" headerRowDxfId="41" dataDxfId="39" headerRowBorderDxfId="40" tableBorderDxfId="38">
  <autoFilter ref="C5:M24"/>
  <tableColumns count="11">
    <tableColumn id="1" name="priod" dataDxfId="37"/>
    <tableColumn id="2" name="Shares price" dataDxfId="36"/>
    <tableColumn id="3" name="Shares invesment" dataDxfId="35"/>
    <tableColumn id="4" name="Shares  bought" dataDxfId="34">
      <calculatedColumnFormula>E6/D6</calculatedColumnFormula>
    </tableColumn>
    <tableColumn id="11" name="Column1" dataDxfId="33">
      <calculatedColumnFormula>INT(Table112[[#This Row],[Shares  bought]]*10.52)</calculatedColumnFormula>
    </tableColumn>
    <tableColumn id="5" name="Shares owned" dataDxfId="32"/>
    <tableColumn id="6" name="shares cost" dataDxfId="31"/>
    <tableColumn id="7" name="Avarges per Shares" dataDxfId="30">
      <calculatedColumnFormula>I6/H6</calculatedColumnFormula>
    </tableColumn>
    <tableColumn id="8" name="Total value" dataDxfId="29">
      <calculatedColumnFormula>H6*D6</calculatedColumnFormula>
    </tableColumn>
    <tableColumn id="9" name="Porofit/Loss" dataDxfId="28">
      <calculatedColumnFormula>K6-I6</calculatedColumnFormula>
    </tableColumn>
    <tableColumn id="10" name="Pofit%" dataDxfId="27">
      <calculatedColumnFormula>100*(K6-I6)/I6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7"/>
  <sheetViews>
    <sheetView tabSelected="1" zoomScaleNormal="100" workbookViewId="0">
      <selection activeCell="B3" sqref="B3:B133"/>
    </sheetView>
  </sheetViews>
  <sheetFormatPr defaultRowHeight="14.4" x14ac:dyDescent="0.3"/>
  <cols>
    <col min="2" max="2" width="12.77734375" bestFit="1" customWidth="1"/>
    <col min="7" max="7" width="10.88671875" bestFit="1" customWidth="1"/>
    <col min="8" max="8" width="11.21875" bestFit="1" customWidth="1"/>
    <col min="13" max="13" width="10.33203125" bestFit="1" customWidth="1"/>
    <col min="14" max="14" width="8.88671875" style="2" customWidth="1"/>
    <col min="15" max="15" width="22.6640625" style="53" customWidth="1"/>
    <col min="16" max="16" width="20.21875" customWidth="1"/>
    <col min="18" max="18" width="15.77734375" customWidth="1"/>
  </cols>
  <sheetData>
    <row r="3" spans="1:19" ht="22.2" x14ac:dyDescent="0.3">
      <c r="A3" s="53"/>
      <c r="B3" s="5" t="s">
        <v>117</v>
      </c>
      <c r="C3" s="53" t="s">
        <v>47</v>
      </c>
      <c r="D3" s="53" t="s">
        <v>48</v>
      </c>
      <c r="E3" s="53" t="s">
        <v>49</v>
      </c>
      <c r="F3" s="53" t="s">
        <v>58</v>
      </c>
      <c r="G3" s="53" t="s">
        <v>57</v>
      </c>
      <c r="H3" s="53" t="s">
        <v>56</v>
      </c>
      <c r="I3" s="53" t="s">
        <v>55</v>
      </c>
      <c r="J3" s="53" t="s">
        <v>54</v>
      </c>
      <c r="K3" s="53" t="s">
        <v>53</v>
      </c>
      <c r="L3" s="53" t="s">
        <v>52</v>
      </c>
      <c r="M3" s="53" t="s">
        <v>51</v>
      </c>
      <c r="N3" s="53" t="s">
        <v>50</v>
      </c>
      <c r="O3" s="53" t="s">
        <v>59</v>
      </c>
      <c r="P3" s="53" t="s">
        <v>88</v>
      </c>
      <c r="Q3" s="53" t="s">
        <v>46</v>
      </c>
    </row>
    <row r="4" spans="1:19" ht="22.2" x14ac:dyDescent="0.3">
      <c r="A4" s="53"/>
      <c r="B4" s="6">
        <f t="shared" ref="B4:B35" si="0">SUM(C4:N4)</f>
        <v>2400</v>
      </c>
      <c r="C4" s="1"/>
      <c r="D4" s="1"/>
      <c r="E4" s="1"/>
      <c r="F4" s="1"/>
      <c r="G4" s="1">
        <v>300</v>
      </c>
      <c r="H4" s="1">
        <v>300</v>
      </c>
      <c r="I4" s="1">
        <v>300</v>
      </c>
      <c r="J4" s="1">
        <v>300</v>
      </c>
      <c r="K4" s="1">
        <v>300</v>
      </c>
      <c r="L4" s="1">
        <v>300</v>
      </c>
      <c r="M4" s="1">
        <v>300</v>
      </c>
      <c r="N4" s="1">
        <v>300</v>
      </c>
      <c r="O4" s="4">
        <v>300</v>
      </c>
      <c r="P4" s="53" t="s">
        <v>60</v>
      </c>
      <c r="Q4" s="53">
        <v>1001</v>
      </c>
      <c r="R4" s="53" t="s">
        <v>93</v>
      </c>
      <c r="S4" s="53">
        <v>1</v>
      </c>
    </row>
    <row r="5" spans="1:19" ht="22.2" x14ac:dyDescent="0.3">
      <c r="A5" s="53"/>
      <c r="B5" s="6">
        <f t="shared" si="0"/>
        <v>1050</v>
      </c>
      <c r="C5" s="1"/>
      <c r="D5" s="1"/>
      <c r="E5" s="1"/>
      <c r="F5" s="1"/>
      <c r="G5" s="1"/>
      <c r="H5" s="1">
        <v>100</v>
      </c>
      <c r="I5" s="1">
        <v>250</v>
      </c>
      <c r="J5" s="1">
        <v>200</v>
      </c>
      <c r="K5" s="1">
        <v>200</v>
      </c>
      <c r="L5" s="1">
        <v>100</v>
      </c>
      <c r="M5" s="1">
        <v>100</v>
      </c>
      <c r="N5" s="1">
        <v>100</v>
      </c>
      <c r="O5" s="4">
        <v>100</v>
      </c>
      <c r="P5" s="53" t="s">
        <v>9</v>
      </c>
      <c r="Q5" s="53">
        <v>1009</v>
      </c>
      <c r="R5" s="53" t="s">
        <v>93</v>
      </c>
      <c r="S5" s="53">
        <v>2</v>
      </c>
    </row>
    <row r="6" spans="1:19" ht="22.2" x14ac:dyDescent="0.3">
      <c r="A6" s="53"/>
      <c r="B6" s="6">
        <f t="shared" si="0"/>
        <v>700</v>
      </c>
      <c r="C6" s="1"/>
      <c r="D6" s="1"/>
      <c r="E6" s="1"/>
      <c r="F6" s="1"/>
      <c r="G6" s="1"/>
      <c r="H6" s="1">
        <v>100</v>
      </c>
      <c r="I6" s="1">
        <v>100</v>
      </c>
      <c r="J6" s="1">
        <v>100</v>
      </c>
      <c r="K6" s="1">
        <v>100</v>
      </c>
      <c r="L6" s="1">
        <v>100</v>
      </c>
      <c r="M6" s="1">
        <v>100</v>
      </c>
      <c r="N6" s="1">
        <v>100</v>
      </c>
      <c r="O6" s="4">
        <v>100</v>
      </c>
      <c r="P6" s="53" t="s">
        <v>8</v>
      </c>
      <c r="Q6" s="53">
        <v>1018</v>
      </c>
      <c r="R6" s="53" t="s">
        <v>93</v>
      </c>
      <c r="S6" s="53">
        <v>3</v>
      </c>
    </row>
    <row r="7" spans="1:19" ht="22.2" x14ac:dyDescent="0.3">
      <c r="A7" s="53"/>
      <c r="B7" s="6">
        <f t="shared" si="0"/>
        <v>700</v>
      </c>
      <c r="C7" s="1"/>
      <c r="D7" s="1"/>
      <c r="E7" s="1"/>
      <c r="F7" s="1"/>
      <c r="G7" s="1"/>
      <c r="H7" s="1">
        <v>100</v>
      </c>
      <c r="I7" s="1">
        <v>100</v>
      </c>
      <c r="J7" s="1">
        <v>100</v>
      </c>
      <c r="K7" s="1">
        <v>100</v>
      </c>
      <c r="L7" s="1">
        <v>100</v>
      </c>
      <c r="M7" s="1">
        <v>100</v>
      </c>
      <c r="N7" s="1">
        <v>100</v>
      </c>
      <c r="O7" s="4">
        <v>100</v>
      </c>
      <c r="P7" s="53" t="s">
        <v>7</v>
      </c>
      <c r="Q7" s="53">
        <v>1057</v>
      </c>
      <c r="R7" s="53" t="s">
        <v>93</v>
      </c>
      <c r="S7" s="53">
        <v>4</v>
      </c>
    </row>
    <row r="8" spans="1:19" ht="22.2" x14ac:dyDescent="0.3">
      <c r="A8" s="53"/>
      <c r="B8" s="6">
        <f t="shared" si="0"/>
        <v>800</v>
      </c>
      <c r="C8" s="1"/>
      <c r="D8" s="1"/>
      <c r="E8" s="1"/>
      <c r="F8" s="1"/>
      <c r="G8" s="1"/>
      <c r="H8" s="1">
        <v>100</v>
      </c>
      <c r="I8" s="1">
        <v>100</v>
      </c>
      <c r="J8" s="1">
        <v>100</v>
      </c>
      <c r="K8" s="1">
        <v>200</v>
      </c>
      <c r="L8" s="1">
        <v>100</v>
      </c>
      <c r="M8" s="1">
        <v>100</v>
      </c>
      <c r="N8" s="1">
        <v>100</v>
      </c>
      <c r="O8" s="4">
        <v>100</v>
      </c>
      <c r="P8" s="53" t="s">
        <v>15</v>
      </c>
      <c r="Q8" s="53">
        <v>1022</v>
      </c>
      <c r="R8" s="53" t="s">
        <v>93</v>
      </c>
      <c r="S8" s="53">
        <v>5</v>
      </c>
    </row>
    <row r="9" spans="1:19" ht="22.2" x14ac:dyDescent="0.3">
      <c r="A9" s="53"/>
      <c r="B9" s="6">
        <f t="shared" si="0"/>
        <v>1300</v>
      </c>
      <c r="C9" s="1"/>
      <c r="D9" s="1"/>
      <c r="E9" s="1"/>
      <c r="F9" s="1"/>
      <c r="G9" s="1"/>
      <c r="H9" s="1">
        <v>200</v>
      </c>
      <c r="I9" s="1">
        <v>200</v>
      </c>
      <c r="J9" s="1">
        <v>200</v>
      </c>
      <c r="K9" s="1">
        <v>100</v>
      </c>
      <c r="L9" s="1">
        <v>200</v>
      </c>
      <c r="M9" s="1">
        <v>200</v>
      </c>
      <c r="N9" s="1">
        <v>200</v>
      </c>
      <c r="O9" s="4">
        <v>200</v>
      </c>
      <c r="P9" s="53" t="s">
        <v>78</v>
      </c>
      <c r="Q9" s="53">
        <v>1011</v>
      </c>
      <c r="R9" s="53" t="s">
        <v>93</v>
      </c>
      <c r="S9" s="53">
        <v>6</v>
      </c>
    </row>
    <row r="10" spans="1:19" ht="22.2" x14ac:dyDescent="0.3">
      <c r="A10" s="53"/>
      <c r="B10" s="6">
        <f t="shared" si="0"/>
        <v>700</v>
      </c>
      <c r="C10" s="1"/>
      <c r="D10" s="1"/>
      <c r="E10" s="1"/>
      <c r="F10" s="1"/>
      <c r="G10" s="1"/>
      <c r="H10" s="1">
        <v>100</v>
      </c>
      <c r="I10" s="1">
        <v>100</v>
      </c>
      <c r="J10" s="1">
        <v>100</v>
      </c>
      <c r="K10" s="1">
        <v>100</v>
      </c>
      <c r="L10" s="1">
        <v>100</v>
      </c>
      <c r="M10" s="1">
        <v>100</v>
      </c>
      <c r="N10" s="1">
        <v>100</v>
      </c>
      <c r="O10" s="4">
        <v>100</v>
      </c>
      <c r="P10" s="53" t="s">
        <v>107</v>
      </c>
      <c r="Q10" s="53">
        <v>1002</v>
      </c>
      <c r="R10" s="53" t="s">
        <v>93</v>
      </c>
      <c r="S10" s="53">
        <v>7</v>
      </c>
    </row>
    <row r="11" spans="1:19" ht="22.2" x14ac:dyDescent="0.3">
      <c r="A11" s="53"/>
      <c r="B11" s="6">
        <f t="shared" si="0"/>
        <v>350</v>
      </c>
      <c r="C11" s="1"/>
      <c r="D11" s="1"/>
      <c r="E11" s="1"/>
      <c r="F11" s="1"/>
      <c r="G11" s="1"/>
      <c r="H11" s="1">
        <v>50</v>
      </c>
      <c r="I11" s="1">
        <v>50</v>
      </c>
      <c r="J11" s="1">
        <v>50</v>
      </c>
      <c r="K11" s="1">
        <v>50</v>
      </c>
      <c r="L11" s="1">
        <v>50</v>
      </c>
      <c r="M11" s="1">
        <v>50</v>
      </c>
      <c r="N11" s="1">
        <v>50</v>
      </c>
      <c r="O11" s="4">
        <v>50</v>
      </c>
      <c r="P11" s="53" t="s">
        <v>16</v>
      </c>
      <c r="Q11" s="53">
        <v>1043</v>
      </c>
      <c r="R11" s="53" t="s">
        <v>93</v>
      </c>
      <c r="S11" s="53">
        <v>8</v>
      </c>
    </row>
    <row r="12" spans="1:19" ht="22.2" x14ac:dyDescent="0.3">
      <c r="A12" s="53"/>
      <c r="B12" s="6">
        <f t="shared" si="0"/>
        <v>1400</v>
      </c>
      <c r="C12" s="1"/>
      <c r="D12" s="1"/>
      <c r="E12" s="1"/>
      <c r="F12" s="1"/>
      <c r="G12" s="1"/>
      <c r="H12" s="1">
        <v>200</v>
      </c>
      <c r="I12" s="1">
        <v>200</v>
      </c>
      <c r="J12" s="1">
        <v>200</v>
      </c>
      <c r="K12" s="1">
        <v>200</v>
      </c>
      <c r="L12" s="1">
        <v>200</v>
      </c>
      <c r="M12" s="1">
        <v>200</v>
      </c>
      <c r="N12" s="1">
        <v>200</v>
      </c>
      <c r="O12" s="4">
        <v>200</v>
      </c>
      <c r="P12" s="53" t="s">
        <v>25</v>
      </c>
      <c r="Q12" s="53">
        <v>1023</v>
      </c>
      <c r="R12" s="53"/>
      <c r="S12" s="53">
        <v>9</v>
      </c>
    </row>
    <row r="13" spans="1:19" ht="22.2" x14ac:dyDescent="0.3">
      <c r="A13" s="53"/>
      <c r="B13" s="6">
        <f t="shared" si="0"/>
        <v>350</v>
      </c>
      <c r="C13" s="1"/>
      <c r="D13" s="1"/>
      <c r="E13" s="1"/>
      <c r="F13" s="1"/>
      <c r="G13" s="1"/>
      <c r="H13" s="1">
        <v>50</v>
      </c>
      <c r="I13" s="1">
        <v>50</v>
      </c>
      <c r="J13" s="1">
        <v>50</v>
      </c>
      <c r="K13" s="1">
        <v>50</v>
      </c>
      <c r="L13" s="1">
        <v>50</v>
      </c>
      <c r="M13" s="1">
        <v>50</v>
      </c>
      <c r="N13" s="1">
        <v>50</v>
      </c>
      <c r="O13" s="4">
        <v>50</v>
      </c>
      <c r="P13" s="53" t="s">
        <v>84</v>
      </c>
      <c r="Q13" s="53">
        <v>1032</v>
      </c>
      <c r="R13" s="53" t="s">
        <v>93</v>
      </c>
      <c r="S13" s="53">
        <v>10</v>
      </c>
    </row>
    <row r="14" spans="1:19" ht="22.2" x14ac:dyDescent="0.3">
      <c r="A14" s="53"/>
      <c r="B14" s="6">
        <f t="shared" si="0"/>
        <v>350</v>
      </c>
      <c r="C14" s="1"/>
      <c r="D14" s="1"/>
      <c r="E14" s="1"/>
      <c r="F14" s="1"/>
      <c r="G14" s="1"/>
      <c r="H14" s="1">
        <v>50</v>
      </c>
      <c r="I14" s="1">
        <v>50</v>
      </c>
      <c r="J14" s="1">
        <v>50</v>
      </c>
      <c r="K14" s="1">
        <v>50</v>
      </c>
      <c r="L14" s="1">
        <v>50</v>
      </c>
      <c r="M14" s="1">
        <v>50</v>
      </c>
      <c r="N14" s="1">
        <v>50</v>
      </c>
      <c r="O14" s="4">
        <v>50</v>
      </c>
      <c r="P14" s="53" t="s">
        <v>66</v>
      </c>
      <c r="Q14" s="53">
        <v>1036</v>
      </c>
      <c r="R14" s="53" t="s">
        <v>93</v>
      </c>
      <c r="S14" s="53">
        <v>11</v>
      </c>
    </row>
    <row r="15" spans="1:19" ht="22.2" x14ac:dyDescent="0.3">
      <c r="A15" s="53"/>
      <c r="B15" s="6">
        <f t="shared" si="0"/>
        <v>350</v>
      </c>
      <c r="C15" s="1"/>
      <c r="D15" s="1"/>
      <c r="E15" s="1"/>
      <c r="F15" s="1"/>
      <c r="G15" s="1"/>
      <c r="H15" s="1">
        <v>50</v>
      </c>
      <c r="I15" s="1">
        <v>50</v>
      </c>
      <c r="J15" s="1">
        <v>50</v>
      </c>
      <c r="K15" s="1">
        <v>50</v>
      </c>
      <c r="L15" s="1">
        <v>50</v>
      </c>
      <c r="M15" s="1">
        <v>50</v>
      </c>
      <c r="N15" s="1">
        <v>50</v>
      </c>
      <c r="O15" s="4">
        <v>50</v>
      </c>
      <c r="P15" s="53" t="s">
        <v>108</v>
      </c>
      <c r="Q15" s="53">
        <v>1003</v>
      </c>
      <c r="R15" s="53" t="s">
        <v>93</v>
      </c>
      <c r="S15" s="53">
        <v>12</v>
      </c>
    </row>
    <row r="16" spans="1:19" ht="22.2" x14ac:dyDescent="0.3">
      <c r="A16" s="53"/>
      <c r="B16" s="6">
        <f t="shared" si="0"/>
        <v>350</v>
      </c>
      <c r="C16" s="1"/>
      <c r="D16" s="1"/>
      <c r="E16" s="1"/>
      <c r="F16" s="1"/>
      <c r="G16" s="1"/>
      <c r="H16" s="1">
        <v>50</v>
      </c>
      <c r="I16" s="1">
        <v>50</v>
      </c>
      <c r="J16" s="1">
        <v>50</v>
      </c>
      <c r="K16" s="1">
        <v>50</v>
      </c>
      <c r="L16" s="1">
        <v>50</v>
      </c>
      <c r="M16" s="1">
        <v>50</v>
      </c>
      <c r="N16" s="1">
        <v>50</v>
      </c>
      <c r="O16" s="4">
        <v>50</v>
      </c>
      <c r="P16" s="53" t="s">
        <v>21</v>
      </c>
      <c r="Q16" s="53">
        <v>1062</v>
      </c>
      <c r="R16" s="53" t="s">
        <v>93</v>
      </c>
      <c r="S16" s="53">
        <v>13</v>
      </c>
    </row>
    <row r="17" spans="1:19" ht="22.2" x14ac:dyDescent="0.3">
      <c r="A17" s="53"/>
      <c r="B17" s="6">
        <f t="shared" si="0"/>
        <v>475</v>
      </c>
      <c r="C17" s="1"/>
      <c r="D17" s="1"/>
      <c r="E17" s="1"/>
      <c r="F17" s="1"/>
      <c r="G17" s="1"/>
      <c r="H17" s="1">
        <v>75</v>
      </c>
      <c r="I17" s="1">
        <v>75</v>
      </c>
      <c r="J17" s="1">
        <v>75</v>
      </c>
      <c r="K17" s="1">
        <v>75</v>
      </c>
      <c r="L17" s="1">
        <v>75</v>
      </c>
      <c r="M17" s="1">
        <v>50</v>
      </c>
      <c r="N17" s="1">
        <v>50</v>
      </c>
      <c r="O17" s="4">
        <v>50</v>
      </c>
      <c r="P17" s="53" t="s">
        <v>36</v>
      </c>
      <c r="Q17" s="53">
        <v>1027</v>
      </c>
      <c r="R17" s="53"/>
      <c r="S17" s="53">
        <v>14</v>
      </c>
    </row>
    <row r="18" spans="1:19" ht="22.2" x14ac:dyDescent="0.3">
      <c r="A18" s="53"/>
      <c r="B18" s="6">
        <f t="shared" si="0"/>
        <v>1300</v>
      </c>
      <c r="C18" s="1"/>
      <c r="D18" s="1"/>
      <c r="E18" s="1"/>
      <c r="F18" s="1"/>
      <c r="G18" s="1"/>
      <c r="H18" s="1">
        <v>200</v>
      </c>
      <c r="I18" s="1">
        <v>200</v>
      </c>
      <c r="J18" s="1">
        <v>300</v>
      </c>
      <c r="K18" s="1">
        <v>200</v>
      </c>
      <c r="L18" s="1">
        <v>200</v>
      </c>
      <c r="M18" s="1">
        <v>100</v>
      </c>
      <c r="N18" s="1">
        <v>100</v>
      </c>
      <c r="O18" s="4">
        <v>200</v>
      </c>
      <c r="P18" s="53" t="s">
        <v>18</v>
      </c>
      <c r="Q18" s="53">
        <v>1033</v>
      </c>
      <c r="R18" s="53" t="s">
        <v>93</v>
      </c>
      <c r="S18" s="53">
        <v>15</v>
      </c>
    </row>
    <row r="19" spans="1:19" ht="22.2" x14ac:dyDescent="0.3">
      <c r="A19" s="53"/>
      <c r="B19" s="6">
        <f t="shared" si="0"/>
        <v>1200</v>
      </c>
      <c r="C19" s="1"/>
      <c r="D19" s="1"/>
      <c r="E19" s="1"/>
      <c r="F19" s="1"/>
      <c r="G19" s="1"/>
      <c r="H19" s="1">
        <v>200</v>
      </c>
      <c r="I19" s="1">
        <v>200</v>
      </c>
      <c r="J19" s="1">
        <v>200</v>
      </c>
      <c r="K19" s="1">
        <v>200</v>
      </c>
      <c r="L19" s="1">
        <v>200</v>
      </c>
      <c r="M19" s="1">
        <v>100</v>
      </c>
      <c r="N19" s="1">
        <v>100</v>
      </c>
      <c r="O19" s="4">
        <v>200</v>
      </c>
      <c r="P19" s="53" t="s">
        <v>17</v>
      </c>
      <c r="Q19" s="53">
        <v>1005</v>
      </c>
      <c r="R19" s="53" t="s">
        <v>93</v>
      </c>
      <c r="S19" s="53">
        <v>16</v>
      </c>
    </row>
    <row r="20" spans="1:19" ht="22.2" x14ac:dyDescent="0.3">
      <c r="A20" s="53"/>
      <c r="B20" s="6">
        <f t="shared" si="0"/>
        <v>650</v>
      </c>
      <c r="C20" s="1"/>
      <c r="D20" s="1"/>
      <c r="E20" s="1"/>
      <c r="F20" s="1"/>
      <c r="G20" s="1"/>
      <c r="H20" s="1">
        <v>100</v>
      </c>
      <c r="I20" s="1">
        <v>100</v>
      </c>
      <c r="J20" s="1">
        <v>150</v>
      </c>
      <c r="K20" s="1">
        <v>100</v>
      </c>
      <c r="L20" s="1">
        <v>100</v>
      </c>
      <c r="M20" s="1">
        <v>50</v>
      </c>
      <c r="N20" s="1">
        <v>50</v>
      </c>
      <c r="O20" s="4">
        <v>100</v>
      </c>
      <c r="P20" s="53" t="s">
        <v>45</v>
      </c>
      <c r="Q20" s="53">
        <v>1017</v>
      </c>
      <c r="R20" s="53" t="s">
        <v>93</v>
      </c>
      <c r="S20" s="53">
        <v>17</v>
      </c>
    </row>
    <row r="21" spans="1:19" ht="22.2" x14ac:dyDescent="0.3">
      <c r="A21" s="53"/>
      <c r="B21" s="6">
        <f t="shared" si="0"/>
        <v>500</v>
      </c>
      <c r="C21" s="1"/>
      <c r="D21" s="1"/>
      <c r="E21" s="1"/>
      <c r="F21" s="1"/>
      <c r="G21" s="1"/>
      <c r="H21" s="1">
        <v>0</v>
      </c>
      <c r="I21" s="1">
        <v>0</v>
      </c>
      <c r="J21" s="1">
        <v>0</v>
      </c>
      <c r="K21" s="1">
        <v>150</v>
      </c>
      <c r="L21" s="1">
        <v>150</v>
      </c>
      <c r="M21" s="1">
        <v>100</v>
      </c>
      <c r="N21" s="1">
        <v>100</v>
      </c>
      <c r="O21" s="4">
        <v>100</v>
      </c>
      <c r="P21" s="53" t="s">
        <v>114</v>
      </c>
      <c r="Q21" s="53">
        <v>1078</v>
      </c>
      <c r="R21" s="53" t="s">
        <v>93</v>
      </c>
      <c r="S21" s="53">
        <v>18</v>
      </c>
    </row>
    <row r="22" spans="1:19" ht="22.2" x14ac:dyDescent="0.3">
      <c r="A22" s="53"/>
      <c r="B22" s="6">
        <f t="shared" si="0"/>
        <v>700</v>
      </c>
      <c r="C22" s="1"/>
      <c r="D22" s="1"/>
      <c r="E22" s="1"/>
      <c r="F22" s="1"/>
      <c r="G22" s="1"/>
      <c r="H22" s="1">
        <v>100</v>
      </c>
      <c r="I22" s="63">
        <v>100</v>
      </c>
      <c r="J22" s="1">
        <v>100</v>
      </c>
      <c r="K22" s="1">
        <v>100</v>
      </c>
      <c r="L22" s="1">
        <v>100</v>
      </c>
      <c r="M22" s="1">
        <v>100</v>
      </c>
      <c r="N22" s="1">
        <v>100</v>
      </c>
      <c r="O22" s="4">
        <v>100</v>
      </c>
      <c r="P22" s="53" t="s">
        <v>11</v>
      </c>
      <c r="Q22" s="53">
        <v>1024</v>
      </c>
      <c r="R22" s="53" t="s">
        <v>93</v>
      </c>
      <c r="S22" s="53">
        <v>19</v>
      </c>
    </row>
    <row r="23" spans="1:19" ht="22.2" x14ac:dyDescent="0.3">
      <c r="A23" s="53"/>
      <c r="B23" s="6">
        <f t="shared" si="0"/>
        <v>700</v>
      </c>
      <c r="C23" s="1"/>
      <c r="D23" s="1"/>
      <c r="E23" s="1"/>
      <c r="F23" s="1"/>
      <c r="G23" s="1"/>
      <c r="H23" s="1">
        <v>100</v>
      </c>
      <c r="I23" s="63">
        <v>100</v>
      </c>
      <c r="J23" s="1">
        <v>100</v>
      </c>
      <c r="K23" s="1">
        <v>100</v>
      </c>
      <c r="L23" s="1">
        <v>100</v>
      </c>
      <c r="M23" s="1">
        <v>100</v>
      </c>
      <c r="N23" s="1">
        <v>100</v>
      </c>
      <c r="O23" s="4">
        <v>100</v>
      </c>
      <c r="P23" s="53" t="s">
        <v>10</v>
      </c>
      <c r="Q23" s="53">
        <v>1040</v>
      </c>
      <c r="R23" s="53" t="s">
        <v>93</v>
      </c>
      <c r="S23" s="53">
        <v>20</v>
      </c>
    </row>
    <row r="24" spans="1:19" ht="22.2" x14ac:dyDescent="0.3">
      <c r="A24" s="53"/>
      <c r="B24" s="6">
        <f t="shared" si="0"/>
        <v>700</v>
      </c>
      <c r="C24" s="1"/>
      <c r="D24" s="1"/>
      <c r="E24" s="1"/>
      <c r="F24" s="1"/>
      <c r="G24" s="1"/>
      <c r="H24" s="1">
        <v>100</v>
      </c>
      <c r="I24" s="63">
        <v>100</v>
      </c>
      <c r="J24" s="1">
        <v>100</v>
      </c>
      <c r="K24" s="1">
        <v>100</v>
      </c>
      <c r="L24" s="1">
        <v>100</v>
      </c>
      <c r="M24" s="1">
        <v>100</v>
      </c>
      <c r="N24" s="1">
        <v>100</v>
      </c>
      <c r="O24" s="4">
        <v>100</v>
      </c>
      <c r="P24" s="53" t="s">
        <v>12</v>
      </c>
      <c r="Q24" s="53">
        <v>1035</v>
      </c>
      <c r="R24" s="53" t="s">
        <v>93</v>
      </c>
      <c r="S24" s="53">
        <v>21</v>
      </c>
    </row>
    <row r="25" spans="1:19" ht="22.2" x14ac:dyDescent="0.3">
      <c r="A25" s="53"/>
      <c r="B25" s="6">
        <f t="shared" si="0"/>
        <v>1000</v>
      </c>
      <c r="C25" s="1"/>
      <c r="D25" s="1"/>
      <c r="E25" s="1"/>
      <c r="F25" s="1"/>
      <c r="G25" s="1"/>
      <c r="H25" s="1">
        <v>150</v>
      </c>
      <c r="I25" s="1">
        <v>150</v>
      </c>
      <c r="J25" s="1">
        <v>150</v>
      </c>
      <c r="K25" s="1">
        <v>150</v>
      </c>
      <c r="L25" s="1">
        <v>150</v>
      </c>
      <c r="M25" s="1">
        <v>150</v>
      </c>
      <c r="N25" s="1">
        <v>100</v>
      </c>
      <c r="O25" s="4">
        <v>100</v>
      </c>
      <c r="P25" s="53" t="s">
        <v>14</v>
      </c>
      <c r="Q25" s="53">
        <v>1055</v>
      </c>
      <c r="R25" s="53" t="s">
        <v>93</v>
      </c>
      <c r="S25" s="53">
        <v>22</v>
      </c>
    </row>
    <row r="26" spans="1:19" ht="22.2" x14ac:dyDescent="0.3">
      <c r="A26" s="53"/>
      <c r="B26" s="6">
        <f t="shared" si="0"/>
        <v>1000</v>
      </c>
      <c r="C26" s="1"/>
      <c r="D26" s="1"/>
      <c r="E26" s="1"/>
      <c r="F26" s="1"/>
      <c r="G26" s="1"/>
      <c r="H26" s="1">
        <v>150</v>
      </c>
      <c r="I26" s="1">
        <v>150</v>
      </c>
      <c r="J26" s="1">
        <v>150</v>
      </c>
      <c r="K26" s="1">
        <v>150</v>
      </c>
      <c r="L26" s="1">
        <v>150</v>
      </c>
      <c r="M26" s="1">
        <v>150</v>
      </c>
      <c r="N26" s="1">
        <v>100</v>
      </c>
      <c r="O26" s="4">
        <v>100</v>
      </c>
      <c r="P26" s="1" t="s">
        <v>13</v>
      </c>
      <c r="Q26" s="53">
        <v>1007</v>
      </c>
      <c r="R26" s="53" t="s">
        <v>93</v>
      </c>
      <c r="S26" s="53">
        <v>23</v>
      </c>
    </row>
    <row r="27" spans="1:19" ht="22.2" x14ac:dyDescent="0.3">
      <c r="A27" s="53"/>
      <c r="B27" s="6">
        <f t="shared" si="0"/>
        <v>450</v>
      </c>
      <c r="C27" s="1"/>
      <c r="D27" s="1"/>
      <c r="E27" s="1"/>
      <c r="F27" s="1"/>
      <c r="G27" s="1"/>
      <c r="H27" s="1">
        <v>0</v>
      </c>
      <c r="I27" s="63">
        <v>75</v>
      </c>
      <c r="J27" s="63">
        <v>75</v>
      </c>
      <c r="K27" s="1">
        <v>75</v>
      </c>
      <c r="L27" s="1">
        <v>75</v>
      </c>
      <c r="M27" s="1">
        <v>75</v>
      </c>
      <c r="N27" s="1">
        <v>75</v>
      </c>
      <c r="O27" s="4">
        <v>75</v>
      </c>
      <c r="P27" s="53" t="s">
        <v>30</v>
      </c>
      <c r="Q27" s="53">
        <v>1045</v>
      </c>
      <c r="R27" s="53" t="s">
        <v>93</v>
      </c>
      <c r="S27" s="53">
        <v>24</v>
      </c>
    </row>
    <row r="28" spans="1:19" ht="22.2" x14ac:dyDescent="0.3">
      <c r="A28" s="53"/>
      <c r="B28" s="6">
        <f t="shared" si="0"/>
        <v>450</v>
      </c>
      <c r="C28" s="1"/>
      <c r="D28" s="1"/>
      <c r="E28" s="1"/>
      <c r="F28" s="1"/>
      <c r="G28" s="1"/>
      <c r="H28" s="1">
        <v>0</v>
      </c>
      <c r="I28" s="63">
        <v>75</v>
      </c>
      <c r="J28" s="63">
        <v>75</v>
      </c>
      <c r="K28" s="1">
        <v>75</v>
      </c>
      <c r="L28" s="1">
        <v>75</v>
      </c>
      <c r="M28" s="1">
        <v>75</v>
      </c>
      <c r="N28" s="1">
        <v>75</v>
      </c>
      <c r="O28" s="4">
        <v>75</v>
      </c>
      <c r="P28" s="53" t="s">
        <v>31</v>
      </c>
      <c r="Q28" s="53">
        <v>1059</v>
      </c>
      <c r="R28" s="53" t="s">
        <v>93</v>
      </c>
      <c r="S28" s="53">
        <v>25</v>
      </c>
    </row>
    <row r="29" spans="1:19" ht="22.2" x14ac:dyDescent="0.3">
      <c r="A29" s="53"/>
      <c r="B29" s="6">
        <f t="shared" si="0"/>
        <v>450</v>
      </c>
      <c r="C29" s="1"/>
      <c r="D29" s="1"/>
      <c r="E29" s="1"/>
      <c r="F29" s="1"/>
      <c r="G29" s="1"/>
      <c r="H29" s="1">
        <v>0</v>
      </c>
      <c r="I29" s="63">
        <v>75</v>
      </c>
      <c r="J29" s="63">
        <v>75</v>
      </c>
      <c r="K29" s="1">
        <v>75</v>
      </c>
      <c r="L29" s="1">
        <v>75</v>
      </c>
      <c r="M29" s="1">
        <v>75</v>
      </c>
      <c r="N29" s="1">
        <v>75</v>
      </c>
      <c r="O29" s="4">
        <v>75</v>
      </c>
      <c r="P29" s="53" t="s">
        <v>32</v>
      </c>
      <c r="Q29" s="53">
        <v>1051</v>
      </c>
      <c r="R29" s="53" t="s">
        <v>93</v>
      </c>
      <c r="S29" s="53">
        <v>26</v>
      </c>
    </row>
    <row r="30" spans="1:19" ht="22.2" x14ac:dyDescent="0.3">
      <c r="A30" s="53"/>
      <c r="B30" s="6">
        <f t="shared" si="0"/>
        <v>195</v>
      </c>
      <c r="C30" s="1"/>
      <c r="D30" s="1"/>
      <c r="E30" s="1"/>
      <c r="F30" s="1"/>
      <c r="G30" s="1">
        <v>20</v>
      </c>
      <c r="H30" s="1">
        <v>50</v>
      </c>
      <c r="I30" s="1">
        <v>50</v>
      </c>
      <c r="J30" s="1">
        <v>50</v>
      </c>
      <c r="K30" s="1">
        <v>25</v>
      </c>
      <c r="L30" s="1">
        <v>0</v>
      </c>
      <c r="M30" s="1">
        <v>0</v>
      </c>
      <c r="N30" s="1">
        <v>0</v>
      </c>
      <c r="O30" s="4">
        <v>0</v>
      </c>
      <c r="P30" s="53" t="s">
        <v>29</v>
      </c>
      <c r="Q30" s="53">
        <v>1019</v>
      </c>
      <c r="R30" s="53" t="s">
        <v>93</v>
      </c>
      <c r="S30" s="53">
        <v>27</v>
      </c>
    </row>
    <row r="31" spans="1:19" ht="22.2" x14ac:dyDescent="0.3">
      <c r="A31" s="53"/>
      <c r="B31" s="6">
        <f t="shared" si="0"/>
        <v>1400</v>
      </c>
      <c r="C31" s="1"/>
      <c r="D31" s="1"/>
      <c r="E31" s="1"/>
      <c r="F31" s="1"/>
      <c r="G31" s="1"/>
      <c r="H31" s="1">
        <v>200</v>
      </c>
      <c r="I31" s="1">
        <v>200</v>
      </c>
      <c r="J31" s="1">
        <v>200</v>
      </c>
      <c r="K31" s="1">
        <v>200</v>
      </c>
      <c r="L31" s="1">
        <v>200</v>
      </c>
      <c r="M31" s="1">
        <v>200</v>
      </c>
      <c r="N31" s="1">
        <v>200</v>
      </c>
      <c r="O31" s="4">
        <v>200</v>
      </c>
      <c r="P31" s="53" t="s">
        <v>4</v>
      </c>
      <c r="Q31" s="53">
        <v>1008</v>
      </c>
      <c r="R31" s="53" t="s">
        <v>93</v>
      </c>
      <c r="S31" s="53">
        <v>28</v>
      </c>
    </row>
    <row r="32" spans="1:19" ht="22.2" x14ac:dyDescent="0.3">
      <c r="A32" s="53"/>
      <c r="B32" s="6">
        <f t="shared" si="0"/>
        <v>400</v>
      </c>
      <c r="C32" s="1"/>
      <c r="D32" s="1"/>
      <c r="E32" s="1"/>
      <c r="F32" s="1"/>
      <c r="G32" s="1"/>
      <c r="H32" s="1">
        <v>100</v>
      </c>
      <c r="I32" s="1">
        <v>100</v>
      </c>
      <c r="J32" s="1">
        <v>100</v>
      </c>
      <c r="K32" s="1">
        <v>100</v>
      </c>
      <c r="L32" s="1">
        <v>0</v>
      </c>
      <c r="M32" s="1">
        <v>0</v>
      </c>
      <c r="N32" s="1">
        <v>0</v>
      </c>
      <c r="O32" s="4">
        <v>0</v>
      </c>
      <c r="P32" s="53" t="s">
        <v>28</v>
      </c>
      <c r="Q32" s="53">
        <v>1058</v>
      </c>
      <c r="R32" s="53" t="s">
        <v>93</v>
      </c>
      <c r="S32" s="53">
        <v>29</v>
      </c>
    </row>
    <row r="33" spans="1:19" ht="22.2" x14ac:dyDescent="0.3">
      <c r="A33" s="53"/>
      <c r="B33" s="6">
        <f t="shared" si="0"/>
        <v>0</v>
      </c>
      <c r="C33" s="1"/>
      <c r="D33" s="1"/>
      <c r="E33" s="1"/>
      <c r="F33" s="1"/>
      <c r="G33" s="1"/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4">
        <v>0</v>
      </c>
      <c r="P33" s="53" t="s">
        <v>5</v>
      </c>
      <c r="Q33" s="53">
        <v>1044</v>
      </c>
      <c r="R33" s="53" t="s">
        <v>93</v>
      </c>
      <c r="S33" s="53">
        <v>30</v>
      </c>
    </row>
    <row r="34" spans="1:19" ht="22.2" x14ac:dyDescent="0.3">
      <c r="A34" s="53"/>
      <c r="B34" s="6">
        <f t="shared" si="0"/>
        <v>1450</v>
      </c>
      <c r="C34" s="1"/>
      <c r="D34" s="1"/>
      <c r="E34" s="1"/>
      <c r="F34" s="1"/>
      <c r="G34" s="1"/>
      <c r="H34" s="1">
        <v>200</v>
      </c>
      <c r="I34" s="1">
        <v>250</v>
      </c>
      <c r="J34" s="1">
        <v>200</v>
      </c>
      <c r="K34" s="1">
        <v>200</v>
      </c>
      <c r="L34" s="1">
        <v>200</v>
      </c>
      <c r="M34" s="1">
        <v>200</v>
      </c>
      <c r="N34" s="1">
        <v>200</v>
      </c>
      <c r="O34" s="4">
        <v>200</v>
      </c>
      <c r="P34" s="53" t="s">
        <v>6</v>
      </c>
      <c r="Q34" s="53">
        <v>1056</v>
      </c>
      <c r="R34" s="53" t="s">
        <v>93</v>
      </c>
      <c r="S34" s="53">
        <v>31</v>
      </c>
    </row>
    <row r="35" spans="1:19" ht="22.2" x14ac:dyDescent="0.3">
      <c r="A35" s="53"/>
      <c r="B35" s="6">
        <f t="shared" si="0"/>
        <v>0</v>
      </c>
      <c r="C35" s="1"/>
      <c r="D35" s="1"/>
      <c r="E35" s="1"/>
      <c r="F35" s="1"/>
      <c r="G35" s="1"/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4">
        <v>0</v>
      </c>
      <c r="P35" s="53" t="s">
        <v>19</v>
      </c>
      <c r="Q35" s="53">
        <v>1029</v>
      </c>
      <c r="R35" s="53"/>
      <c r="S35" s="53">
        <v>32</v>
      </c>
    </row>
    <row r="36" spans="1:19" ht="22.2" x14ac:dyDescent="0.3">
      <c r="A36" s="53"/>
      <c r="B36" s="6">
        <f t="shared" ref="B36:B67" si="1">SUM(C36:N36)</f>
        <v>0</v>
      </c>
      <c r="C36" s="1"/>
      <c r="D36" s="1"/>
      <c r="E36" s="1"/>
      <c r="F36" s="1"/>
      <c r="G36" s="1"/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4">
        <v>0</v>
      </c>
      <c r="P36" s="53" t="s">
        <v>65</v>
      </c>
      <c r="Q36" s="53">
        <v>1034</v>
      </c>
      <c r="R36" s="53" t="s">
        <v>93</v>
      </c>
      <c r="S36" s="53">
        <v>33</v>
      </c>
    </row>
    <row r="37" spans="1:19" ht="22.2" x14ac:dyDescent="0.3">
      <c r="A37" s="53"/>
      <c r="B37" s="6">
        <f t="shared" si="1"/>
        <v>0</v>
      </c>
      <c r="C37" s="1"/>
      <c r="D37" s="1"/>
      <c r="E37" s="1"/>
      <c r="F37" s="1"/>
      <c r="G37" s="1"/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4">
        <v>0</v>
      </c>
      <c r="P37" s="53" t="s">
        <v>20</v>
      </c>
      <c r="Q37" s="53">
        <v>1012</v>
      </c>
      <c r="R37" s="53"/>
      <c r="S37" s="53">
        <v>34</v>
      </c>
    </row>
    <row r="38" spans="1:19" ht="22.2" x14ac:dyDescent="0.3">
      <c r="A38" s="53"/>
      <c r="B38" s="6">
        <f t="shared" si="1"/>
        <v>950</v>
      </c>
      <c r="C38" s="1"/>
      <c r="D38" s="1"/>
      <c r="E38" s="1"/>
      <c r="F38" s="1"/>
      <c r="G38" s="1"/>
      <c r="H38" s="1">
        <v>150</v>
      </c>
      <c r="I38" s="1">
        <v>150</v>
      </c>
      <c r="J38" s="1">
        <v>150</v>
      </c>
      <c r="K38" s="1">
        <v>150</v>
      </c>
      <c r="L38" s="1">
        <v>125</v>
      </c>
      <c r="M38" s="1">
        <v>100</v>
      </c>
      <c r="N38" s="1">
        <v>125</v>
      </c>
      <c r="O38" s="4">
        <v>125</v>
      </c>
      <c r="P38" s="53" t="s">
        <v>38</v>
      </c>
      <c r="Q38" s="53">
        <v>1031</v>
      </c>
      <c r="R38" s="53" t="s">
        <v>93</v>
      </c>
      <c r="S38" s="53">
        <v>35</v>
      </c>
    </row>
    <row r="39" spans="1:19" ht="22.2" x14ac:dyDescent="0.3">
      <c r="A39" s="53"/>
      <c r="B39" s="6">
        <f t="shared" si="1"/>
        <v>1200</v>
      </c>
      <c r="C39" s="1"/>
      <c r="D39" s="1"/>
      <c r="E39" s="1"/>
      <c r="F39" s="1"/>
      <c r="G39" s="1"/>
      <c r="H39" s="1">
        <v>200</v>
      </c>
      <c r="I39" s="1">
        <v>200</v>
      </c>
      <c r="J39" s="1">
        <v>200</v>
      </c>
      <c r="K39" s="1">
        <v>200</v>
      </c>
      <c r="L39" s="1">
        <v>0</v>
      </c>
      <c r="M39" s="1">
        <v>200</v>
      </c>
      <c r="N39" s="1">
        <v>200</v>
      </c>
      <c r="O39" s="4">
        <v>200</v>
      </c>
      <c r="P39" s="53" t="s">
        <v>42</v>
      </c>
      <c r="Q39" s="53">
        <v>1048</v>
      </c>
      <c r="R39" s="53" t="s">
        <v>93</v>
      </c>
      <c r="S39" s="53">
        <v>36</v>
      </c>
    </row>
    <row r="40" spans="1:19" ht="22.2" x14ac:dyDescent="0.3">
      <c r="A40" s="53"/>
      <c r="B40" s="6">
        <f t="shared" si="1"/>
        <v>950</v>
      </c>
      <c r="C40" s="1"/>
      <c r="D40" s="1"/>
      <c r="E40" s="1"/>
      <c r="F40" s="1"/>
      <c r="G40" s="1"/>
      <c r="H40" s="1">
        <v>150</v>
      </c>
      <c r="I40" s="1">
        <v>150</v>
      </c>
      <c r="J40" s="1">
        <v>150</v>
      </c>
      <c r="K40" s="1">
        <v>150</v>
      </c>
      <c r="L40" s="1">
        <v>125</v>
      </c>
      <c r="M40" s="1">
        <v>100</v>
      </c>
      <c r="N40" s="1">
        <v>125</v>
      </c>
      <c r="O40" s="4">
        <v>125</v>
      </c>
      <c r="P40" s="53" t="s">
        <v>39</v>
      </c>
      <c r="Q40" s="53">
        <v>1052</v>
      </c>
      <c r="R40" s="53" t="s">
        <v>93</v>
      </c>
      <c r="S40" s="53">
        <v>37</v>
      </c>
    </row>
    <row r="41" spans="1:19" ht="22.2" x14ac:dyDescent="0.3">
      <c r="A41" s="53"/>
      <c r="B41" s="6">
        <f t="shared" si="1"/>
        <v>700</v>
      </c>
      <c r="C41" s="1"/>
      <c r="D41" s="1"/>
      <c r="E41" s="1"/>
      <c r="F41" s="1"/>
      <c r="G41" s="1"/>
      <c r="H41" s="63">
        <v>100</v>
      </c>
      <c r="I41" s="1">
        <v>100</v>
      </c>
      <c r="J41" s="1">
        <v>100</v>
      </c>
      <c r="K41" s="1">
        <v>100</v>
      </c>
      <c r="L41" s="1">
        <v>100</v>
      </c>
      <c r="M41" s="1">
        <v>100</v>
      </c>
      <c r="N41" s="1">
        <v>100</v>
      </c>
      <c r="O41" s="4">
        <v>100</v>
      </c>
      <c r="P41" s="53" t="s">
        <v>24</v>
      </c>
      <c r="Q41" s="53">
        <v>1004</v>
      </c>
      <c r="R41" s="53"/>
      <c r="S41" s="53">
        <v>38</v>
      </c>
    </row>
    <row r="42" spans="1:19" ht="22.2" x14ac:dyDescent="0.3">
      <c r="A42" s="53"/>
      <c r="B42" s="6">
        <f t="shared" si="1"/>
        <v>350</v>
      </c>
      <c r="C42" s="1"/>
      <c r="D42" s="1"/>
      <c r="E42" s="1"/>
      <c r="F42" s="1"/>
      <c r="G42" s="1"/>
      <c r="H42" s="63">
        <v>50</v>
      </c>
      <c r="I42" s="1">
        <v>50</v>
      </c>
      <c r="J42" s="1">
        <v>50</v>
      </c>
      <c r="K42" s="1">
        <v>50</v>
      </c>
      <c r="L42" s="1">
        <v>50</v>
      </c>
      <c r="M42" s="1">
        <v>50</v>
      </c>
      <c r="N42" s="1">
        <v>50</v>
      </c>
      <c r="O42" s="4">
        <v>50</v>
      </c>
      <c r="P42" s="53" t="s">
        <v>23</v>
      </c>
      <c r="Q42" s="53">
        <v>1025</v>
      </c>
      <c r="R42" s="53"/>
      <c r="S42" s="53">
        <v>39</v>
      </c>
    </row>
    <row r="43" spans="1:19" ht="22.2" x14ac:dyDescent="0.3">
      <c r="A43" s="53"/>
      <c r="B43" s="6">
        <f t="shared" si="1"/>
        <v>350</v>
      </c>
      <c r="C43" s="1"/>
      <c r="D43" s="1"/>
      <c r="E43" s="1"/>
      <c r="F43" s="1"/>
      <c r="G43" s="1"/>
      <c r="H43" s="1">
        <v>50</v>
      </c>
      <c r="I43" s="1">
        <v>50</v>
      </c>
      <c r="J43" s="1">
        <v>50</v>
      </c>
      <c r="K43" s="1">
        <v>50</v>
      </c>
      <c r="L43" s="1">
        <v>50</v>
      </c>
      <c r="M43" s="1">
        <v>50</v>
      </c>
      <c r="N43" s="1">
        <v>50</v>
      </c>
      <c r="O43" s="4">
        <v>50</v>
      </c>
      <c r="P43" s="53" t="s">
        <v>37</v>
      </c>
      <c r="Q43" s="53">
        <v>1013</v>
      </c>
      <c r="R43" s="53"/>
      <c r="S43" s="53">
        <v>40</v>
      </c>
    </row>
    <row r="44" spans="1:19" ht="22.2" x14ac:dyDescent="0.3">
      <c r="A44" s="53"/>
      <c r="B44" s="6">
        <f t="shared" si="1"/>
        <v>700</v>
      </c>
      <c r="C44" s="1"/>
      <c r="D44" s="1"/>
      <c r="E44" s="1"/>
      <c r="F44" s="1"/>
      <c r="G44" s="1"/>
      <c r="H44" s="1">
        <v>100</v>
      </c>
      <c r="I44" s="1">
        <v>100</v>
      </c>
      <c r="J44" s="1">
        <v>100</v>
      </c>
      <c r="K44" s="1">
        <v>100</v>
      </c>
      <c r="L44" s="1">
        <v>100</v>
      </c>
      <c r="M44" s="1">
        <v>100</v>
      </c>
      <c r="N44" s="1">
        <v>100</v>
      </c>
      <c r="O44" s="4">
        <v>100</v>
      </c>
      <c r="P44" s="53" t="s">
        <v>41</v>
      </c>
      <c r="Q44" s="53">
        <v>1028</v>
      </c>
      <c r="R44" s="53"/>
      <c r="S44" s="53">
        <v>41</v>
      </c>
    </row>
    <row r="45" spans="1:19" ht="22.2" x14ac:dyDescent="0.3">
      <c r="A45" s="53"/>
      <c r="B45" s="6">
        <f t="shared" si="1"/>
        <v>0</v>
      </c>
      <c r="C45" s="1"/>
      <c r="D45" s="53"/>
      <c r="E45" s="1"/>
      <c r="F45" s="1"/>
      <c r="G45" s="1"/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4">
        <v>50</v>
      </c>
      <c r="P45" s="53" t="s">
        <v>35</v>
      </c>
      <c r="Q45" s="53">
        <v>1030</v>
      </c>
      <c r="R45" s="53"/>
      <c r="S45" s="53">
        <v>42</v>
      </c>
    </row>
    <row r="46" spans="1:19" ht="22.2" x14ac:dyDescent="0.3">
      <c r="A46" s="53"/>
      <c r="B46" s="6">
        <f t="shared" si="1"/>
        <v>0</v>
      </c>
      <c r="C46" s="1"/>
      <c r="D46" s="53"/>
      <c r="E46" s="1"/>
      <c r="F46" s="1"/>
      <c r="G46" s="1"/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4">
        <v>0</v>
      </c>
      <c r="P46" s="68" t="s">
        <v>116</v>
      </c>
      <c r="Q46" s="53">
        <v>1104</v>
      </c>
      <c r="R46" s="53"/>
      <c r="S46" s="53">
        <v>43</v>
      </c>
    </row>
    <row r="47" spans="1:19" ht="22.2" x14ac:dyDescent="0.3">
      <c r="A47" s="53"/>
      <c r="B47" s="6">
        <f t="shared" si="1"/>
        <v>1050</v>
      </c>
      <c r="C47" s="1"/>
      <c r="D47" s="1"/>
      <c r="E47" s="1"/>
      <c r="F47" s="1"/>
      <c r="G47" s="1"/>
      <c r="H47" s="1">
        <v>150</v>
      </c>
      <c r="I47" s="1">
        <v>150</v>
      </c>
      <c r="J47" s="1">
        <v>150</v>
      </c>
      <c r="K47" s="1">
        <v>150</v>
      </c>
      <c r="L47" s="1">
        <v>150</v>
      </c>
      <c r="M47" s="1">
        <v>150</v>
      </c>
      <c r="N47" s="1">
        <v>150</v>
      </c>
      <c r="O47" s="4">
        <v>150</v>
      </c>
      <c r="P47" s="53" t="s">
        <v>63</v>
      </c>
      <c r="Q47" s="53">
        <v>1046</v>
      </c>
      <c r="R47" s="53" t="s">
        <v>93</v>
      </c>
      <c r="S47" s="53">
        <v>44</v>
      </c>
    </row>
    <row r="48" spans="1:19" ht="22.2" x14ac:dyDescent="0.3">
      <c r="A48" s="53"/>
      <c r="B48" s="6">
        <f t="shared" si="1"/>
        <v>1050</v>
      </c>
      <c r="C48" s="1"/>
      <c r="D48" s="1"/>
      <c r="E48" s="1"/>
      <c r="F48" s="1"/>
      <c r="G48" s="1"/>
      <c r="H48" s="1">
        <v>150</v>
      </c>
      <c r="I48" s="1">
        <v>150</v>
      </c>
      <c r="J48" s="1">
        <v>150</v>
      </c>
      <c r="K48" s="1">
        <v>150</v>
      </c>
      <c r="L48" s="1">
        <v>150</v>
      </c>
      <c r="M48" s="1">
        <v>150</v>
      </c>
      <c r="N48" s="1">
        <v>150</v>
      </c>
      <c r="O48" s="4">
        <v>150</v>
      </c>
      <c r="P48" s="53" t="s">
        <v>77</v>
      </c>
      <c r="Q48" s="53">
        <v>1010</v>
      </c>
      <c r="R48" s="53" t="s">
        <v>93</v>
      </c>
      <c r="S48" s="53">
        <v>45</v>
      </c>
    </row>
    <row r="49" spans="1:19" ht="22.2" x14ac:dyDescent="0.3">
      <c r="A49" s="53"/>
      <c r="B49" s="6">
        <f t="shared" si="1"/>
        <v>0</v>
      </c>
      <c r="C49" s="1"/>
      <c r="D49" s="1"/>
      <c r="E49" s="1"/>
      <c r="F49" s="1"/>
      <c r="G49" s="1"/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4">
        <v>0</v>
      </c>
      <c r="P49" s="53" t="s">
        <v>86</v>
      </c>
      <c r="Q49" s="53">
        <v>1037</v>
      </c>
      <c r="R49" s="53"/>
      <c r="S49" s="53">
        <f t="shared" ref="S49:S80" si="2">S48+1</f>
        <v>46</v>
      </c>
    </row>
    <row r="50" spans="1:19" ht="22.2" x14ac:dyDescent="0.3">
      <c r="A50" s="53"/>
      <c r="B50" s="6">
        <f t="shared" si="1"/>
        <v>0</v>
      </c>
      <c r="C50" s="1"/>
      <c r="D50" s="1"/>
      <c r="E50" s="1"/>
      <c r="F50" s="1"/>
      <c r="G50" s="1"/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3">
        <v>0</v>
      </c>
      <c r="O50" s="4">
        <v>0</v>
      </c>
      <c r="P50" s="53" t="s">
        <v>87</v>
      </c>
      <c r="Q50" s="53">
        <v>1081</v>
      </c>
      <c r="R50" s="53"/>
      <c r="S50" s="53">
        <f t="shared" si="2"/>
        <v>47</v>
      </c>
    </row>
    <row r="51" spans="1:19" ht="22.2" x14ac:dyDescent="0.3">
      <c r="A51" s="53"/>
      <c r="B51" s="6">
        <f t="shared" si="1"/>
        <v>350</v>
      </c>
      <c r="C51" s="1"/>
      <c r="D51" s="1"/>
      <c r="E51" s="1"/>
      <c r="F51" s="1"/>
      <c r="G51" s="1"/>
      <c r="H51" s="1">
        <v>50</v>
      </c>
      <c r="I51" s="1">
        <v>50</v>
      </c>
      <c r="J51" s="1">
        <v>50</v>
      </c>
      <c r="K51" s="1">
        <v>50</v>
      </c>
      <c r="L51" s="1">
        <v>50</v>
      </c>
      <c r="M51" s="1">
        <v>50</v>
      </c>
      <c r="N51" s="1">
        <v>50</v>
      </c>
      <c r="O51" s="4">
        <v>50</v>
      </c>
      <c r="P51" s="53" t="s">
        <v>90</v>
      </c>
      <c r="Q51" s="53">
        <v>1084</v>
      </c>
      <c r="R51" s="53" t="s">
        <v>93</v>
      </c>
      <c r="S51" s="53">
        <f t="shared" si="2"/>
        <v>48</v>
      </c>
    </row>
    <row r="52" spans="1:19" ht="22.2" x14ac:dyDescent="0.3">
      <c r="A52" s="53"/>
      <c r="B52" s="6">
        <f t="shared" si="1"/>
        <v>700</v>
      </c>
      <c r="C52" s="1"/>
      <c r="D52" s="1"/>
      <c r="E52" s="1"/>
      <c r="F52" s="1"/>
      <c r="G52" s="1"/>
      <c r="H52" s="1">
        <v>100</v>
      </c>
      <c r="I52" s="1">
        <v>100</v>
      </c>
      <c r="J52" s="1">
        <v>100</v>
      </c>
      <c r="K52" s="1">
        <v>100</v>
      </c>
      <c r="L52" s="1">
        <v>100</v>
      </c>
      <c r="M52" s="1">
        <v>100</v>
      </c>
      <c r="N52" s="3">
        <v>100</v>
      </c>
      <c r="O52" s="4">
        <v>100</v>
      </c>
      <c r="P52" s="53" t="s">
        <v>89</v>
      </c>
      <c r="Q52" s="53">
        <v>1082</v>
      </c>
      <c r="R52" s="53" t="s">
        <v>93</v>
      </c>
      <c r="S52" s="53">
        <f t="shared" si="2"/>
        <v>49</v>
      </c>
    </row>
    <row r="53" spans="1:19" ht="22.2" x14ac:dyDescent="0.3">
      <c r="A53" s="53"/>
      <c r="B53" s="6">
        <f t="shared" si="1"/>
        <v>350</v>
      </c>
      <c r="C53" s="1"/>
      <c r="D53" s="1"/>
      <c r="E53" s="1"/>
      <c r="F53" s="1"/>
      <c r="G53" s="1"/>
      <c r="H53" s="1">
        <v>50</v>
      </c>
      <c r="I53" s="1">
        <v>50</v>
      </c>
      <c r="J53" s="1">
        <v>50</v>
      </c>
      <c r="K53" s="1">
        <v>50</v>
      </c>
      <c r="L53" s="1">
        <v>50</v>
      </c>
      <c r="M53" s="1">
        <v>50</v>
      </c>
      <c r="N53" s="3">
        <v>50</v>
      </c>
      <c r="O53" s="4">
        <v>50</v>
      </c>
      <c r="P53" s="53" t="s">
        <v>115</v>
      </c>
      <c r="Q53" s="53">
        <v>1083</v>
      </c>
      <c r="R53" s="53" t="s">
        <v>93</v>
      </c>
      <c r="S53" s="53">
        <f t="shared" si="2"/>
        <v>50</v>
      </c>
    </row>
    <row r="54" spans="1:19" ht="22.2" x14ac:dyDescent="0.3">
      <c r="A54" s="53"/>
      <c r="B54" s="6">
        <f t="shared" si="1"/>
        <v>350</v>
      </c>
      <c r="C54" s="1"/>
      <c r="D54" s="1"/>
      <c r="E54" s="1"/>
      <c r="F54" s="1"/>
      <c r="G54" s="1"/>
      <c r="H54" s="1">
        <v>50</v>
      </c>
      <c r="I54" s="1">
        <v>50</v>
      </c>
      <c r="J54" s="1">
        <v>50</v>
      </c>
      <c r="K54" s="1">
        <v>50</v>
      </c>
      <c r="L54" s="1">
        <v>50</v>
      </c>
      <c r="M54" s="1">
        <v>50</v>
      </c>
      <c r="N54" s="1">
        <v>50</v>
      </c>
      <c r="O54" s="4">
        <v>50</v>
      </c>
      <c r="P54" s="53" t="s">
        <v>112</v>
      </c>
      <c r="Q54" s="53">
        <v>1102</v>
      </c>
      <c r="R54" s="53"/>
      <c r="S54" s="53">
        <f t="shared" si="2"/>
        <v>51</v>
      </c>
    </row>
    <row r="55" spans="1:19" ht="22.2" x14ac:dyDescent="0.3">
      <c r="A55" s="53"/>
      <c r="B55" s="6">
        <f t="shared" si="1"/>
        <v>789</v>
      </c>
      <c r="C55" s="1"/>
      <c r="D55" s="1"/>
      <c r="E55" s="1"/>
      <c r="F55" s="1"/>
      <c r="G55" s="1"/>
      <c r="H55" s="1">
        <v>189</v>
      </c>
      <c r="I55" s="1">
        <v>100</v>
      </c>
      <c r="J55" s="1">
        <v>100</v>
      </c>
      <c r="K55" s="1">
        <v>100</v>
      </c>
      <c r="L55" s="1">
        <v>100</v>
      </c>
      <c r="M55" s="1">
        <v>100</v>
      </c>
      <c r="N55" s="1">
        <v>100</v>
      </c>
      <c r="O55" s="4">
        <v>100</v>
      </c>
      <c r="P55" s="53" t="s">
        <v>97</v>
      </c>
      <c r="Q55" s="53">
        <v>1016</v>
      </c>
      <c r="R55" s="53"/>
      <c r="S55" s="53">
        <f t="shared" si="2"/>
        <v>52</v>
      </c>
    </row>
    <row r="56" spans="1:19" ht="22.2" x14ac:dyDescent="0.3">
      <c r="A56" s="53"/>
      <c r="B56" s="6">
        <f t="shared" si="1"/>
        <v>0</v>
      </c>
      <c r="C56" s="1"/>
      <c r="D56" s="1"/>
      <c r="E56" s="1"/>
      <c r="F56" s="1"/>
      <c r="G56" s="1"/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4">
        <v>50</v>
      </c>
      <c r="P56" s="53" t="s">
        <v>44</v>
      </c>
      <c r="Q56" s="53">
        <v>1014</v>
      </c>
      <c r="R56" s="53" t="s">
        <v>93</v>
      </c>
      <c r="S56" s="53">
        <f t="shared" si="2"/>
        <v>53</v>
      </c>
    </row>
    <row r="57" spans="1:19" ht="22.2" x14ac:dyDescent="0.3">
      <c r="A57" s="53"/>
      <c r="B57" s="6">
        <f t="shared" si="1"/>
        <v>815</v>
      </c>
      <c r="C57" s="1"/>
      <c r="D57" s="1"/>
      <c r="E57" s="1"/>
      <c r="F57" s="1"/>
      <c r="G57" s="1"/>
      <c r="H57" s="1">
        <v>300</v>
      </c>
      <c r="I57" s="1">
        <v>50</v>
      </c>
      <c r="J57" s="1">
        <v>50</v>
      </c>
      <c r="K57" s="1">
        <v>65</v>
      </c>
      <c r="L57" s="1">
        <v>50</v>
      </c>
      <c r="M57" s="1">
        <v>150</v>
      </c>
      <c r="N57" s="1">
        <v>150</v>
      </c>
      <c r="O57" s="4">
        <v>50</v>
      </c>
      <c r="P57" s="53" t="s">
        <v>22</v>
      </c>
      <c r="Q57" s="53">
        <v>1015</v>
      </c>
      <c r="R57" s="53" t="s">
        <v>93</v>
      </c>
      <c r="S57" s="53">
        <f t="shared" si="2"/>
        <v>54</v>
      </c>
    </row>
    <row r="58" spans="1:19" ht="22.2" x14ac:dyDescent="0.3">
      <c r="A58" s="53"/>
      <c r="B58" s="6">
        <f t="shared" si="1"/>
        <v>300</v>
      </c>
      <c r="C58" s="1"/>
      <c r="D58" s="1"/>
      <c r="E58" s="1"/>
      <c r="F58" s="1"/>
      <c r="G58" s="1"/>
      <c r="H58" s="1">
        <v>100</v>
      </c>
      <c r="I58" s="1">
        <v>100</v>
      </c>
      <c r="J58" s="1">
        <v>100</v>
      </c>
      <c r="K58" s="1">
        <v>0</v>
      </c>
      <c r="L58" s="1">
        <v>0</v>
      </c>
      <c r="M58" s="1">
        <v>0</v>
      </c>
      <c r="N58" s="1">
        <v>0</v>
      </c>
      <c r="O58" s="4">
        <v>50</v>
      </c>
      <c r="P58" s="53" t="s">
        <v>43</v>
      </c>
      <c r="Q58" s="53">
        <v>1038</v>
      </c>
      <c r="R58" s="53" t="s">
        <v>93</v>
      </c>
      <c r="S58" s="53">
        <f t="shared" si="2"/>
        <v>55</v>
      </c>
    </row>
    <row r="59" spans="1:19" ht="22.2" x14ac:dyDescent="0.3">
      <c r="A59" s="53"/>
      <c r="B59" s="6">
        <f t="shared" si="1"/>
        <v>6551</v>
      </c>
      <c r="C59" s="1"/>
      <c r="D59" s="1"/>
      <c r="E59" s="1"/>
      <c r="F59" s="1"/>
      <c r="G59" s="1">
        <v>395</v>
      </c>
      <c r="H59" s="1">
        <v>846</v>
      </c>
      <c r="I59" s="1">
        <v>840</v>
      </c>
      <c r="J59" s="1">
        <v>1090</v>
      </c>
      <c r="K59" s="1">
        <v>800</v>
      </c>
      <c r="L59" s="1">
        <v>980</v>
      </c>
      <c r="M59" s="1">
        <v>800</v>
      </c>
      <c r="N59" s="1">
        <v>800</v>
      </c>
      <c r="O59" s="4">
        <v>750</v>
      </c>
      <c r="P59" s="53" t="s">
        <v>0</v>
      </c>
      <c r="Q59" s="53">
        <v>1049</v>
      </c>
      <c r="R59" s="53" t="s">
        <v>93</v>
      </c>
      <c r="S59" s="53">
        <f t="shared" si="2"/>
        <v>56</v>
      </c>
    </row>
    <row r="60" spans="1:19" ht="22.2" x14ac:dyDescent="0.3">
      <c r="A60" s="53"/>
      <c r="B60" s="6">
        <f t="shared" si="1"/>
        <v>3000</v>
      </c>
      <c r="C60" s="1"/>
      <c r="D60" s="1"/>
      <c r="E60" s="1"/>
      <c r="F60" s="1"/>
      <c r="G60" s="1">
        <v>200</v>
      </c>
      <c r="H60" s="1">
        <v>400</v>
      </c>
      <c r="I60" s="1">
        <v>400</v>
      </c>
      <c r="J60" s="1">
        <v>400</v>
      </c>
      <c r="K60" s="1">
        <v>400</v>
      </c>
      <c r="L60" s="1">
        <v>400</v>
      </c>
      <c r="M60" s="1">
        <v>400</v>
      </c>
      <c r="N60" s="1">
        <v>400</v>
      </c>
      <c r="O60" s="4">
        <v>400</v>
      </c>
      <c r="P60" s="53" t="s">
        <v>2</v>
      </c>
      <c r="Q60" s="53">
        <v>1039</v>
      </c>
      <c r="R60" s="53" t="s">
        <v>93</v>
      </c>
      <c r="S60" s="53">
        <f t="shared" si="2"/>
        <v>57</v>
      </c>
    </row>
    <row r="61" spans="1:19" ht="22.2" x14ac:dyDescent="0.3">
      <c r="A61" s="53"/>
      <c r="B61" s="6">
        <f t="shared" si="1"/>
        <v>2100</v>
      </c>
      <c r="C61" s="1"/>
      <c r="D61" s="1"/>
      <c r="E61" s="1"/>
      <c r="F61" s="1"/>
      <c r="G61" s="1"/>
      <c r="H61" s="1">
        <v>300</v>
      </c>
      <c r="I61" s="1">
        <v>300</v>
      </c>
      <c r="J61" s="1">
        <v>300</v>
      </c>
      <c r="K61" s="1">
        <v>300</v>
      </c>
      <c r="L61" s="1">
        <v>300</v>
      </c>
      <c r="M61" s="1">
        <v>300</v>
      </c>
      <c r="N61" s="1">
        <v>300</v>
      </c>
      <c r="O61" s="4">
        <v>300</v>
      </c>
      <c r="P61" s="53" t="s">
        <v>1</v>
      </c>
      <c r="Q61" s="53">
        <v>1063</v>
      </c>
      <c r="R61" s="53" t="s">
        <v>93</v>
      </c>
      <c r="S61" s="53">
        <f t="shared" si="2"/>
        <v>58</v>
      </c>
    </row>
    <row r="62" spans="1:19" ht="22.2" x14ac:dyDescent="0.3">
      <c r="A62" s="53"/>
      <c r="B62" s="6">
        <f t="shared" si="1"/>
        <v>2100</v>
      </c>
      <c r="C62" s="1"/>
      <c r="D62" s="1"/>
      <c r="E62" s="1"/>
      <c r="F62" s="1"/>
      <c r="G62" s="1"/>
      <c r="H62" s="1">
        <v>300</v>
      </c>
      <c r="I62" s="1">
        <v>300</v>
      </c>
      <c r="J62" s="1">
        <v>300</v>
      </c>
      <c r="K62" s="1">
        <v>300</v>
      </c>
      <c r="L62" s="1">
        <v>300</v>
      </c>
      <c r="M62" s="1">
        <v>300</v>
      </c>
      <c r="N62" s="1">
        <v>300</v>
      </c>
      <c r="O62" s="4">
        <v>300</v>
      </c>
      <c r="P62" s="53" t="s">
        <v>3</v>
      </c>
      <c r="Q62" s="53">
        <v>1041</v>
      </c>
      <c r="R62" s="53" t="s">
        <v>93</v>
      </c>
      <c r="S62" s="53">
        <f t="shared" si="2"/>
        <v>59</v>
      </c>
    </row>
    <row r="63" spans="1:19" ht="22.2" x14ac:dyDescent="0.3">
      <c r="A63" s="53"/>
      <c r="B63" s="6">
        <f t="shared" si="1"/>
        <v>1050</v>
      </c>
      <c r="C63" s="1"/>
      <c r="D63" s="1"/>
      <c r="E63" s="1"/>
      <c r="F63" s="1"/>
      <c r="G63" s="1"/>
      <c r="H63" s="1">
        <v>150</v>
      </c>
      <c r="I63" s="1">
        <v>150</v>
      </c>
      <c r="J63" s="1">
        <v>150</v>
      </c>
      <c r="K63" s="1">
        <v>150</v>
      </c>
      <c r="L63" s="1">
        <v>150</v>
      </c>
      <c r="M63" s="1">
        <v>150</v>
      </c>
      <c r="N63" s="1">
        <v>150</v>
      </c>
      <c r="O63" s="4">
        <v>150</v>
      </c>
      <c r="P63" s="53" t="s">
        <v>82</v>
      </c>
      <c r="Q63" s="53">
        <v>1053</v>
      </c>
      <c r="R63" s="53" t="s">
        <v>93</v>
      </c>
      <c r="S63" s="53">
        <f t="shared" si="2"/>
        <v>60</v>
      </c>
    </row>
    <row r="64" spans="1:19" ht="22.2" x14ac:dyDescent="0.3">
      <c r="A64" s="53"/>
      <c r="B64" s="6">
        <f t="shared" si="1"/>
        <v>1050</v>
      </c>
      <c r="C64" s="1"/>
      <c r="D64" s="1"/>
      <c r="E64" s="1"/>
      <c r="F64" s="1"/>
      <c r="G64" s="1"/>
      <c r="H64" s="1">
        <v>150</v>
      </c>
      <c r="I64" s="1">
        <v>150</v>
      </c>
      <c r="J64" s="1">
        <v>150</v>
      </c>
      <c r="K64" s="1">
        <v>150</v>
      </c>
      <c r="L64" s="1">
        <v>150</v>
      </c>
      <c r="M64" s="1">
        <v>150</v>
      </c>
      <c r="N64" s="1">
        <v>150</v>
      </c>
      <c r="O64" s="4">
        <v>150</v>
      </c>
      <c r="P64" s="53" t="s">
        <v>67</v>
      </c>
      <c r="Q64" s="53">
        <v>1054</v>
      </c>
      <c r="R64" s="53" t="s">
        <v>93</v>
      </c>
      <c r="S64" s="53">
        <f t="shared" si="2"/>
        <v>61</v>
      </c>
    </row>
    <row r="65" spans="1:19" ht="22.2" x14ac:dyDescent="0.3">
      <c r="A65" s="53"/>
      <c r="B65" s="6">
        <f t="shared" si="1"/>
        <v>1050</v>
      </c>
      <c r="C65" s="1"/>
      <c r="D65" s="1"/>
      <c r="E65" s="1"/>
      <c r="F65" s="1"/>
      <c r="G65" s="1"/>
      <c r="H65" s="1">
        <v>150</v>
      </c>
      <c r="I65" s="1">
        <v>150</v>
      </c>
      <c r="J65" s="1">
        <v>150</v>
      </c>
      <c r="K65" s="1">
        <v>150</v>
      </c>
      <c r="L65" s="1">
        <v>150</v>
      </c>
      <c r="M65" s="1">
        <v>150</v>
      </c>
      <c r="N65" s="3">
        <v>150</v>
      </c>
      <c r="O65" s="4">
        <v>150</v>
      </c>
      <c r="P65" s="53" t="s">
        <v>83</v>
      </c>
      <c r="Q65" s="53">
        <v>1079</v>
      </c>
      <c r="R65" s="53" t="s">
        <v>93</v>
      </c>
      <c r="S65" s="53">
        <f t="shared" si="2"/>
        <v>62</v>
      </c>
    </row>
    <row r="66" spans="1:19" ht="22.2" x14ac:dyDescent="0.3">
      <c r="A66" s="53"/>
      <c r="B66" s="6">
        <f t="shared" si="1"/>
        <v>525</v>
      </c>
      <c r="C66" s="1"/>
      <c r="D66" s="1"/>
      <c r="E66" s="1"/>
      <c r="F66" s="1"/>
      <c r="G66" s="1"/>
      <c r="H66" s="1">
        <v>75</v>
      </c>
      <c r="I66" s="1">
        <v>75</v>
      </c>
      <c r="J66" s="1">
        <v>75</v>
      </c>
      <c r="K66" s="1">
        <v>75</v>
      </c>
      <c r="L66" s="1">
        <v>75</v>
      </c>
      <c r="M66" s="1">
        <v>75</v>
      </c>
      <c r="N66" s="1">
        <v>75</v>
      </c>
      <c r="O66" s="4">
        <v>75</v>
      </c>
      <c r="P66" s="53" t="s">
        <v>26</v>
      </c>
      <c r="Q66" s="53">
        <v>1042</v>
      </c>
      <c r="R66" s="53" t="s">
        <v>93</v>
      </c>
      <c r="S66" s="53">
        <f t="shared" si="2"/>
        <v>63</v>
      </c>
    </row>
    <row r="67" spans="1:19" ht="22.2" x14ac:dyDescent="0.3">
      <c r="A67" s="53"/>
      <c r="B67" s="6">
        <f t="shared" si="1"/>
        <v>525</v>
      </c>
      <c r="C67" s="1"/>
      <c r="D67" s="1"/>
      <c r="E67" s="1"/>
      <c r="F67" s="1"/>
      <c r="G67" s="1"/>
      <c r="H67" s="1">
        <v>75</v>
      </c>
      <c r="I67" s="1">
        <v>75</v>
      </c>
      <c r="J67" s="1">
        <v>75</v>
      </c>
      <c r="K67" s="1">
        <v>75</v>
      </c>
      <c r="L67" s="1">
        <v>75</v>
      </c>
      <c r="M67" s="1">
        <v>75</v>
      </c>
      <c r="N67" s="1">
        <v>75</v>
      </c>
      <c r="O67" s="4">
        <v>75</v>
      </c>
      <c r="P67" s="53" t="s">
        <v>68</v>
      </c>
      <c r="Q67" s="53">
        <v>1064</v>
      </c>
      <c r="R67" s="53" t="s">
        <v>93</v>
      </c>
      <c r="S67" s="53">
        <f t="shared" si="2"/>
        <v>64</v>
      </c>
    </row>
    <row r="68" spans="1:19" ht="22.2" x14ac:dyDescent="0.3">
      <c r="A68" s="53"/>
      <c r="B68" s="6">
        <f t="shared" ref="B68:B99" si="3">SUM(C68:N68)</f>
        <v>525</v>
      </c>
      <c r="C68" s="1"/>
      <c r="D68" s="1"/>
      <c r="E68" s="1"/>
      <c r="F68" s="1"/>
      <c r="G68" s="1"/>
      <c r="H68" s="1">
        <v>75</v>
      </c>
      <c r="I68" s="1">
        <v>75</v>
      </c>
      <c r="J68" s="1">
        <v>75</v>
      </c>
      <c r="K68" s="1">
        <v>75</v>
      </c>
      <c r="L68" s="1">
        <v>75</v>
      </c>
      <c r="M68" s="1">
        <v>75</v>
      </c>
      <c r="N68" s="1">
        <v>75</v>
      </c>
      <c r="O68" s="4">
        <v>75</v>
      </c>
      <c r="P68" s="53" t="s">
        <v>69</v>
      </c>
      <c r="Q68" s="53">
        <v>1065</v>
      </c>
      <c r="R68" s="53" t="s">
        <v>93</v>
      </c>
      <c r="S68" s="53">
        <f t="shared" si="2"/>
        <v>65</v>
      </c>
    </row>
    <row r="69" spans="1:19" ht="22.2" x14ac:dyDescent="0.3">
      <c r="A69" s="53"/>
      <c r="B69" s="6">
        <f t="shared" si="3"/>
        <v>525</v>
      </c>
      <c r="C69" s="1"/>
      <c r="D69" s="1"/>
      <c r="E69" s="1"/>
      <c r="F69" s="1"/>
      <c r="G69" s="1"/>
      <c r="H69" s="1">
        <v>75</v>
      </c>
      <c r="I69" s="1">
        <v>75</v>
      </c>
      <c r="J69" s="1">
        <v>75</v>
      </c>
      <c r="K69" s="1">
        <v>75</v>
      </c>
      <c r="L69" s="1">
        <v>75</v>
      </c>
      <c r="M69" s="1">
        <v>75</v>
      </c>
      <c r="N69" s="1">
        <v>75</v>
      </c>
      <c r="O69" s="4">
        <v>75</v>
      </c>
      <c r="P69" s="53" t="s">
        <v>70</v>
      </c>
      <c r="Q69" s="53">
        <v>1066</v>
      </c>
      <c r="R69" s="53" t="s">
        <v>93</v>
      </c>
      <c r="S69" s="53">
        <f t="shared" si="2"/>
        <v>66</v>
      </c>
    </row>
    <row r="70" spans="1:19" ht="22.2" x14ac:dyDescent="0.3">
      <c r="A70" s="53"/>
      <c r="B70" s="6">
        <f t="shared" si="3"/>
        <v>350</v>
      </c>
      <c r="C70" s="1"/>
      <c r="D70" s="1"/>
      <c r="E70" s="1"/>
      <c r="F70" s="1"/>
      <c r="G70" s="1"/>
      <c r="H70" s="1">
        <v>50</v>
      </c>
      <c r="I70" s="1">
        <v>50</v>
      </c>
      <c r="J70" s="1">
        <v>50</v>
      </c>
      <c r="K70" s="1">
        <v>50</v>
      </c>
      <c r="L70" s="1">
        <v>50</v>
      </c>
      <c r="M70" s="1">
        <v>50</v>
      </c>
      <c r="N70" s="1">
        <v>50</v>
      </c>
      <c r="O70" s="4">
        <v>50</v>
      </c>
      <c r="P70" s="53" t="s">
        <v>71</v>
      </c>
      <c r="Q70" s="53">
        <v>1067</v>
      </c>
      <c r="R70" s="53" t="s">
        <v>93</v>
      </c>
      <c r="S70" s="53">
        <f t="shared" si="2"/>
        <v>67</v>
      </c>
    </row>
    <row r="71" spans="1:19" ht="22.2" x14ac:dyDescent="0.3">
      <c r="A71" s="53"/>
      <c r="B71" s="6">
        <f t="shared" si="3"/>
        <v>350</v>
      </c>
      <c r="C71" s="1"/>
      <c r="D71" s="1"/>
      <c r="E71" s="1"/>
      <c r="F71" s="1"/>
      <c r="G71" s="1"/>
      <c r="H71" s="1">
        <v>50</v>
      </c>
      <c r="I71" s="1">
        <v>50</v>
      </c>
      <c r="J71" s="1">
        <v>50</v>
      </c>
      <c r="K71" s="1">
        <v>50</v>
      </c>
      <c r="L71" s="1">
        <v>50</v>
      </c>
      <c r="M71" s="1">
        <v>50</v>
      </c>
      <c r="N71" s="1">
        <v>50</v>
      </c>
      <c r="O71" s="4">
        <v>50</v>
      </c>
      <c r="P71" s="53" t="s">
        <v>72</v>
      </c>
      <c r="Q71" s="53">
        <v>1068</v>
      </c>
      <c r="R71" s="53" t="s">
        <v>93</v>
      </c>
      <c r="S71" s="53">
        <f t="shared" si="2"/>
        <v>68</v>
      </c>
    </row>
    <row r="72" spans="1:19" ht="22.2" x14ac:dyDescent="0.3">
      <c r="A72" s="53"/>
      <c r="B72" s="6">
        <f t="shared" si="3"/>
        <v>350</v>
      </c>
      <c r="C72" s="1"/>
      <c r="D72" s="1"/>
      <c r="E72" s="1"/>
      <c r="F72" s="1"/>
      <c r="G72" s="1"/>
      <c r="H72" s="63">
        <v>50</v>
      </c>
      <c r="I72" s="1">
        <v>50</v>
      </c>
      <c r="J72" s="1">
        <v>50</v>
      </c>
      <c r="K72" s="1">
        <v>50</v>
      </c>
      <c r="L72" s="1">
        <v>50</v>
      </c>
      <c r="M72" s="1">
        <v>50</v>
      </c>
      <c r="N72" s="1">
        <v>50</v>
      </c>
      <c r="O72" s="4">
        <v>50</v>
      </c>
      <c r="P72" s="53" t="s">
        <v>73</v>
      </c>
      <c r="Q72" s="53">
        <v>1069</v>
      </c>
      <c r="R72" s="53" t="s">
        <v>93</v>
      </c>
      <c r="S72" s="53">
        <f t="shared" si="2"/>
        <v>69</v>
      </c>
    </row>
    <row r="73" spans="1:19" ht="22.2" x14ac:dyDescent="0.3">
      <c r="A73" s="53"/>
      <c r="B73" s="6">
        <f t="shared" si="3"/>
        <v>350</v>
      </c>
      <c r="C73" s="1"/>
      <c r="D73" s="1"/>
      <c r="E73" s="1"/>
      <c r="F73" s="1"/>
      <c r="G73" s="1"/>
      <c r="H73" s="63">
        <v>50</v>
      </c>
      <c r="I73" s="1">
        <v>50</v>
      </c>
      <c r="J73" s="1">
        <v>50</v>
      </c>
      <c r="K73" s="1">
        <v>50</v>
      </c>
      <c r="L73" s="1">
        <v>50</v>
      </c>
      <c r="M73" s="1">
        <v>50</v>
      </c>
      <c r="N73" s="1">
        <v>50</v>
      </c>
      <c r="O73" s="4">
        <v>50</v>
      </c>
      <c r="P73" s="53" t="s">
        <v>74</v>
      </c>
      <c r="Q73" s="53">
        <v>1070</v>
      </c>
      <c r="R73" s="53" t="s">
        <v>93</v>
      </c>
      <c r="S73" s="53">
        <f t="shared" si="2"/>
        <v>70</v>
      </c>
    </row>
    <row r="74" spans="1:19" ht="22.2" x14ac:dyDescent="0.3">
      <c r="A74" s="53"/>
      <c r="B74" s="6">
        <f t="shared" si="3"/>
        <v>350</v>
      </c>
      <c r="C74" s="1"/>
      <c r="D74" s="1"/>
      <c r="E74" s="1"/>
      <c r="F74" s="1"/>
      <c r="G74" s="1"/>
      <c r="H74" s="63">
        <v>50</v>
      </c>
      <c r="I74" s="1">
        <v>50</v>
      </c>
      <c r="J74" s="1">
        <v>50</v>
      </c>
      <c r="K74" s="1">
        <v>50</v>
      </c>
      <c r="L74" s="1">
        <v>50</v>
      </c>
      <c r="M74" s="1">
        <v>50</v>
      </c>
      <c r="N74" s="1">
        <v>50</v>
      </c>
      <c r="O74" s="4">
        <v>50</v>
      </c>
      <c r="P74" s="53" t="s">
        <v>34</v>
      </c>
      <c r="Q74" s="53">
        <v>1060</v>
      </c>
      <c r="R74" s="53" t="s">
        <v>93</v>
      </c>
      <c r="S74" s="53">
        <f t="shared" si="2"/>
        <v>71</v>
      </c>
    </row>
    <row r="75" spans="1:19" ht="22.2" x14ac:dyDescent="0.3">
      <c r="A75" s="53"/>
      <c r="B75" s="6">
        <f t="shared" si="3"/>
        <v>350</v>
      </c>
      <c r="C75" s="1"/>
      <c r="D75" s="1"/>
      <c r="E75" s="1"/>
      <c r="F75" s="1"/>
      <c r="G75" s="1"/>
      <c r="H75" s="63">
        <v>50</v>
      </c>
      <c r="I75" s="1">
        <v>50</v>
      </c>
      <c r="J75" s="1">
        <v>50</v>
      </c>
      <c r="K75" s="1">
        <v>50</v>
      </c>
      <c r="L75" s="1">
        <v>50</v>
      </c>
      <c r="M75" s="1">
        <v>50</v>
      </c>
      <c r="N75" s="1">
        <v>50</v>
      </c>
      <c r="O75" s="4">
        <v>50</v>
      </c>
      <c r="P75" s="53" t="s">
        <v>33</v>
      </c>
      <c r="Q75" s="53">
        <v>1061</v>
      </c>
      <c r="R75" s="53" t="s">
        <v>93</v>
      </c>
      <c r="S75" s="53">
        <f t="shared" si="2"/>
        <v>72</v>
      </c>
    </row>
    <row r="76" spans="1:19" ht="22.2" x14ac:dyDescent="0.3">
      <c r="A76" s="53"/>
      <c r="B76" s="6">
        <f t="shared" si="3"/>
        <v>1000</v>
      </c>
      <c r="C76" s="1"/>
      <c r="D76" s="1"/>
      <c r="E76" s="1"/>
      <c r="F76" s="1"/>
      <c r="G76" s="1"/>
      <c r="H76" s="1">
        <v>150</v>
      </c>
      <c r="I76" s="1">
        <v>150</v>
      </c>
      <c r="J76" s="1">
        <v>150</v>
      </c>
      <c r="K76" s="1">
        <v>150</v>
      </c>
      <c r="L76" s="1">
        <v>150</v>
      </c>
      <c r="M76" s="1">
        <v>150</v>
      </c>
      <c r="N76" s="3">
        <v>100</v>
      </c>
      <c r="O76" s="4">
        <v>150</v>
      </c>
      <c r="P76" s="53" t="s">
        <v>81</v>
      </c>
      <c r="Q76" s="53">
        <v>1076</v>
      </c>
      <c r="R76" s="53" t="s">
        <v>93</v>
      </c>
      <c r="S76" s="53">
        <f t="shared" si="2"/>
        <v>73</v>
      </c>
    </row>
    <row r="77" spans="1:19" ht="22.2" x14ac:dyDescent="0.3">
      <c r="A77" s="53"/>
      <c r="B77" s="6">
        <f t="shared" si="3"/>
        <v>1000</v>
      </c>
      <c r="C77" s="1"/>
      <c r="D77" s="1"/>
      <c r="E77" s="1"/>
      <c r="F77" s="1"/>
      <c r="G77" s="1"/>
      <c r="H77" s="1">
        <v>150</v>
      </c>
      <c r="I77" s="1">
        <v>150</v>
      </c>
      <c r="J77" s="1">
        <v>150</v>
      </c>
      <c r="K77" s="1">
        <v>150</v>
      </c>
      <c r="L77" s="1">
        <v>150</v>
      </c>
      <c r="M77" s="1">
        <v>150</v>
      </c>
      <c r="N77" s="3">
        <v>100</v>
      </c>
      <c r="O77" s="4">
        <v>150</v>
      </c>
      <c r="P77" s="53" t="s">
        <v>102</v>
      </c>
      <c r="Q77" s="53">
        <v>1077</v>
      </c>
      <c r="R77" s="53" t="s">
        <v>93</v>
      </c>
      <c r="S77" s="53">
        <f t="shared" si="2"/>
        <v>74</v>
      </c>
    </row>
    <row r="78" spans="1:19" ht="22.2" x14ac:dyDescent="0.3">
      <c r="A78" s="53"/>
      <c r="B78" s="6">
        <f t="shared" si="3"/>
        <v>1000</v>
      </c>
      <c r="C78" s="1"/>
      <c r="D78" s="1"/>
      <c r="E78" s="1"/>
      <c r="F78" s="1"/>
      <c r="G78" s="1"/>
      <c r="H78" s="1">
        <v>150</v>
      </c>
      <c r="I78" s="1">
        <v>150</v>
      </c>
      <c r="J78" s="1">
        <v>150</v>
      </c>
      <c r="K78" s="1">
        <v>150</v>
      </c>
      <c r="L78" s="1">
        <v>150</v>
      </c>
      <c r="M78" s="1">
        <v>150</v>
      </c>
      <c r="N78" s="1">
        <v>100</v>
      </c>
      <c r="O78" s="4">
        <v>150</v>
      </c>
      <c r="P78" s="53" t="s">
        <v>80</v>
      </c>
      <c r="Q78" s="53">
        <v>1075</v>
      </c>
      <c r="R78" s="53" t="s">
        <v>93</v>
      </c>
      <c r="S78" s="53">
        <f t="shared" si="2"/>
        <v>75</v>
      </c>
    </row>
    <row r="79" spans="1:19" ht="22.2" x14ac:dyDescent="0.3">
      <c r="A79" s="53"/>
      <c r="B79" s="6">
        <f t="shared" si="3"/>
        <v>700</v>
      </c>
      <c r="C79" s="1"/>
      <c r="D79" s="1"/>
      <c r="E79" s="1"/>
      <c r="F79" s="1"/>
      <c r="G79" s="1"/>
      <c r="H79" s="1">
        <v>100</v>
      </c>
      <c r="I79" s="1">
        <v>100</v>
      </c>
      <c r="J79" s="1">
        <v>100</v>
      </c>
      <c r="K79" s="1">
        <v>100</v>
      </c>
      <c r="L79" s="1">
        <v>100</v>
      </c>
      <c r="M79" s="1">
        <v>100</v>
      </c>
      <c r="N79" s="1">
        <v>100</v>
      </c>
      <c r="O79" s="4">
        <v>100</v>
      </c>
      <c r="P79" s="53" t="s">
        <v>91</v>
      </c>
      <c r="Q79" s="53">
        <v>1085</v>
      </c>
      <c r="R79" s="53" t="s">
        <v>93</v>
      </c>
      <c r="S79" s="53">
        <f t="shared" si="2"/>
        <v>76</v>
      </c>
    </row>
    <row r="80" spans="1:19" ht="22.2" x14ac:dyDescent="0.3">
      <c r="A80" s="53"/>
      <c r="B80" s="6">
        <f t="shared" si="3"/>
        <v>700</v>
      </c>
      <c r="C80" s="1"/>
      <c r="D80" s="1"/>
      <c r="E80" s="1"/>
      <c r="F80" s="1"/>
      <c r="G80" s="1"/>
      <c r="H80" s="1">
        <v>100</v>
      </c>
      <c r="I80" s="1">
        <v>100</v>
      </c>
      <c r="J80" s="1">
        <v>100</v>
      </c>
      <c r="K80" s="1">
        <v>100</v>
      </c>
      <c r="L80" s="1">
        <v>100</v>
      </c>
      <c r="M80" s="1">
        <v>100</v>
      </c>
      <c r="N80" s="1">
        <v>100</v>
      </c>
      <c r="O80" s="4">
        <v>100</v>
      </c>
      <c r="P80" s="53" t="s">
        <v>92</v>
      </c>
      <c r="Q80" s="53">
        <v>1086</v>
      </c>
      <c r="R80" s="53" t="s">
        <v>93</v>
      </c>
      <c r="S80" s="53">
        <f t="shared" si="2"/>
        <v>77</v>
      </c>
    </row>
    <row r="81" spans="1:19" ht="22.2" x14ac:dyDescent="0.3">
      <c r="A81" s="53"/>
      <c r="B81" s="6">
        <f t="shared" si="3"/>
        <v>700</v>
      </c>
      <c r="C81" s="1"/>
      <c r="D81" s="1"/>
      <c r="E81" s="1"/>
      <c r="F81" s="1"/>
      <c r="G81" s="1"/>
      <c r="H81" s="1">
        <v>100</v>
      </c>
      <c r="I81" s="1">
        <v>100</v>
      </c>
      <c r="J81" s="1">
        <v>100</v>
      </c>
      <c r="K81" s="1">
        <v>100</v>
      </c>
      <c r="L81" s="1">
        <v>100</v>
      </c>
      <c r="M81" s="1">
        <v>100</v>
      </c>
      <c r="N81" s="1">
        <v>100</v>
      </c>
      <c r="O81" s="4">
        <v>100</v>
      </c>
      <c r="P81" s="53" t="s">
        <v>79</v>
      </c>
      <c r="Q81" s="53">
        <v>1074</v>
      </c>
      <c r="R81" s="53" t="s">
        <v>93</v>
      </c>
      <c r="S81" s="53">
        <f t="shared" ref="S81:S106" si="4">S80+1</f>
        <v>78</v>
      </c>
    </row>
    <row r="82" spans="1:19" ht="22.2" x14ac:dyDescent="0.3">
      <c r="A82" s="53"/>
      <c r="B82" s="6">
        <f t="shared" si="3"/>
        <v>700</v>
      </c>
      <c r="C82" s="1"/>
      <c r="D82" s="1"/>
      <c r="E82" s="1"/>
      <c r="F82" s="1"/>
      <c r="G82" s="1"/>
      <c r="H82" s="1">
        <v>100</v>
      </c>
      <c r="I82" s="1">
        <v>100</v>
      </c>
      <c r="J82" s="1">
        <v>100</v>
      </c>
      <c r="K82" s="1">
        <v>100</v>
      </c>
      <c r="L82" s="1">
        <v>100</v>
      </c>
      <c r="M82" s="1">
        <v>100</v>
      </c>
      <c r="N82" s="3">
        <v>100</v>
      </c>
      <c r="O82" s="4">
        <v>100</v>
      </c>
      <c r="P82" s="53" t="s">
        <v>85</v>
      </c>
      <c r="Q82" s="53">
        <v>1080</v>
      </c>
      <c r="R82" s="53" t="s">
        <v>93</v>
      </c>
      <c r="S82" s="53">
        <f t="shared" si="4"/>
        <v>79</v>
      </c>
    </row>
    <row r="83" spans="1:19" ht="22.2" x14ac:dyDescent="0.3">
      <c r="A83" s="53"/>
      <c r="B83" s="6">
        <f t="shared" si="3"/>
        <v>1400</v>
      </c>
      <c r="C83" s="1"/>
      <c r="D83" s="1"/>
      <c r="E83" s="1"/>
      <c r="F83" s="1"/>
      <c r="G83" s="1"/>
      <c r="H83" s="1">
        <v>200</v>
      </c>
      <c r="I83" s="1">
        <v>200</v>
      </c>
      <c r="J83" s="1">
        <v>200</v>
      </c>
      <c r="K83" s="1">
        <v>200</v>
      </c>
      <c r="L83" s="1">
        <v>200</v>
      </c>
      <c r="M83" s="1">
        <v>200</v>
      </c>
      <c r="N83" s="1">
        <v>200</v>
      </c>
      <c r="O83" s="4">
        <v>200</v>
      </c>
      <c r="P83" s="53" t="s">
        <v>94</v>
      </c>
      <c r="Q83" s="53">
        <v>1087</v>
      </c>
      <c r="R83" s="53" t="s">
        <v>93</v>
      </c>
      <c r="S83" s="53">
        <f t="shared" si="4"/>
        <v>80</v>
      </c>
    </row>
    <row r="84" spans="1:19" ht="22.2" x14ac:dyDescent="0.3">
      <c r="A84" s="53"/>
      <c r="B84" s="6">
        <f t="shared" si="3"/>
        <v>700</v>
      </c>
      <c r="C84" s="1"/>
      <c r="D84" s="1"/>
      <c r="E84" s="1"/>
      <c r="F84" s="1"/>
      <c r="G84" s="1"/>
      <c r="H84" s="1">
        <v>100</v>
      </c>
      <c r="I84" s="1">
        <v>100</v>
      </c>
      <c r="J84" s="1">
        <v>100</v>
      </c>
      <c r="K84" s="1">
        <v>100</v>
      </c>
      <c r="L84" s="1">
        <v>100</v>
      </c>
      <c r="M84" s="1">
        <v>100</v>
      </c>
      <c r="N84" s="1">
        <v>100</v>
      </c>
      <c r="O84" s="4">
        <v>100</v>
      </c>
      <c r="P84" s="53" t="s">
        <v>96</v>
      </c>
      <c r="Q84" s="53">
        <v>1089</v>
      </c>
      <c r="R84" s="53" t="s">
        <v>93</v>
      </c>
      <c r="S84" s="53">
        <f t="shared" si="4"/>
        <v>81</v>
      </c>
    </row>
    <row r="85" spans="1:19" ht="22.2" x14ac:dyDescent="0.3">
      <c r="A85" s="53"/>
      <c r="B85" s="6">
        <f t="shared" si="3"/>
        <v>700</v>
      </c>
      <c r="C85" s="1"/>
      <c r="D85" s="1"/>
      <c r="E85" s="1"/>
      <c r="F85" s="1"/>
      <c r="G85" s="1"/>
      <c r="H85" s="1">
        <v>100</v>
      </c>
      <c r="I85" s="1">
        <v>100</v>
      </c>
      <c r="J85" s="1">
        <v>100</v>
      </c>
      <c r="K85" s="1">
        <v>100</v>
      </c>
      <c r="L85" s="1">
        <v>100</v>
      </c>
      <c r="M85" s="1">
        <v>100</v>
      </c>
      <c r="N85" s="1">
        <v>100</v>
      </c>
      <c r="O85" s="4">
        <v>100</v>
      </c>
      <c r="P85" s="53" t="s">
        <v>95</v>
      </c>
      <c r="Q85" s="53">
        <v>1088</v>
      </c>
      <c r="R85" s="53" t="s">
        <v>93</v>
      </c>
      <c r="S85" s="53">
        <f t="shared" si="4"/>
        <v>82</v>
      </c>
    </row>
    <row r="86" spans="1:19" ht="22.2" x14ac:dyDescent="0.3">
      <c r="A86" s="53"/>
      <c r="B86" s="6">
        <f t="shared" si="3"/>
        <v>1000</v>
      </c>
      <c r="C86" s="1"/>
      <c r="D86" s="1"/>
      <c r="E86" s="1"/>
      <c r="F86" s="1"/>
      <c r="G86" s="1"/>
      <c r="H86" s="1">
        <v>150</v>
      </c>
      <c r="I86" s="1">
        <v>150</v>
      </c>
      <c r="J86" s="1">
        <v>150</v>
      </c>
      <c r="K86" s="1">
        <v>150</v>
      </c>
      <c r="L86" s="1">
        <v>150</v>
      </c>
      <c r="M86" s="1">
        <v>150</v>
      </c>
      <c r="N86" s="1">
        <v>100</v>
      </c>
      <c r="O86" s="4">
        <v>100</v>
      </c>
      <c r="P86" s="53" t="s">
        <v>104</v>
      </c>
      <c r="Q86" s="53">
        <v>1095</v>
      </c>
      <c r="R86" s="53"/>
      <c r="S86" s="53">
        <f t="shared" si="4"/>
        <v>83</v>
      </c>
    </row>
    <row r="87" spans="1:19" ht="22.2" x14ac:dyDescent="0.3">
      <c r="A87" s="53"/>
      <c r="B87" s="6">
        <f t="shared" si="3"/>
        <v>700</v>
      </c>
      <c r="C87" s="1"/>
      <c r="D87" s="1"/>
      <c r="E87" s="1"/>
      <c r="F87" s="1"/>
      <c r="G87" s="1"/>
      <c r="H87" s="1">
        <v>100</v>
      </c>
      <c r="I87" s="1">
        <v>100</v>
      </c>
      <c r="J87" s="1">
        <v>100</v>
      </c>
      <c r="K87" s="1">
        <v>100</v>
      </c>
      <c r="L87" s="1">
        <v>100</v>
      </c>
      <c r="M87" s="1">
        <v>100</v>
      </c>
      <c r="N87" s="1">
        <v>100</v>
      </c>
      <c r="O87" s="4">
        <v>100</v>
      </c>
      <c r="P87" s="53" t="s">
        <v>106</v>
      </c>
      <c r="Q87" s="53">
        <v>1096</v>
      </c>
      <c r="R87" s="53"/>
      <c r="S87" s="53">
        <f t="shared" si="4"/>
        <v>84</v>
      </c>
    </row>
    <row r="88" spans="1:19" ht="22.2" x14ac:dyDescent="0.3">
      <c r="A88" s="53"/>
      <c r="B88" s="6">
        <f t="shared" si="3"/>
        <v>700</v>
      </c>
      <c r="C88" s="1"/>
      <c r="D88" s="1"/>
      <c r="E88" s="1"/>
      <c r="F88" s="1"/>
      <c r="G88" s="1"/>
      <c r="H88" s="1">
        <v>100</v>
      </c>
      <c r="I88" s="1">
        <v>100</v>
      </c>
      <c r="J88" s="1">
        <v>100</v>
      </c>
      <c r="K88" s="1">
        <v>100</v>
      </c>
      <c r="L88" s="1">
        <v>100</v>
      </c>
      <c r="M88" s="1">
        <v>100</v>
      </c>
      <c r="N88" s="1">
        <v>100</v>
      </c>
      <c r="O88" s="4">
        <v>100</v>
      </c>
      <c r="P88" s="53" t="s">
        <v>105</v>
      </c>
      <c r="Q88" s="53">
        <v>1097</v>
      </c>
      <c r="R88" s="53"/>
      <c r="S88" s="53">
        <f t="shared" si="4"/>
        <v>85</v>
      </c>
    </row>
    <row r="89" spans="1:19" ht="22.2" x14ac:dyDescent="0.3">
      <c r="A89" s="53"/>
      <c r="B89" s="6">
        <f t="shared" si="3"/>
        <v>700</v>
      </c>
      <c r="C89" s="1"/>
      <c r="D89" s="1"/>
      <c r="E89" s="1"/>
      <c r="F89" s="1"/>
      <c r="G89" s="1"/>
      <c r="H89" s="1">
        <v>100</v>
      </c>
      <c r="I89" s="1">
        <v>100</v>
      </c>
      <c r="J89" s="1">
        <v>100</v>
      </c>
      <c r="K89" s="1">
        <v>100</v>
      </c>
      <c r="L89" s="1">
        <v>100</v>
      </c>
      <c r="M89" s="1">
        <v>100</v>
      </c>
      <c r="N89" s="1">
        <v>100</v>
      </c>
      <c r="O89" s="4">
        <v>100</v>
      </c>
      <c r="P89" s="53" t="s">
        <v>26</v>
      </c>
      <c r="Q89" s="53">
        <v>1098</v>
      </c>
      <c r="R89" s="53"/>
      <c r="S89" s="53">
        <f t="shared" si="4"/>
        <v>86</v>
      </c>
    </row>
    <row r="90" spans="1:19" ht="22.2" x14ac:dyDescent="0.3">
      <c r="A90" s="53"/>
      <c r="B90" s="6">
        <f t="shared" si="3"/>
        <v>1050</v>
      </c>
      <c r="C90" s="1"/>
      <c r="D90" s="1"/>
      <c r="E90" s="1"/>
      <c r="F90" s="1"/>
      <c r="G90" s="1"/>
      <c r="H90" s="1">
        <v>150</v>
      </c>
      <c r="I90" s="1">
        <v>150</v>
      </c>
      <c r="J90" s="1">
        <v>150</v>
      </c>
      <c r="K90" s="1">
        <v>150</v>
      </c>
      <c r="L90" s="1">
        <v>150</v>
      </c>
      <c r="M90" s="1">
        <v>150</v>
      </c>
      <c r="N90" s="1">
        <v>150</v>
      </c>
      <c r="O90" s="4">
        <v>150</v>
      </c>
      <c r="P90" s="53" t="s">
        <v>113</v>
      </c>
      <c r="Q90" s="53">
        <v>1103</v>
      </c>
      <c r="R90" s="53"/>
      <c r="S90" s="53">
        <f t="shared" si="4"/>
        <v>87</v>
      </c>
    </row>
    <row r="91" spans="1:19" ht="22.2" x14ac:dyDescent="0.3">
      <c r="A91" s="53"/>
      <c r="B91" s="6">
        <f t="shared" si="3"/>
        <v>205</v>
      </c>
      <c r="C91" s="1"/>
      <c r="D91" s="1"/>
      <c r="E91" s="1"/>
      <c r="F91" s="1"/>
      <c r="G91" s="1"/>
      <c r="H91" s="1">
        <v>30</v>
      </c>
      <c r="I91" s="1">
        <v>30</v>
      </c>
      <c r="J91" s="1">
        <v>30</v>
      </c>
      <c r="K91" s="1">
        <v>30</v>
      </c>
      <c r="L91" s="1">
        <v>35</v>
      </c>
      <c r="M91" s="1">
        <v>25</v>
      </c>
      <c r="N91" s="1">
        <v>25</v>
      </c>
      <c r="O91" s="4">
        <v>25</v>
      </c>
      <c r="P91" s="53" t="s">
        <v>109</v>
      </c>
      <c r="Q91" s="53">
        <v>1099</v>
      </c>
      <c r="R91" s="53"/>
      <c r="S91" s="53">
        <f t="shared" si="4"/>
        <v>88</v>
      </c>
    </row>
    <row r="92" spans="1:19" ht="22.2" x14ac:dyDescent="0.3">
      <c r="A92" s="53"/>
      <c r="B92" s="6">
        <f t="shared" si="3"/>
        <v>300</v>
      </c>
      <c r="C92" s="1"/>
      <c r="D92" s="1"/>
      <c r="E92" s="1"/>
      <c r="F92" s="1"/>
      <c r="G92" s="1"/>
      <c r="H92" s="1">
        <v>50</v>
      </c>
      <c r="I92" s="1">
        <v>50</v>
      </c>
      <c r="J92" s="1">
        <v>50</v>
      </c>
      <c r="K92" s="1">
        <v>50</v>
      </c>
      <c r="L92" s="1">
        <v>50</v>
      </c>
      <c r="M92" s="1">
        <v>25</v>
      </c>
      <c r="N92" s="1">
        <v>25</v>
      </c>
      <c r="O92" s="4">
        <v>25</v>
      </c>
      <c r="P92" s="53" t="s">
        <v>110</v>
      </c>
      <c r="Q92" s="53">
        <v>1100</v>
      </c>
      <c r="R92" s="53"/>
      <c r="S92" s="53">
        <f t="shared" si="4"/>
        <v>89</v>
      </c>
    </row>
    <row r="93" spans="1:19" ht="22.2" x14ac:dyDescent="0.3">
      <c r="A93" s="53"/>
      <c r="B93" s="6">
        <f t="shared" si="3"/>
        <v>205</v>
      </c>
      <c r="C93" s="1"/>
      <c r="D93" s="1"/>
      <c r="E93" s="1"/>
      <c r="F93" s="1"/>
      <c r="G93" s="1"/>
      <c r="H93" s="1">
        <v>30</v>
      </c>
      <c r="I93" s="1">
        <v>30</v>
      </c>
      <c r="J93" s="1">
        <v>30</v>
      </c>
      <c r="K93" s="1">
        <v>30</v>
      </c>
      <c r="L93" s="1">
        <v>35</v>
      </c>
      <c r="M93" s="1">
        <v>25</v>
      </c>
      <c r="N93" s="1">
        <v>25</v>
      </c>
      <c r="O93" s="4">
        <v>25</v>
      </c>
      <c r="P93" s="53" t="s">
        <v>111</v>
      </c>
      <c r="Q93" s="53">
        <v>1101</v>
      </c>
      <c r="R93" s="53"/>
      <c r="S93" s="53">
        <f t="shared" si="4"/>
        <v>90</v>
      </c>
    </row>
    <row r="94" spans="1:19" ht="22.2" x14ac:dyDescent="0.3">
      <c r="A94" s="53"/>
      <c r="B94" s="6">
        <f t="shared" si="3"/>
        <v>5250</v>
      </c>
      <c r="C94" s="1"/>
      <c r="D94" s="1"/>
      <c r="E94" s="1"/>
      <c r="F94" s="1"/>
      <c r="G94" s="1"/>
      <c r="H94" s="1">
        <v>750</v>
      </c>
      <c r="I94" s="1">
        <v>750</v>
      </c>
      <c r="J94" s="1">
        <v>750</v>
      </c>
      <c r="K94" s="1">
        <v>750</v>
      </c>
      <c r="L94" s="1">
        <v>750</v>
      </c>
      <c r="M94" s="1">
        <v>750</v>
      </c>
      <c r="N94" s="1">
        <v>750</v>
      </c>
      <c r="O94" s="4">
        <v>750</v>
      </c>
      <c r="P94" s="53" t="s">
        <v>40</v>
      </c>
      <c r="Q94" s="53">
        <v>1020</v>
      </c>
      <c r="R94" s="53" t="s">
        <v>93</v>
      </c>
      <c r="S94" s="53">
        <f t="shared" si="4"/>
        <v>91</v>
      </c>
    </row>
    <row r="95" spans="1:19" ht="22.2" x14ac:dyDescent="0.3">
      <c r="A95" s="53"/>
      <c r="B95" s="6">
        <f t="shared" si="3"/>
        <v>6000</v>
      </c>
      <c r="C95" s="1"/>
      <c r="D95" s="1"/>
      <c r="E95" s="1"/>
      <c r="F95" s="1"/>
      <c r="G95" s="1"/>
      <c r="H95" s="1">
        <v>900</v>
      </c>
      <c r="I95" s="1">
        <v>900</v>
      </c>
      <c r="J95" s="1">
        <v>900</v>
      </c>
      <c r="K95" s="1">
        <v>600</v>
      </c>
      <c r="L95" s="1">
        <v>900</v>
      </c>
      <c r="M95" s="1">
        <v>900</v>
      </c>
      <c r="N95" s="1">
        <v>900</v>
      </c>
      <c r="O95" s="4">
        <v>900</v>
      </c>
      <c r="P95" s="53" t="s">
        <v>27</v>
      </c>
      <c r="Q95" s="53">
        <v>1050</v>
      </c>
      <c r="R95" s="53" t="s">
        <v>93</v>
      </c>
      <c r="S95" s="53">
        <f t="shared" si="4"/>
        <v>92</v>
      </c>
    </row>
    <row r="96" spans="1:19" ht="22.2" x14ac:dyDescent="0.3">
      <c r="A96" s="53"/>
      <c r="B96" s="6">
        <f t="shared" si="3"/>
        <v>3000</v>
      </c>
      <c r="C96" s="1"/>
      <c r="D96" s="1"/>
      <c r="E96" s="1"/>
      <c r="F96" s="1"/>
      <c r="G96" s="1"/>
      <c r="H96" s="1">
        <v>600</v>
      </c>
      <c r="I96" s="1">
        <v>0</v>
      </c>
      <c r="J96" s="1">
        <v>600</v>
      </c>
      <c r="K96" s="1">
        <v>600</v>
      </c>
      <c r="L96" s="1">
        <v>600</v>
      </c>
      <c r="M96" s="1">
        <v>600</v>
      </c>
      <c r="N96" s="1">
        <v>0</v>
      </c>
      <c r="O96" s="4">
        <v>500</v>
      </c>
      <c r="P96" s="53" t="s">
        <v>103</v>
      </c>
      <c r="Q96" s="53">
        <v>1094</v>
      </c>
      <c r="R96" s="53" t="s">
        <v>93</v>
      </c>
      <c r="S96" s="53">
        <f t="shared" si="4"/>
        <v>93</v>
      </c>
    </row>
    <row r="97" spans="1:19" ht="22.2" x14ac:dyDescent="0.3">
      <c r="A97" s="53"/>
      <c r="B97" s="6">
        <f t="shared" si="3"/>
        <v>1600</v>
      </c>
      <c r="C97" s="1"/>
      <c r="D97" s="1"/>
      <c r="E97" s="1"/>
      <c r="F97" s="1"/>
      <c r="G97" s="1"/>
      <c r="H97" s="1">
        <v>250</v>
      </c>
      <c r="I97" s="1">
        <v>250</v>
      </c>
      <c r="J97" s="1">
        <v>250</v>
      </c>
      <c r="K97" s="1">
        <v>250</v>
      </c>
      <c r="L97" s="1">
        <v>250</v>
      </c>
      <c r="M97" s="1">
        <v>250</v>
      </c>
      <c r="N97" s="1">
        <v>100</v>
      </c>
      <c r="O97" s="4">
        <v>250</v>
      </c>
      <c r="P97" s="53" t="s">
        <v>61</v>
      </c>
      <c r="Q97" s="53">
        <v>1021</v>
      </c>
      <c r="R97" s="53" t="s">
        <v>93</v>
      </c>
      <c r="S97" s="53">
        <f t="shared" si="4"/>
        <v>94</v>
      </c>
    </row>
    <row r="98" spans="1:19" ht="22.2" x14ac:dyDescent="0.3">
      <c r="A98" s="53"/>
      <c r="B98" s="6">
        <f t="shared" si="3"/>
        <v>2100</v>
      </c>
      <c r="C98" s="1"/>
      <c r="D98" s="1"/>
      <c r="E98" s="1"/>
      <c r="F98" s="1"/>
      <c r="G98" s="1"/>
      <c r="H98" s="1">
        <v>300</v>
      </c>
      <c r="I98" s="1">
        <v>300</v>
      </c>
      <c r="J98" s="1">
        <v>300</v>
      </c>
      <c r="K98" s="1">
        <v>300</v>
      </c>
      <c r="L98" s="1">
        <v>300</v>
      </c>
      <c r="M98" s="1">
        <v>300</v>
      </c>
      <c r="N98" s="1">
        <v>300</v>
      </c>
      <c r="O98" s="4">
        <v>300</v>
      </c>
      <c r="P98" s="53" t="s">
        <v>76</v>
      </c>
      <c r="Q98" s="53">
        <v>1026</v>
      </c>
      <c r="R98" s="53" t="s">
        <v>93</v>
      </c>
      <c r="S98" s="53">
        <f t="shared" si="4"/>
        <v>95</v>
      </c>
    </row>
    <row r="99" spans="1:19" ht="22.2" x14ac:dyDescent="0.3">
      <c r="A99" s="53"/>
      <c r="B99" s="6">
        <f t="shared" si="3"/>
        <v>700</v>
      </c>
      <c r="C99" s="1"/>
      <c r="D99" s="1"/>
      <c r="E99" s="1"/>
      <c r="F99" s="1"/>
      <c r="G99" s="1"/>
      <c r="H99" s="1">
        <v>100</v>
      </c>
      <c r="I99" s="1">
        <v>100</v>
      </c>
      <c r="J99" s="1">
        <v>100</v>
      </c>
      <c r="K99" s="1">
        <v>100</v>
      </c>
      <c r="L99" s="1">
        <v>100</v>
      </c>
      <c r="M99" s="1">
        <v>100</v>
      </c>
      <c r="N99" s="1">
        <v>100</v>
      </c>
      <c r="O99" s="4">
        <v>100</v>
      </c>
      <c r="P99" s="53" t="s">
        <v>64</v>
      </c>
      <c r="Q99" s="53">
        <v>1047</v>
      </c>
      <c r="R99" s="53" t="s">
        <v>93</v>
      </c>
      <c r="S99" s="53">
        <f t="shared" si="4"/>
        <v>96</v>
      </c>
    </row>
    <row r="100" spans="1:19" ht="22.2" x14ac:dyDescent="0.3">
      <c r="A100" s="53"/>
      <c r="B100" s="6">
        <f t="shared" ref="B100:B126" si="5">SUM(C100:N100)</f>
        <v>1050</v>
      </c>
      <c r="C100" s="1"/>
      <c r="D100" s="1"/>
      <c r="E100" s="1"/>
      <c r="F100" s="1"/>
      <c r="G100" s="1"/>
      <c r="H100" s="1">
        <v>150</v>
      </c>
      <c r="I100" s="1">
        <v>150</v>
      </c>
      <c r="J100" s="1">
        <v>150</v>
      </c>
      <c r="K100" s="1">
        <v>150</v>
      </c>
      <c r="L100" s="1">
        <v>150</v>
      </c>
      <c r="M100" s="1">
        <v>150</v>
      </c>
      <c r="N100" s="1">
        <v>150</v>
      </c>
      <c r="O100" s="4">
        <v>150</v>
      </c>
      <c r="P100" s="53" t="s">
        <v>75</v>
      </c>
      <c r="Q100" s="53">
        <v>1071</v>
      </c>
      <c r="R100" s="53" t="s">
        <v>93</v>
      </c>
      <c r="S100" s="53">
        <f t="shared" si="4"/>
        <v>97</v>
      </c>
    </row>
    <row r="101" spans="1:19" ht="22.2" x14ac:dyDescent="0.3">
      <c r="A101" s="53"/>
      <c r="B101" s="6">
        <f t="shared" si="5"/>
        <v>2100</v>
      </c>
      <c r="C101" s="1"/>
      <c r="D101" s="1"/>
      <c r="E101" s="1"/>
      <c r="F101" s="1"/>
      <c r="G101" s="1"/>
      <c r="H101" s="1">
        <v>300</v>
      </c>
      <c r="I101" s="1">
        <v>300</v>
      </c>
      <c r="J101" s="1">
        <v>300</v>
      </c>
      <c r="K101" s="1">
        <v>300</v>
      </c>
      <c r="L101" s="1">
        <v>300</v>
      </c>
      <c r="M101" s="1">
        <v>300</v>
      </c>
      <c r="N101" s="1">
        <v>300</v>
      </c>
      <c r="O101" s="4">
        <v>300</v>
      </c>
      <c r="P101" s="53" t="s">
        <v>62</v>
      </c>
      <c r="Q101" s="53">
        <v>1006</v>
      </c>
      <c r="R101" s="53" t="s">
        <v>93</v>
      </c>
      <c r="S101" s="53">
        <f t="shared" si="4"/>
        <v>98</v>
      </c>
    </row>
    <row r="102" spans="1:19" ht="22.2" x14ac:dyDescent="0.3">
      <c r="A102" s="53"/>
      <c r="B102" s="6">
        <f t="shared" si="5"/>
        <v>1400</v>
      </c>
      <c r="C102" s="1"/>
      <c r="D102" s="1"/>
      <c r="E102" s="1"/>
      <c r="F102" s="1"/>
      <c r="G102" s="1"/>
      <c r="H102" s="1">
        <v>200</v>
      </c>
      <c r="I102" s="1">
        <v>200</v>
      </c>
      <c r="J102" s="1">
        <v>200</v>
      </c>
      <c r="K102" s="1">
        <v>200</v>
      </c>
      <c r="L102" s="1">
        <v>200</v>
      </c>
      <c r="M102" s="1">
        <v>200</v>
      </c>
      <c r="N102" s="1">
        <v>200</v>
      </c>
      <c r="O102" s="4">
        <v>200</v>
      </c>
      <c r="P102" s="53" t="s">
        <v>98</v>
      </c>
      <c r="Q102" s="53">
        <v>1090</v>
      </c>
      <c r="R102" s="53"/>
      <c r="S102" s="53">
        <f t="shared" si="4"/>
        <v>99</v>
      </c>
    </row>
    <row r="103" spans="1:19" ht="22.2" x14ac:dyDescent="0.3">
      <c r="A103" s="53"/>
      <c r="B103" s="6">
        <f t="shared" si="5"/>
        <v>2400</v>
      </c>
      <c r="C103" s="1">
        <v>200</v>
      </c>
      <c r="D103" s="1">
        <v>200</v>
      </c>
      <c r="E103" s="1">
        <v>200</v>
      </c>
      <c r="F103" s="1">
        <v>200</v>
      </c>
      <c r="G103" s="1">
        <v>200</v>
      </c>
      <c r="H103" s="1">
        <v>200</v>
      </c>
      <c r="I103" s="1">
        <v>200</v>
      </c>
      <c r="J103" s="1">
        <v>200</v>
      </c>
      <c r="K103" s="1">
        <v>200</v>
      </c>
      <c r="L103" s="1">
        <v>200</v>
      </c>
      <c r="M103" s="1">
        <v>200</v>
      </c>
      <c r="N103" s="1">
        <v>200</v>
      </c>
      <c r="O103" s="4">
        <v>200</v>
      </c>
      <c r="P103" s="53" t="s">
        <v>100</v>
      </c>
      <c r="Q103" s="53">
        <v>1092</v>
      </c>
      <c r="R103" s="53"/>
      <c r="S103" s="53">
        <f t="shared" si="4"/>
        <v>100</v>
      </c>
    </row>
    <row r="104" spans="1:19" ht="22.2" x14ac:dyDescent="0.3">
      <c r="A104" s="53"/>
      <c r="B104" s="6">
        <f t="shared" si="5"/>
        <v>2100</v>
      </c>
      <c r="C104" s="1"/>
      <c r="D104" s="1"/>
      <c r="E104" s="1"/>
      <c r="F104" s="1"/>
      <c r="G104" s="1"/>
      <c r="H104" s="1">
        <v>300</v>
      </c>
      <c r="I104" s="1">
        <v>300</v>
      </c>
      <c r="J104" s="1">
        <v>300</v>
      </c>
      <c r="K104" s="1">
        <v>300</v>
      </c>
      <c r="L104" s="1">
        <v>300</v>
      </c>
      <c r="M104" s="1">
        <v>300</v>
      </c>
      <c r="N104" s="1">
        <v>300</v>
      </c>
      <c r="O104" s="4">
        <v>200</v>
      </c>
      <c r="P104" s="53" t="s">
        <v>101</v>
      </c>
      <c r="Q104" s="53">
        <v>1093</v>
      </c>
      <c r="R104" s="53"/>
      <c r="S104" s="53">
        <f t="shared" si="4"/>
        <v>101</v>
      </c>
    </row>
    <row r="105" spans="1:19" ht="22.2" x14ac:dyDescent="0.3">
      <c r="A105" s="53"/>
      <c r="B105" s="6">
        <f t="shared" si="5"/>
        <v>2100</v>
      </c>
      <c r="C105" s="1"/>
      <c r="D105" s="1"/>
      <c r="E105" s="1"/>
      <c r="F105" s="1"/>
      <c r="G105" s="1"/>
      <c r="H105" s="1">
        <v>300</v>
      </c>
      <c r="I105" s="1">
        <v>300</v>
      </c>
      <c r="J105" s="1">
        <v>300</v>
      </c>
      <c r="K105" s="1">
        <v>300</v>
      </c>
      <c r="L105" s="1">
        <v>300</v>
      </c>
      <c r="M105" s="1">
        <v>300</v>
      </c>
      <c r="N105" s="1">
        <v>300</v>
      </c>
      <c r="O105" s="4">
        <v>300</v>
      </c>
      <c r="P105" s="53" t="s">
        <v>99</v>
      </c>
      <c r="Q105" s="53">
        <v>1091</v>
      </c>
      <c r="R105" s="53"/>
      <c r="S105" s="53">
        <f t="shared" si="4"/>
        <v>102</v>
      </c>
    </row>
    <row r="106" spans="1:19" ht="22.2" x14ac:dyDescent="0.3">
      <c r="A106" s="53"/>
      <c r="B106" s="6">
        <f t="shared" si="5"/>
        <v>200</v>
      </c>
      <c r="C106" s="1"/>
      <c r="D106" s="1"/>
      <c r="E106" s="1"/>
      <c r="F106" s="1"/>
      <c r="G106" s="1"/>
      <c r="H106" s="1">
        <v>100</v>
      </c>
      <c r="I106" s="1">
        <v>100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4">
        <v>100</v>
      </c>
      <c r="P106" s="53" t="s">
        <v>232</v>
      </c>
      <c r="Q106" s="53">
        <v>1072</v>
      </c>
      <c r="R106" s="53" t="s">
        <v>93</v>
      </c>
      <c r="S106" s="53">
        <f t="shared" si="4"/>
        <v>103</v>
      </c>
    </row>
    <row r="107" spans="1:19" ht="22.2" x14ac:dyDescent="0.3">
      <c r="A107" s="53"/>
      <c r="B107" s="6">
        <f t="shared" si="5"/>
        <v>0</v>
      </c>
      <c r="C107" s="1"/>
      <c r="D107" s="1"/>
      <c r="E107" s="1"/>
      <c r="F107" s="1"/>
      <c r="G107" s="1"/>
      <c r="H107" s="1"/>
      <c r="I107" s="1">
        <v>0</v>
      </c>
      <c r="J107" s="1"/>
      <c r="K107" s="1"/>
      <c r="L107" s="1"/>
      <c r="M107" s="1"/>
      <c r="N107" s="1"/>
      <c r="O107" s="4">
        <v>0</v>
      </c>
      <c r="P107" s="54" t="s">
        <v>236</v>
      </c>
      <c r="Q107" s="53">
        <v>1073</v>
      </c>
      <c r="R107" s="53" t="s">
        <v>93</v>
      </c>
      <c r="S107" s="53">
        <f>S106+1</f>
        <v>104</v>
      </c>
    </row>
    <row r="108" spans="1:19" ht="22.2" x14ac:dyDescent="0.3">
      <c r="A108" s="53"/>
      <c r="B108" s="6">
        <f t="shared" si="5"/>
        <v>200</v>
      </c>
      <c r="C108" s="1"/>
      <c r="D108" s="1"/>
      <c r="E108" s="1"/>
      <c r="F108" s="1"/>
      <c r="G108" s="1"/>
      <c r="H108" s="1">
        <v>100</v>
      </c>
      <c r="I108" s="1">
        <v>100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4">
        <v>100</v>
      </c>
      <c r="P108" s="53" t="s">
        <v>231</v>
      </c>
      <c r="Q108" s="53">
        <v>1105</v>
      </c>
      <c r="R108" s="53" t="s">
        <v>93</v>
      </c>
      <c r="S108" s="68">
        <f t="shared" ref="S108:S117" si="6">S107+1</f>
        <v>105</v>
      </c>
    </row>
    <row r="109" spans="1:19" ht="22.2" x14ac:dyDescent="0.3">
      <c r="A109" s="53"/>
      <c r="B109" s="6">
        <f t="shared" si="5"/>
        <v>400</v>
      </c>
      <c r="C109" s="1"/>
      <c r="D109" s="1"/>
      <c r="E109" s="1"/>
      <c r="F109" s="1"/>
      <c r="G109" s="1"/>
      <c r="H109" s="1">
        <v>200</v>
      </c>
      <c r="I109" s="1">
        <v>200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4">
        <v>200</v>
      </c>
      <c r="P109" s="53" t="s">
        <v>230</v>
      </c>
      <c r="Q109" s="53">
        <v>1106</v>
      </c>
      <c r="R109" s="53" t="s">
        <v>93</v>
      </c>
      <c r="S109" s="68">
        <f t="shared" si="6"/>
        <v>106</v>
      </c>
    </row>
    <row r="110" spans="1:19" ht="22.2" x14ac:dyDescent="0.3">
      <c r="A110" s="53"/>
      <c r="B110" s="6">
        <f t="shared" si="5"/>
        <v>0</v>
      </c>
      <c r="C110" s="1"/>
      <c r="D110" s="1"/>
      <c r="E110" s="1"/>
      <c r="F110" s="1"/>
      <c r="G110" s="1"/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4">
        <v>0</v>
      </c>
      <c r="P110" s="53" t="s">
        <v>229</v>
      </c>
      <c r="Q110" s="53">
        <v>1107</v>
      </c>
      <c r="R110" s="53" t="s">
        <v>93</v>
      </c>
      <c r="S110" s="68">
        <f t="shared" si="6"/>
        <v>107</v>
      </c>
    </row>
    <row r="111" spans="1:19" ht="22.2" x14ac:dyDescent="0.3">
      <c r="A111" s="53"/>
      <c r="B111" s="6">
        <f t="shared" si="5"/>
        <v>80</v>
      </c>
      <c r="C111" s="1"/>
      <c r="D111" s="1"/>
      <c r="E111" s="1"/>
      <c r="F111" s="1"/>
      <c r="G111" s="1"/>
      <c r="H111" s="1">
        <v>80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4">
        <v>50</v>
      </c>
      <c r="P111" s="53" t="s">
        <v>235</v>
      </c>
      <c r="Q111" s="53">
        <v>1108</v>
      </c>
      <c r="R111" s="53" t="s">
        <v>93</v>
      </c>
      <c r="S111" s="68">
        <f t="shared" si="6"/>
        <v>108</v>
      </c>
    </row>
    <row r="112" spans="1:19" ht="22.2" x14ac:dyDescent="0.3">
      <c r="A112" s="53"/>
      <c r="B112" s="6">
        <f t="shared" si="5"/>
        <v>0</v>
      </c>
      <c r="C112" s="1"/>
      <c r="D112" s="1"/>
      <c r="E112" s="1"/>
      <c r="F112" s="1"/>
      <c r="G112" s="1"/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4">
        <v>0</v>
      </c>
      <c r="P112" s="53" t="s">
        <v>237</v>
      </c>
      <c r="Q112" s="53">
        <v>1109</v>
      </c>
      <c r="R112" s="53" t="s">
        <v>93</v>
      </c>
      <c r="S112" s="68">
        <f t="shared" si="6"/>
        <v>109</v>
      </c>
    </row>
    <row r="113" spans="1:19" ht="22.2" x14ac:dyDescent="0.3">
      <c r="A113" s="53"/>
      <c r="B113" s="6">
        <f t="shared" si="5"/>
        <v>200</v>
      </c>
      <c r="C113" s="1"/>
      <c r="D113" s="1"/>
      <c r="E113" s="1"/>
      <c r="F113" s="1"/>
      <c r="G113" s="1"/>
      <c r="H113" s="1">
        <v>200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4">
        <v>50</v>
      </c>
      <c r="P113" s="53" t="s">
        <v>238</v>
      </c>
      <c r="Q113" s="53">
        <v>1110</v>
      </c>
      <c r="R113" s="53" t="s">
        <v>93</v>
      </c>
      <c r="S113" s="68">
        <f t="shared" si="6"/>
        <v>110</v>
      </c>
    </row>
    <row r="114" spans="1:19" ht="22.2" x14ac:dyDescent="0.3">
      <c r="A114" s="53"/>
      <c r="B114" s="6">
        <f t="shared" si="5"/>
        <v>100</v>
      </c>
      <c r="C114" s="1"/>
      <c r="D114" s="1"/>
      <c r="E114" s="1"/>
      <c r="F114" s="1"/>
      <c r="G114" s="1"/>
      <c r="H114" s="1">
        <v>100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4">
        <v>100</v>
      </c>
      <c r="P114" s="68" t="s">
        <v>239</v>
      </c>
      <c r="Q114" s="53">
        <v>1111</v>
      </c>
      <c r="R114" s="53"/>
      <c r="S114" s="68">
        <f t="shared" si="6"/>
        <v>111</v>
      </c>
    </row>
    <row r="115" spans="1:19" ht="22.2" x14ac:dyDescent="0.3">
      <c r="A115" s="53"/>
      <c r="B115" s="6">
        <f t="shared" si="5"/>
        <v>50</v>
      </c>
      <c r="C115" s="1"/>
      <c r="D115" s="1"/>
      <c r="E115" s="1"/>
      <c r="F115" s="1"/>
      <c r="G115" s="1"/>
      <c r="H115" s="1">
        <v>50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4">
        <v>50</v>
      </c>
      <c r="P115" s="68" t="s">
        <v>242</v>
      </c>
      <c r="Q115" s="68">
        <v>1112</v>
      </c>
      <c r="R115" s="53"/>
      <c r="S115" s="68">
        <f t="shared" si="6"/>
        <v>112</v>
      </c>
    </row>
    <row r="116" spans="1:19" ht="22.2" x14ac:dyDescent="0.3">
      <c r="A116" s="53"/>
      <c r="B116" s="6">
        <f t="shared" si="5"/>
        <v>50</v>
      </c>
      <c r="C116" s="1"/>
      <c r="D116" s="1"/>
      <c r="E116" s="1"/>
      <c r="F116" s="1"/>
      <c r="G116" s="1"/>
      <c r="H116" s="1">
        <v>50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4">
        <v>50</v>
      </c>
      <c r="P116" s="68" t="s">
        <v>241</v>
      </c>
      <c r="Q116" s="68">
        <v>1113</v>
      </c>
      <c r="R116" s="53"/>
      <c r="S116" s="68">
        <f t="shared" si="6"/>
        <v>113</v>
      </c>
    </row>
    <row r="117" spans="1:19" ht="22.2" x14ac:dyDescent="0.3">
      <c r="A117" s="53"/>
      <c r="B117" s="6">
        <f t="shared" si="5"/>
        <v>0</v>
      </c>
      <c r="C117" s="1"/>
      <c r="D117" s="1"/>
      <c r="E117" s="1"/>
      <c r="F117" s="1"/>
      <c r="G117" s="1"/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4">
        <v>50</v>
      </c>
      <c r="P117" s="68" t="s">
        <v>240</v>
      </c>
      <c r="Q117" s="68">
        <v>1114</v>
      </c>
      <c r="R117" s="53"/>
      <c r="S117" s="68">
        <f t="shared" si="6"/>
        <v>114</v>
      </c>
    </row>
    <row r="118" spans="1:19" ht="22.2" x14ac:dyDescent="0.3">
      <c r="A118" s="53"/>
      <c r="B118" s="6">
        <f t="shared" si="5"/>
        <v>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4"/>
      <c r="Q118" s="68">
        <v>1115</v>
      </c>
      <c r="R118" s="53"/>
    </row>
    <row r="119" spans="1:19" ht="14.4" customHeight="1" x14ac:dyDescent="0.3">
      <c r="A119" s="53"/>
      <c r="B119" s="6">
        <f t="shared" si="5"/>
        <v>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4"/>
      <c r="Q119" s="68">
        <v>1116</v>
      </c>
      <c r="R119" s="53"/>
    </row>
    <row r="120" spans="1:19" ht="18" customHeight="1" x14ac:dyDescent="0.3">
      <c r="A120" s="53"/>
      <c r="B120" s="6">
        <f t="shared" si="5"/>
        <v>0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4"/>
      <c r="Q120" s="68">
        <v>1117</v>
      </c>
      <c r="R120" s="53"/>
    </row>
    <row r="121" spans="1:19" ht="14.4" customHeight="1" x14ac:dyDescent="0.3">
      <c r="A121" s="53"/>
      <c r="B121" s="6">
        <f t="shared" si="5"/>
        <v>0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4"/>
      <c r="Q121" s="68">
        <v>1118</v>
      </c>
      <c r="R121" s="53"/>
    </row>
    <row r="122" spans="1:19" ht="22.2" x14ac:dyDescent="0.3">
      <c r="A122" s="53"/>
      <c r="B122" s="6">
        <f t="shared" si="5"/>
        <v>0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4"/>
      <c r="Q122" s="68">
        <v>1119</v>
      </c>
      <c r="R122" s="53"/>
    </row>
    <row r="123" spans="1:19" ht="22.2" x14ac:dyDescent="0.3">
      <c r="A123" s="53"/>
      <c r="B123" s="6">
        <f t="shared" si="5"/>
        <v>0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4"/>
      <c r="Q123" s="68">
        <v>1120</v>
      </c>
      <c r="R123" s="53"/>
    </row>
    <row r="124" spans="1:19" ht="22.2" x14ac:dyDescent="0.3">
      <c r="A124" s="53"/>
      <c r="B124" s="6">
        <f t="shared" si="5"/>
        <v>0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4"/>
      <c r="Q124" s="68">
        <v>1121</v>
      </c>
      <c r="R124" s="53"/>
    </row>
    <row r="125" spans="1:19" ht="22.2" x14ac:dyDescent="0.3">
      <c r="A125" s="53"/>
      <c r="B125" s="6">
        <f t="shared" si="5"/>
        <v>0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4"/>
      <c r="P125" s="53"/>
      <c r="Q125" s="68">
        <v>1122</v>
      </c>
      <c r="R125" s="53"/>
    </row>
    <row r="126" spans="1:19" ht="22.2" x14ac:dyDescent="0.3">
      <c r="A126" s="53"/>
      <c r="B126" s="6">
        <f t="shared" si="5"/>
        <v>0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4"/>
      <c r="P126" s="53"/>
      <c r="Q126" s="68">
        <v>1123</v>
      </c>
      <c r="R126" s="53"/>
    </row>
    <row r="127" spans="1:19" ht="25.8" x14ac:dyDescent="0.3">
      <c r="A127" s="53"/>
      <c r="B127" s="8">
        <f>SUM(B4:B107)</f>
        <v>99335</v>
      </c>
      <c r="C127" s="1">
        <f t="shared" ref="C127:M127" si="7">SUM(C4:C126)</f>
        <v>200</v>
      </c>
      <c r="D127" s="1">
        <f t="shared" si="7"/>
        <v>200</v>
      </c>
      <c r="E127" s="1">
        <f t="shared" si="7"/>
        <v>200</v>
      </c>
      <c r="F127" s="1">
        <f t="shared" si="7"/>
        <v>200</v>
      </c>
      <c r="G127" s="1">
        <f t="shared" si="7"/>
        <v>1115</v>
      </c>
      <c r="H127" s="1">
        <f>SUM(H4:H126)</f>
        <v>15200</v>
      </c>
      <c r="I127" s="1">
        <f t="shared" si="7"/>
        <v>14200</v>
      </c>
      <c r="J127" s="1">
        <f t="shared" si="7"/>
        <v>14700</v>
      </c>
      <c r="K127" s="1">
        <f t="shared" si="7"/>
        <v>14000</v>
      </c>
      <c r="L127" s="1">
        <f t="shared" si="7"/>
        <v>14000</v>
      </c>
      <c r="M127" s="1">
        <f t="shared" si="7"/>
        <v>13700</v>
      </c>
      <c r="N127" s="1">
        <f>SUM(N4:N126)</f>
        <v>12700</v>
      </c>
      <c r="O127" s="7">
        <f>SUM(O4:O126)</f>
        <v>14400</v>
      </c>
      <c r="P127" s="8" t="s">
        <v>228</v>
      </c>
      <c r="R127" s="53"/>
    </row>
    <row r="128" spans="1:19" ht="25.8" x14ac:dyDescent="0.3">
      <c r="A128" s="53"/>
      <c r="B128" s="62">
        <v>131600</v>
      </c>
      <c r="C128" s="1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P128" s="62" t="s">
        <v>227</v>
      </c>
      <c r="R128" s="53"/>
    </row>
    <row r="129" spans="1:18" ht="25.8" x14ac:dyDescent="0.3">
      <c r="A129" s="53"/>
      <c r="B129" s="61">
        <f>B127+B128</f>
        <v>230935</v>
      </c>
      <c r="C129" s="53"/>
      <c r="D129" s="1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P129" s="61" t="s">
        <v>226</v>
      </c>
      <c r="R129" s="53"/>
    </row>
    <row r="130" spans="1:18" ht="25.8" x14ac:dyDescent="0.3">
      <c r="A130" s="53"/>
      <c r="B130" s="60">
        <f>SUM(C127:H127)-750</f>
        <v>16365</v>
      </c>
      <c r="C130" s="53"/>
      <c r="E130" s="53"/>
      <c r="F130" s="53"/>
      <c r="G130" s="1"/>
      <c r="H130" s="1"/>
      <c r="I130" s="1"/>
      <c r="J130" s="53"/>
      <c r="K130" s="53"/>
      <c r="L130" s="53"/>
      <c r="M130" s="53"/>
      <c r="N130" s="53"/>
      <c r="P130" s="60" t="s">
        <v>225</v>
      </c>
      <c r="R130" s="53"/>
    </row>
    <row r="131" spans="1:18" x14ac:dyDescent="0.3">
      <c r="A131" s="53"/>
      <c r="B131" s="74">
        <f>100*(B127-B128)/B128</f>
        <v>-24.517477203647417</v>
      </c>
      <c r="C131" s="53"/>
      <c r="D131" s="53"/>
      <c r="E131" s="53"/>
      <c r="F131" s="53"/>
      <c r="G131" s="53" t="s">
        <v>224</v>
      </c>
      <c r="H131" s="53"/>
      <c r="I131" s="53"/>
      <c r="J131" s="1"/>
      <c r="K131" s="53"/>
      <c r="L131" s="53"/>
      <c r="M131" s="53"/>
      <c r="N131" s="53"/>
      <c r="P131" s="73" t="s">
        <v>223</v>
      </c>
      <c r="R131" s="53"/>
    </row>
    <row r="132" spans="1:18" ht="18" x14ac:dyDescent="0.3">
      <c r="A132" s="53"/>
      <c r="B132" s="74"/>
      <c r="C132" s="53"/>
      <c r="D132" s="53"/>
      <c r="E132" s="9"/>
      <c r="F132" s="53"/>
      <c r="G132" s="53"/>
      <c r="H132" s="1"/>
      <c r="I132" s="1"/>
      <c r="J132" s="1"/>
      <c r="K132" s="53"/>
      <c r="L132" s="1"/>
      <c r="M132" s="1"/>
      <c r="N132" s="53"/>
      <c r="P132" s="73"/>
      <c r="R132" s="53"/>
    </row>
    <row r="133" spans="1:18" x14ac:dyDescent="0.3">
      <c r="A133" s="53"/>
      <c r="B133" s="74"/>
      <c r="C133" s="53"/>
      <c r="D133" s="53"/>
      <c r="E133" s="53"/>
      <c r="F133" s="53"/>
      <c r="G133" s="53"/>
      <c r="H133" s="53"/>
      <c r="I133" s="59"/>
      <c r="J133" s="53"/>
      <c r="K133" s="53"/>
      <c r="L133" s="53"/>
      <c r="M133" s="53"/>
      <c r="N133" s="53"/>
      <c r="P133" s="73"/>
      <c r="R133" s="53"/>
    </row>
    <row r="134" spans="1:18" x14ac:dyDescent="0.3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P134" s="53"/>
      <c r="R134" s="53"/>
    </row>
    <row r="135" spans="1:18" x14ac:dyDescent="0.3">
      <c r="A135" s="53"/>
      <c r="B135" s="53"/>
      <c r="C135" s="53"/>
      <c r="D135" s="53"/>
      <c r="E135" s="53"/>
      <c r="F135" s="53"/>
      <c r="G135" s="53"/>
      <c r="H135" s="1">
        <f>SUM(C127:G127)</f>
        <v>1915</v>
      </c>
      <c r="I135" s="53"/>
      <c r="J135" s="53"/>
      <c r="K135" s="53"/>
      <c r="L135" s="53"/>
      <c r="M135" s="53"/>
      <c r="N135" s="53"/>
      <c r="P135" s="53"/>
      <c r="R135" s="53"/>
    </row>
    <row r="136" spans="1:18" x14ac:dyDescent="0.3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P136" s="53"/>
      <c r="R136" s="53"/>
    </row>
    <row r="137" spans="1:18" x14ac:dyDescent="0.3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P137" s="53"/>
      <c r="R137" s="53"/>
    </row>
    <row r="138" spans="1:18" x14ac:dyDescent="0.3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P138" s="53"/>
      <c r="R138" s="53"/>
    </row>
    <row r="139" spans="1:18" x14ac:dyDescent="0.3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P139" s="53"/>
      <c r="R139" s="53"/>
    </row>
    <row r="140" spans="1:18" x14ac:dyDescent="0.3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P140" s="53"/>
      <c r="R140" s="53"/>
    </row>
    <row r="141" spans="1:18" x14ac:dyDescent="0.3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P141" s="53"/>
      <c r="R141" s="53"/>
    </row>
    <row r="142" spans="1:18" x14ac:dyDescent="0.3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P142" s="53"/>
      <c r="R142" s="53"/>
    </row>
    <row r="143" spans="1:18" x14ac:dyDescent="0.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P143" s="53"/>
      <c r="R143" s="53"/>
    </row>
    <row r="144" spans="1:18" x14ac:dyDescent="0.3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P144" s="53"/>
      <c r="R144" s="53"/>
    </row>
    <row r="145" spans="1:18" x14ac:dyDescent="0.3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P145" s="53"/>
      <c r="R145" s="53"/>
    </row>
    <row r="146" spans="1:18" x14ac:dyDescent="0.3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P146" s="53"/>
      <c r="R146" s="53"/>
    </row>
    <row r="147" spans="1:18" x14ac:dyDescent="0.3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P147" s="53"/>
      <c r="R147" s="53"/>
    </row>
    <row r="148" spans="1:18" x14ac:dyDescent="0.3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P148" s="53"/>
      <c r="R148" s="53"/>
    </row>
    <row r="149" spans="1:18" x14ac:dyDescent="0.3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P149" s="53"/>
      <c r="R149" s="53"/>
    </row>
    <row r="150" spans="1:18" x14ac:dyDescent="0.3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P150" s="53"/>
      <c r="R150" s="53"/>
    </row>
    <row r="151" spans="1:18" x14ac:dyDescent="0.3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P151" s="53"/>
      <c r="R151" s="53"/>
    </row>
    <row r="152" spans="1:18" x14ac:dyDescent="0.3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P152" s="53"/>
      <c r="R152" s="53"/>
    </row>
    <row r="153" spans="1:18" x14ac:dyDescent="0.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P153" s="53"/>
      <c r="R153" s="53"/>
    </row>
    <row r="154" spans="1:18" x14ac:dyDescent="0.3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P154" s="53"/>
      <c r="R154" s="53"/>
    </row>
    <row r="155" spans="1:18" x14ac:dyDescent="0.3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P155" s="53"/>
      <c r="R155" s="53"/>
    </row>
    <row r="156" spans="1:18" x14ac:dyDescent="0.3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P156" s="53"/>
      <c r="R156" s="53"/>
    </row>
    <row r="157" spans="1:18" x14ac:dyDescent="0.3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P157" s="53"/>
      <c r="R157" s="53"/>
    </row>
    <row r="158" spans="1:18" x14ac:dyDescent="0.3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P158" s="53"/>
      <c r="R158" s="53"/>
    </row>
    <row r="159" spans="1:18" x14ac:dyDescent="0.3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P159" s="53"/>
      <c r="R159" s="53"/>
    </row>
    <row r="160" spans="1:18" x14ac:dyDescent="0.3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P160" s="53"/>
      <c r="R160" s="53"/>
    </row>
    <row r="161" spans="1:18" x14ac:dyDescent="0.3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P161" s="53"/>
      <c r="R161" s="53"/>
    </row>
    <row r="162" spans="1:18" x14ac:dyDescent="0.3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P162" s="53"/>
      <c r="R162" s="53"/>
    </row>
    <row r="163" spans="1:18" x14ac:dyDescent="0.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P163" s="53"/>
      <c r="R163" s="53"/>
    </row>
    <row r="164" spans="1:18" x14ac:dyDescent="0.3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P164" s="53"/>
      <c r="R164" s="53"/>
    </row>
    <row r="165" spans="1:18" x14ac:dyDescent="0.3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P165" s="53"/>
      <c r="R165" s="53"/>
    </row>
    <row r="166" spans="1:18" x14ac:dyDescent="0.3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P166" s="53"/>
      <c r="R166" s="53"/>
    </row>
    <row r="167" spans="1:18" x14ac:dyDescent="0.3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P167" s="53"/>
      <c r="R167" s="53"/>
    </row>
    <row r="168" spans="1:18" x14ac:dyDescent="0.3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P168" s="53"/>
      <c r="R168" s="53"/>
    </row>
    <row r="169" spans="1:18" x14ac:dyDescent="0.3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P169" s="53"/>
      <c r="R169" s="53"/>
    </row>
    <row r="170" spans="1:18" x14ac:dyDescent="0.3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P170" s="53"/>
      <c r="R170" s="53"/>
    </row>
    <row r="171" spans="1:18" x14ac:dyDescent="0.3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P171" s="53"/>
      <c r="R171" s="53"/>
    </row>
    <row r="172" spans="1:18" x14ac:dyDescent="0.3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P172" s="53"/>
      <c r="R172" s="53"/>
    </row>
    <row r="173" spans="1:18" x14ac:dyDescent="0.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P173" s="53"/>
      <c r="R173" s="53"/>
    </row>
    <row r="174" spans="1:18" x14ac:dyDescent="0.3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P174" s="53"/>
      <c r="R174" s="53"/>
    </row>
    <row r="175" spans="1:18" x14ac:dyDescent="0.3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P175" s="53"/>
      <c r="R175" s="53"/>
    </row>
    <row r="176" spans="1:18" x14ac:dyDescent="0.3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P176" s="53"/>
      <c r="R176" s="53"/>
    </row>
    <row r="177" spans="1:18" x14ac:dyDescent="0.3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P177" s="53"/>
      <c r="R177" s="53"/>
    </row>
    <row r="178" spans="1:18" x14ac:dyDescent="0.3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P178" s="53"/>
      <c r="R178" s="53"/>
    </row>
    <row r="179" spans="1:18" x14ac:dyDescent="0.3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P179" s="53"/>
      <c r="R179" s="53"/>
    </row>
    <row r="180" spans="1:18" x14ac:dyDescent="0.3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P180" s="53"/>
      <c r="R180" s="53"/>
    </row>
    <row r="181" spans="1:18" x14ac:dyDescent="0.3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P181" s="53"/>
      <c r="R181" s="53"/>
    </row>
    <row r="182" spans="1:18" x14ac:dyDescent="0.3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P182" s="53"/>
      <c r="R182" s="53"/>
    </row>
    <row r="183" spans="1:18" x14ac:dyDescent="0.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P183" s="53"/>
      <c r="R183" s="53"/>
    </row>
    <row r="184" spans="1:18" x14ac:dyDescent="0.3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P184" s="53"/>
      <c r="R184" s="53"/>
    </row>
    <row r="185" spans="1:18" x14ac:dyDescent="0.3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P185" s="53"/>
      <c r="R185" s="53"/>
    </row>
    <row r="186" spans="1:18" x14ac:dyDescent="0.3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P186" s="53"/>
      <c r="R186" s="53"/>
    </row>
    <row r="187" spans="1:18" x14ac:dyDescent="0.3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P187" s="53"/>
      <c r="R187" s="53"/>
    </row>
    <row r="188" spans="1:18" x14ac:dyDescent="0.3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P188" s="53"/>
      <c r="R188" s="53"/>
    </row>
    <row r="189" spans="1:18" x14ac:dyDescent="0.3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P189" s="53"/>
      <c r="R189" s="53"/>
    </row>
    <row r="190" spans="1:18" x14ac:dyDescent="0.3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P190" s="53"/>
      <c r="R190" s="53"/>
    </row>
    <row r="191" spans="1:18" x14ac:dyDescent="0.3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P191" s="53"/>
      <c r="R191" s="53"/>
    </row>
    <row r="192" spans="1:18" x14ac:dyDescent="0.3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P192" s="53"/>
      <c r="R192" s="53"/>
    </row>
    <row r="193" spans="1:18" x14ac:dyDescent="0.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P193" s="53"/>
      <c r="R193" s="53"/>
    </row>
    <row r="194" spans="1:18" x14ac:dyDescent="0.3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P194" s="53"/>
      <c r="R194" s="53"/>
    </row>
    <row r="195" spans="1:18" x14ac:dyDescent="0.3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P195" s="53"/>
      <c r="R195" s="53"/>
    </row>
    <row r="196" spans="1:18" x14ac:dyDescent="0.3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P196" s="53"/>
      <c r="R196" s="53"/>
    </row>
    <row r="197" spans="1:18" x14ac:dyDescent="0.3">
      <c r="A197" s="53"/>
      <c r="B197" s="53"/>
      <c r="P197" s="53"/>
      <c r="R197" s="53"/>
    </row>
  </sheetData>
  <mergeCells count="2">
    <mergeCell ref="P131:P133"/>
    <mergeCell ref="B131:B13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1"/>
  <sheetViews>
    <sheetView topLeftCell="A3" workbookViewId="0">
      <selection activeCell="H10" sqref="H10"/>
    </sheetView>
  </sheetViews>
  <sheetFormatPr defaultRowHeight="14.4" x14ac:dyDescent="0.3"/>
  <cols>
    <col min="2" max="2" width="14.6640625" bestFit="1" customWidth="1"/>
    <col min="4" max="5" width="13.109375" customWidth="1"/>
    <col min="6" max="7" width="12" customWidth="1"/>
    <col min="8" max="8" width="20.5546875" customWidth="1"/>
    <col min="9" max="9" width="19.77734375" customWidth="1"/>
    <col min="10" max="10" width="18.21875" customWidth="1"/>
    <col min="11" max="11" width="15.6640625" customWidth="1"/>
    <col min="12" max="12" width="14.77734375" customWidth="1"/>
    <col min="13" max="13" width="19.21875" customWidth="1"/>
  </cols>
  <sheetData>
    <row r="4" spans="2:14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186</v>
      </c>
      <c r="H4" s="16" t="s">
        <v>140</v>
      </c>
      <c r="I4" s="16" t="s">
        <v>122</v>
      </c>
      <c r="J4" s="16" t="s">
        <v>141</v>
      </c>
      <c r="K4" s="16" t="s">
        <v>142</v>
      </c>
      <c r="L4" s="16" t="s">
        <v>123</v>
      </c>
      <c r="M4" s="16" t="s">
        <v>143</v>
      </c>
    </row>
    <row r="5" spans="2:14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2:14" ht="15.6" x14ac:dyDescent="0.3">
      <c r="B6" t="s">
        <v>220</v>
      </c>
      <c r="C6" s="21">
        <v>1</v>
      </c>
      <c r="D6" s="33">
        <v>28650</v>
      </c>
      <c r="E6" s="21">
        <f>D6*F6</f>
        <v>6990600</v>
      </c>
      <c r="F6" s="21">
        <v>244</v>
      </c>
      <c r="G6" s="21">
        <v>0</v>
      </c>
      <c r="H6" s="21">
        <v>244</v>
      </c>
      <c r="I6" s="21">
        <v>6990600</v>
      </c>
      <c r="J6" s="21">
        <f>I6/H6</f>
        <v>28650</v>
      </c>
      <c r="K6" s="21">
        <f>H6*D6</f>
        <v>6990600</v>
      </c>
      <c r="L6" s="21">
        <f>K6-I6</f>
        <v>0</v>
      </c>
      <c r="M6" s="21">
        <f>100*(K6-I6)/I6</f>
        <v>0</v>
      </c>
    </row>
    <row r="7" spans="2:14" ht="15.6" x14ac:dyDescent="0.3">
      <c r="B7" t="s">
        <v>215</v>
      </c>
      <c r="C7" s="21">
        <v>2</v>
      </c>
      <c r="D7" s="33">
        <v>26250</v>
      </c>
      <c r="E7" s="21">
        <f>D7*F7</f>
        <v>8977500</v>
      </c>
      <c r="F7" s="21">
        <v>342</v>
      </c>
      <c r="G7" s="21">
        <v>0</v>
      </c>
      <c r="H7" s="21">
        <f t="shared" ref="H7:H18" si="0">H6+F7</f>
        <v>586</v>
      </c>
      <c r="I7" s="21">
        <f t="shared" ref="I7:I19" si="1">I6+E7</f>
        <v>15968100</v>
      </c>
      <c r="J7" s="21">
        <f t="shared" ref="J7:J18" si="2">I7/H7</f>
        <v>27249.317406143346</v>
      </c>
      <c r="K7" s="21">
        <f t="shared" ref="K7:K18" si="3">H7*D7</f>
        <v>15382500</v>
      </c>
      <c r="L7" s="21">
        <f t="shared" ref="L7:L18" si="4">K7-I7</f>
        <v>-585600</v>
      </c>
      <c r="M7" s="21">
        <f t="shared" ref="M7:M18" si="5">100*(K7-I7)/I7</f>
        <v>-3.6673117027072726</v>
      </c>
    </row>
    <row r="8" spans="2:14" ht="15.6" x14ac:dyDescent="0.3">
      <c r="B8" t="s">
        <v>216</v>
      </c>
      <c r="C8" s="23">
        <v>3</v>
      </c>
      <c r="D8" s="33">
        <v>21700</v>
      </c>
      <c r="E8" s="21">
        <f>D8*F8</f>
        <v>9982000</v>
      </c>
      <c r="F8" s="23">
        <v>460</v>
      </c>
      <c r="G8" s="21">
        <v>0</v>
      </c>
      <c r="H8" s="21">
        <f t="shared" si="0"/>
        <v>1046</v>
      </c>
      <c r="I8" s="21">
        <f t="shared" si="1"/>
        <v>25950100</v>
      </c>
      <c r="J8" s="23">
        <f t="shared" si="2"/>
        <v>24808.89101338432</v>
      </c>
      <c r="K8" s="23">
        <f t="shared" si="3"/>
        <v>22698200</v>
      </c>
      <c r="L8" s="23">
        <f t="shared" si="4"/>
        <v>-3251900</v>
      </c>
      <c r="M8" s="23">
        <f t="shared" si="5"/>
        <v>-12.531358260661809</v>
      </c>
    </row>
    <row r="9" spans="2:14" ht="15.6" x14ac:dyDescent="0.3">
      <c r="B9" t="s">
        <v>217</v>
      </c>
      <c r="C9" s="23">
        <v>4</v>
      </c>
      <c r="D9" s="33">
        <v>22150</v>
      </c>
      <c r="E9" s="21">
        <f>D9*F9</f>
        <v>9901050</v>
      </c>
      <c r="F9" s="23">
        <v>447</v>
      </c>
      <c r="G9" s="21">
        <v>0</v>
      </c>
      <c r="H9" s="21">
        <f t="shared" si="0"/>
        <v>1493</v>
      </c>
      <c r="I9" s="21">
        <f t="shared" si="1"/>
        <v>35851150</v>
      </c>
      <c r="J9" s="23">
        <f t="shared" si="2"/>
        <v>24012.826523777629</v>
      </c>
      <c r="K9" s="23">
        <f t="shared" si="3"/>
        <v>33069950</v>
      </c>
      <c r="L9" s="23">
        <f t="shared" si="4"/>
        <v>-2781200</v>
      </c>
      <c r="M9" s="23">
        <f t="shared" si="5"/>
        <v>-7.7576312056935413</v>
      </c>
    </row>
    <row r="10" spans="2:14" ht="15.6" x14ac:dyDescent="0.3">
      <c r="B10" t="s">
        <v>243</v>
      </c>
      <c r="C10" s="23">
        <v>5</v>
      </c>
      <c r="D10" s="33">
        <v>19300</v>
      </c>
      <c r="E10" s="21">
        <f t="shared" ref="E10:E18" si="6">D10*F10</f>
        <v>9958800</v>
      </c>
      <c r="F10" s="23">
        <v>516</v>
      </c>
      <c r="G10" s="21">
        <v>0</v>
      </c>
      <c r="H10" s="21">
        <f t="shared" si="0"/>
        <v>2009</v>
      </c>
      <c r="I10" s="21">
        <f t="shared" si="1"/>
        <v>45809950</v>
      </c>
      <c r="J10" s="23">
        <f t="shared" si="2"/>
        <v>22802.364360378298</v>
      </c>
      <c r="K10" s="23">
        <f t="shared" si="3"/>
        <v>38773700</v>
      </c>
      <c r="L10" s="23">
        <f t="shared" si="4"/>
        <v>-7036250</v>
      </c>
      <c r="M10" s="23">
        <f t="shared" si="5"/>
        <v>-15.359654398225713</v>
      </c>
    </row>
    <row r="11" spans="2:14" ht="15.6" x14ac:dyDescent="0.3">
      <c r="C11" s="23">
        <v>6</v>
      </c>
      <c r="D11" s="33"/>
      <c r="E11" s="21">
        <f t="shared" si="6"/>
        <v>0</v>
      </c>
      <c r="F11" s="23"/>
      <c r="G11" s="21">
        <v>0</v>
      </c>
      <c r="H11" s="21">
        <f t="shared" si="0"/>
        <v>2009</v>
      </c>
      <c r="I11" s="21">
        <f t="shared" si="1"/>
        <v>45809950</v>
      </c>
      <c r="J11" s="23">
        <f t="shared" si="2"/>
        <v>22802.364360378298</v>
      </c>
      <c r="K11" s="23">
        <f t="shared" si="3"/>
        <v>0</v>
      </c>
      <c r="L11" s="23">
        <f t="shared" si="4"/>
        <v>-45809950</v>
      </c>
      <c r="M11" s="23">
        <f t="shared" si="5"/>
        <v>-100</v>
      </c>
    </row>
    <row r="12" spans="2:14" ht="15.6" x14ac:dyDescent="0.3">
      <c r="C12" s="23">
        <v>7</v>
      </c>
      <c r="D12" s="33"/>
      <c r="E12" s="21">
        <f t="shared" si="6"/>
        <v>0</v>
      </c>
      <c r="F12" s="23"/>
      <c r="G12" s="21">
        <v>0</v>
      </c>
      <c r="H12" s="21">
        <f t="shared" si="0"/>
        <v>2009</v>
      </c>
      <c r="I12" s="21">
        <f t="shared" si="1"/>
        <v>45809950</v>
      </c>
      <c r="J12" s="23">
        <f t="shared" si="2"/>
        <v>22802.364360378298</v>
      </c>
      <c r="K12" s="23">
        <f t="shared" si="3"/>
        <v>0</v>
      </c>
      <c r="L12" s="23">
        <f t="shared" si="4"/>
        <v>-45809950</v>
      </c>
      <c r="M12" s="23">
        <f t="shared" si="5"/>
        <v>-100</v>
      </c>
    </row>
    <row r="13" spans="2:14" ht="15.6" x14ac:dyDescent="0.3">
      <c r="C13" s="23">
        <v>8</v>
      </c>
      <c r="D13" s="33"/>
      <c r="E13" s="21">
        <f t="shared" si="6"/>
        <v>0</v>
      </c>
      <c r="F13" s="23"/>
      <c r="G13" s="21">
        <v>0</v>
      </c>
      <c r="H13" s="21">
        <f t="shared" si="0"/>
        <v>2009</v>
      </c>
      <c r="I13" s="21">
        <f t="shared" si="1"/>
        <v>45809950</v>
      </c>
      <c r="J13" s="23">
        <f t="shared" si="2"/>
        <v>22802.364360378298</v>
      </c>
      <c r="K13" s="23">
        <f t="shared" si="3"/>
        <v>0</v>
      </c>
      <c r="L13" s="23">
        <f t="shared" si="4"/>
        <v>-45809950</v>
      </c>
      <c r="M13" s="23">
        <f t="shared" si="5"/>
        <v>-100</v>
      </c>
    </row>
    <row r="14" spans="2:14" ht="15.6" x14ac:dyDescent="0.3">
      <c r="C14" s="23">
        <v>9</v>
      </c>
      <c r="D14" s="33"/>
      <c r="E14" s="21">
        <f t="shared" si="6"/>
        <v>0</v>
      </c>
      <c r="F14" s="23"/>
      <c r="G14" s="21">
        <v>0</v>
      </c>
      <c r="H14" s="21">
        <f t="shared" si="0"/>
        <v>2009</v>
      </c>
      <c r="I14" s="21">
        <f t="shared" si="1"/>
        <v>45809950</v>
      </c>
      <c r="J14" s="23">
        <f t="shared" si="2"/>
        <v>22802.364360378298</v>
      </c>
      <c r="K14" s="23">
        <f t="shared" si="3"/>
        <v>0</v>
      </c>
      <c r="L14" s="23">
        <f t="shared" si="4"/>
        <v>-45809950</v>
      </c>
      <c r="M14" s="23">
        <f t="shared" si="5"/>
        <v>-100</v>
      </c>
    </row>
    <row r="15" spans="2:14" ht="15.6" x14ac:dyDescent="0.3">
      <c r="C15" s="23">
        <v>10</v>
      </c>
      <c r="D15" s="33"/>
      <c r="E15" s="21">
        <f t="shared" si="6"/>
        <v>0</v>
      </c>
      <c r="F15" s="23"/>
      <c r="G15" s="21">
        <v>0</v>
      </c>
      <c r="H15" s="21">
        <f t="shared" si="0"/>
        <v>2009</v>
      </c>
      <c r="I15" s="21">
        <f t="shared" si="1"/>
        <v>45809950</v>
      </c>
      <c r="J15" s="23">
        <f t="shared" si="2"/>
        <v>22802.364360378298</v>
      </c>
      <c r="K15" s="23">
        <f t="shared" si="3"/>
        <v>0</v>
      </c>
      <c r="L15" s="23">
        <f t="shared" si="4"/>
        <v>-45809950</v>
      </c>
      <c r="M15" s="23">
        <f t="shared" si="5"/>
        <v>-100</v>
      </c>
    </row>
    <row r="16" spans="2:14" ht="15.6" x14ac:dyDescent="0.3">
      <c r="B16" s="35"/>
      <c r="C16" s="36">
        <v>11</v>
      </c>
      <c r="D16" s="37"/>
      <c r="E16" s="34">
        <f t="shared" si="6"/>
        <v>0</v>
      </c>
      <c r="F16" s="36"/>
      <c r="G16" s="21">
        <v>0</v>
      </c>
      <c r="H16" s="34">
        <f>H15+F16+INT(I34)</f>
        <v>2009</v>
      </c>
      <c r="I16" s="34">
        <f t="shared" si="1"/>
        <v>45809950</v>
      </c>
      <c r="J16" s="36">
        <f t="shared" si="2"/>
        <v>22802.364360378298</v>
      </c>
      <c r="K16" s="36">
        <f t="shared" si="3"/>
        <v>0</v>
      </c>
      <c r="L16" s="36">
        <f t="shared" si="4"/>
        <v>-45809950</v>
      </c>
      <c r="M16" s="36">
        <f t="shared" si="5"/>
        <v>-100</v>
      </c>
      <c r="N16" s="35"/>
    </row>
    <row r="17" spans="3:13" ht="15.6" x14ac:dyDescent="0.3">
      <c r="C17" s="23">
        <v>12</v>
      </c>
      <c r="D17" s="33"/>
      <c r="E17" s="34">
        <f t="shared" si="6"/>
        <v>0</v>
      </c>
      <c r="F17" s="23"/>
      <c r="G17" s="21">
        <v>0</v>
      </c>
      <c r="H17" s="21">
        <f t="shared" si="0"/>
        <v>2009</v>
      </c>
      <c r="I17" s="21">
        <f t="shared" si="1"/>
        <v>45809950</v>
      </c>
      <c r="J17" s="23">
        <f t="shared" si="2"/>
        <v>22802.364360378298</v>
      </c>
      <c r="K17" s="23">
        <f t="shared" si="3"/>
        <v>0</v>
      </c>
      <c r="L17" s="23">
        <f t="shared" si="4"/>
        <v>-45809950</v>
      </c>
      <c r="M17" s="23">
        <f t="shared" si="5"/>
        <v>-100</v>
      </c>
    </row>
    <row r="18" spans="3:13" ht="15.6" x14ac:dyDescent="0.3">
      <c r="C18" s="23">
        <v>13</v>
      </c>
      <c r="D18" s="21"/>
      <c r="E18" s="34">
        <f t="shared" si="6"/>
        <v>0</v>
      </c>
      <c r="F18" s="23"/>
      <c r="G18" s="21">
        <v>0</v>
      </c>
      <c r="H18" s="21">
        <f t="shared" si="0"/>
        <v>2009</v>
      </c>
      <c r="I18" s="21">
        <f t="shared" si="1"/>
        <v>45809950</v>
      </c>
      <c r="J18" s="23">
        <f t="shared" si="2"/>
        <v>22802.364360378298</v>
      </c>
      <c r="K18" s="23">
        <f t="shared" si="3"/>
        <v>0</v>
      </c>
      <c r="L18" s="23">
        <f t="shared" si="4"/>
        <v>-45809950</v>
      </c>
      <c r="M18" s="23">
        <f t="shared" si="5"/>
        <v>-100</v>
      </c>
    </row>
    <row r="19" spans="3:13" ht="15.6" x14ac:dyDescent="0.3">
      <c r="C19" s="23">
        <v>14</v>
      </c>
      <c r="D19" s="21"/>
      <c r="E19" s="34"/>
      <c r="F19" s="23"/>
      <c r="G19" s="21">
        <v>0</v>
      </c>
      <c r="H19" s="21"/>
      <c r="I19" s="21">
        <f t="shared" si="1"/>
        <v>45809950</v>
      </c>
      <c r="J19" s="23"/>
      <c r="K19" s="23"/>
      <c r="L19" s="23"/>
      <c r="M19" s="23"/>
    </row>
    <row r="20" spans="3:13" ht="15.6" x14ac:dyDescent="0.3">
      <c r="C20" s="23"/>
      <c r="D20" s="23"/>
      <c r="E20" s="23"/>
      <c r="F20" s="23" t="e">
        <f>E20/D20</f>
        <v>#DIV/0!</v>
      </c>
      <c r="G20" s="21">
        <v>0</v>
      </c>
      <c r="H20" s="23"/>
      <c r="I20" s="23"/>
      <c r="J20" s="23" t="e">
        <f>I20/H20</f>
        <v>#DIV/0!</v>
      </c>
      <c r="K20" s="23">
        <f>H20*D20</f>
        <v>0</v>
      </c>
      <c r="L20" s="23">
        <f>K20-I20</f>
        <v>0</v>
      </c>
      <c r="M20" s="23" t="e">
        <f>100*(K20-I20)/I20</f>
        <v>#DIV/0!</v>
      </c>
    </row>
    <row r="21" spans="3:13" ht="15.6" x14ac:dyDescent="0.3">
      <c r="C21" s="23"/>
      <c r="D21" s="23"/>
      <c r="E21" s="23"/>
      <c r="F21" s="23" t="e">
        <f>E21/D21</f>
        <v>#DIV/0!</v>
      </c>
      <c r="G21" s="21">
        <v>0</v>
      </c>
      <c r="H21" s="23"/>
      <c r="I21" s="23"/>
      <c r="J21" s="23" t="e">
        <f>I21/H21</f>
        <v>#DIV/0!</v>
      </c>
      <c r="K21" s="23">
        <f>H21*D21</f>
        <v>0</v>
      </c>
      <c r="L21" s="23">
        <f>K21-I21</f>
        <v>0</v>
      </c>
      <c r="M21" s="23" t="e">
        <f>100*(K21-I21)/I21</f>
        <v>#DIV/0!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topLeftCell="A4" workbookViewId="0">
      <selection activeCell="H24" activeCellId="1" sqref="H24 H24"/>
    </sheetView>
  </sheetViews>
  <sheetFormatPr defaultRowHeight="14.4" x14ac:dyDescent="0.3"/>
  <cols>
    <col min="1" max="1" width="7" customWidth="1"/>
    <col min="2" max="2" width="11" bestFit="1" customWidth="1"/>
    <col min="4" max="4" width="13.109375" customWidth="1"/>
    <col min="5" max="5" width="17.6640625" customWidth="1"/>
    <col min="6" max="6" width="13.5546875" customWidth="1"/>
    <col min="7" max="7" width="18" customWidth="1"/>
    <col min="8" max="8" width="20" customWidth="1"/>
    <col min="9" max="9" width="18.6640625" customWidth="1"/>
    <col min="10" max="10" width="21.44140625" customWidth="1"/>
    <col min="11" max="11" width="19.21875" customWidth="1"/>
    <col min="12" max="12" width="10.88671875" customWidth="1"/>
    <col min="13" max="13" width="15.5546875" customWidth="1"/>
  </cols>
  <sheetData>
    <row r="2" spans="2:16" ht="31.2" x14ac:dyDescent="0.6">
      <c r="H2" s="15"/>
    </row>
    <row r="4" spans="2:16" ht="15.6" x14ac:dyDescent="0.3">
      <c r="B4" s="32" t="s">
        <v>135</v>
      </c>
      <c r="C4" s="32" t="s">
        <v>136</v>
      </c>
      <c r="D4" s="32" t="s">
        <v>137</v>
      </c>
      <c r="E4" s="32" t="s">
        <v>138</v>
      </c>
      <c r="F4" s="32" t="s">
        <v>139</v>
      </c>
      <c r="G4" s="32" t="s">
        <v>186</v>
      </c>
      <c r="H4" s="32" t="s">
        <v>140</v>
      </c>
      <c r="I4" s="32" t="s">
        <v>166</v>
      </c>
      <c r="J4" s="32" t="s">
        <v>141</v>
      </c>
      <c r="K4" s="32" t="s">
        <v>142</v>
      </c>
      <c r="L4" s="32" t="s">
        <v>123</v>
      </c>
      <c r="M4" s="32" t="s">
        <v>143</v>
      </c>
    </row>
    <row r="5" spans="2:16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23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2:16" ht="15.6" x14ac:dyDescent="0.3">
      <c r="B6" t="s">
        <v>167</v>
      </c>
      <c r="C6" s="21">
        <v>1</v>
      </c>
      <c r="D6" s="33">
        <v>62739</v>
      </c>
      <c r="E6" s="21">
        <f>D6*F6</f>
        <v>7277724</v>
      </c>
      <c r="F6" s="34">
        <v>116</v>
      </c>
      <c r="G6" s="23">
        <f>INT(Table115[[#This Row],[Shares  bought]]*0.5)</f>
        <v>58</v>
      </c>
      <c r="H6" s="21">
        <f>Table115[[#This Row],[Shares  bought]]+Table115[[#This Row],[Column1]]</f>
        <v>174</v>
      </c>
      <c r="I6" s="21">
        <v>7277724</v>
      </c>
      <c r="J6" s="21">
        <f>I6/H6</f>
        <v>41826</v>
      </c>
      <c r="K6" s="21">
        <f>H6*D6</f>
        <v>10916586</v>
      </c>
      <c r="L6" s="21">
        <f>K6-I6</f>
        <v>3638862</v>
      </c>
      <c r="M6" s="21">
        <f>100*(K6-I6)/I6</f>
        <v>50</v>
      </c>
    </row>
    <row r="7" spans="2:16" ht="15.6" x14ac:dyDescent="0.3">
      <c r="B7" t="s">
        <v>168</v>
      </c>
      <c r="C7" s="21">
        <v>2</v>
      </c>
      <c r="D7" s="33">
        <v>59436</v>
      </c>
      <c r="E7" s="21">
        <f>D7*F7</f>
        <v>14977872</v>
      </c>
      <c r="F7" s="34">
        <v>252</v>
      </c>
      <c r="G7" s="23">
        <f>INT(Table115[[#This Row],[Shares  bought]]*0.5)</f>
        <v>126</v>
      </c>
      <c r="H7" s="21">
        <f>H6+F7+Table115[[#This Row],[Column1]]</f>
        <v>552</v>
      </c>
      <c r="I7" s="21">
        <f t="shared" ref="I7:I20" si="0">I6+E7</f>
        <v>22255596</v>
      </c>
      <c r="J7" s="21">
        <f t="shared" ref="J7:J20" si="1">I7/H7</f>
        <v>40318.108695652176</v>
      </c>
      <c r="K7" s="21">
        <f t="shared" ref="K7:K20" si="2">H7*D7</f>
        <v>32808672</v>
      </c>
      <c r="L7" s="21">
        <f t="shared" ref="L7:L20" si="3">K7-I7</f>
        <v>10553076</v>
      </c>
      <c r="M7" s="21">
        <f t="shared" ref="M7:M20" si="4">100*(K7-I7)/I7</f>
        <v>47.417629256030708</v>
      </c>
    </row>
    <row r="8" spans="2:16" ht="15.6" x14ac:dyDescent="0.3">
      <c r="B8" t="s">
        <v>169</v>
      </c>
      <c r="C8" s="23">
        <v>3</v>
      </c>
      <c r="D8" s="33">
        <v>31548</v>
      </c>
      <c r="E8" s="21">
        <f>D8*F8</f>
        <v>11704308</v>
      </c>
      <c r="F8" s="23">
        <v>371</v>
      </c>
      <c r="G8" s="23">
        <v>0</v>
      </c>
      <c r="H8" s="21">
        <f>H7+F8+Table115[[#This Row],[Column1]]</f>
        <v>923</v>
      </c>
      <c r="I8" s="21">
        <f t="shared" si="0"/>
        <v>33959904</v>
      </c>
      <c r="J8" s="23">
        <f t="shared" si="1"/>
        <v>36792.962080173347</v>
      </c>
      <c r="K8" s="23">
        <f t="shared" si="2"/>
        <v>29118804</v>
      </c>
      <c r="L8" s="23">
        <f t="shared" si="3"/>
        <v>-4841100</v>
      </c>
      <c r="M8" s="23">
        <f t="shared" si="4"/>
        <v>-14.255340651139649</v>
      </c>
      <c r="N8" s="78" t="s">
        <v>170</v>
      </c>
      <c r="O8" s="78"/>
      <c r="P8" s="78"/>
    </row>
    <row r="9" spans="2:16" ht="15.6" x14ac:dyDescent="0.3">
      <c r="B9" t="s">
        <v>182</v>
      </c>
      <c r="C9" s="23">
        <v>4</v>
      </c>
      <c r="D9" s="33">
        <v>31548</v>
      </c>
      <c r="E9" s="21">
        <v>0</v>
      </c>
      <c r="F9" s="23">
        <f>E9/D9</f>
        <v>0</v>
      </c>
      <c r="G9" s="23">
        <f>INT(Table115[[#This Row],[Shares  bought]]*0.5)</f>
        <v>0</v>
      </c>
      <c r="H9" s="21">
        <f>H8+F9+Table115[[#This Row],[Column1]]</f>
        <v>923</v>
      </c>
      <c r="I9" s="21">
        <f t="shared" si="0"/>
        <v>33959904</v>
      </c>
      <c r="J9" s="23">
        <f>I9/H9</f>
        <v>36792.962080173347</v>
      </c>
      <c r="K9" s="23">
        <f>H9*D9</f>
        <v>29118804</v>
      </c>
      <c r="L9" s="23">
        <f>K9-I9</f>
        <v>-4841100</v>
      </c>
      <c r="M9" s="23">
        <f>100*(K9-I9)/I9</f>
        <v>-14.255340651139649</v>
      </c>
      <c r="N9" s="39"/>
      <c r="O9" s="39"/>
      <c r="P9" s="39"/>
    </row>
    <row r="10" spans="2:16" ht="15.6" x14ac:dyDescent="0.3">
      <c r="B10" t="s">
        <v>171</v>
      </c>
      <c r="C10" s="23">
        <v>5</v>
      </c>
      <c r="D10" s="33">
        <v>32500</v>
      </c>
      <c r="E10" s="21">
        <f t="shared" ref="E10:E17" si="5">D10*F10</f>
        <v>20735000</v>
      </c>
      <c r="F10" s="23">
        <v>638</v>
      </c>
      <c r="G10" s="23">
        <v>0</v>
      </c>
      <c r="H10" s="21">
        <f>H8+F10+Table115[[#This Row],[Column1]]</f>
        <v>1561</v>
      </c>
      <c r="I10" s="21">
        <f>I8+E10</f>
        <v>54694904</v>
      </c>
      <c r="J10" s="23">
        <f t="shared" si="1"/>
        <v>35038.375400384371</v>
      </c>
      <c r="K10" s="23">
        <f t="shared" si="2"/>
        <v>50732500</v>
      </c>
      <c r="L10" s="23">
        <f t="shared" si="3"/>
        <v>-3962404</v>
      </c>
      <c r="M10" s="23">
        <f t="shared" si="4"/>
        <v>-7.2445579207891102</v>
      </c>
      <c r="N10" s="78" t="s">
        <v>172</v>
      </c>
      <c r="O10" s="78"/>
      <c r="P10" s="78"/>
    </row>
    <row r="11" spans="2:16" ht="15.6" x14ac:dyDescent="0.3">
      <c r="B11" t="s">
        <v>173</v>
      </c>
      <c r="C11" s="23">
        <v>6</v>
      </c>
      <c r="D11" s="33">
        <v>36730</v>
      </c>
      <c r="E11" s="21">
        <f t="shared" si="5"/>
        <v>11459760</v>
      </c>
      <c r="F11" s="23">
        <v>312</v>
      </c>
      <c r="G11" s="23">
        <v>0</v>
      </c>
      <c r="H11" s="21">
        <f>H10+F11+Table115[[#This Row],[Column1]]</f>
        <v>1873</v>
      </c>
      <c r="I11" s="21">
        <f t="shared" si="0"/>
        <v>66154664</v>
      </c>
      <c r="J11" s="23">
        <f t="shared" si="1"/>
        <v>35320.162306460224</v>
      </c>
      <c r="K11" s="23">
        <f t="shared" si="2"/>
        <v>68795290</v>
      </c>
      <c r="L11" s="23">
        <f t="shared" si="3"/>
        <v>2640626</v>
      </c>
      <c r="M11" s="23">
        <f t="shared" si="4"/>
        <v>3.9915946062397052</v>
      </c>
    </row>
    <row r="12" spans="2:16" ht="15.6" x14ac:dyDescent="0.3">
      <c r="B12" t="s">
        <v>174</v>
      </c>
      <c r="C12" s="23">
        <v>7</v>
      </c>
      <c r="D12" s="33">
        <v>30759</v>
      </c>
      <c r="E12" s="21">
        <f t="shared" si="5"/>
        <v>10827168</v>
      </c>
      <c r="F12" s="23">
        <v>352</v>
      </c>
      <c r="G12" s="23">
        <v>0</v>
      </c>
      <c r="H12" s="21">
        <f>H11+F12+Table115[[#This Row],[Column1]]</f>
        <v>2225</v>
      </c>
      <c r="I12" s="21">
        <f t="shared" si="0"/>
        <v>76981832</v>
      </c>
      <c r="J12" s="23">
        <f t="shared" si="1"/>
        <v>34598.576179775278</v>
      </c>
      <c r="K12" s="23">
        <f t="shared" si="2"/>
        <v>68438775</v>
      </c>
      <c r="L12" s="23">
        <f t="shared" si="3"/>
        <v>-8543057</v>
      </c>
      <c r="M12" s="23">
        <f t="shared" si="4"/>
        <v>-11.097497653732116</v>
      </c>
    </row>
    <row r="13" spans="2:16" ht="15.6" x14ac:dyDescent="0.3">
      <c r="B13" t="s">
        <v>175</v>
      </c>
      <c r="C13" s="23">
        <v>8</v>
      </c>
      <c r="D13" s="33">
        <v>25090</v>
      </c>
      <c r="E13" s="21">
        <f t="shared" si="5"/>
        <v>10663250</v>
      </c>
      <c r="F13" s="23">
        <v>425</v>
      </c>
      <c r="G13" s="23">
        <v>0</v>
      </c>
      <c r="H13" s="21">
        <f>H12+F13+Table115[[#This Row],[Column1]]</f>
        <v>2650</v>
      </c>
      <c r="I13" s="21">
        <f t="shared" si="0"/>
        <v>87645082</v>
      </c>
      <c r="J13" s="23">
        <f t="shared" si="1"/>
        <v>33073.615849056601</v>
      </c>
      <c r="K13" s="23">
        <f t="shared" si="2"/>
        <v>66488500</v>
      </c>
      <c r="L13" s="23">
        <f t="shared" si="3"/>
        <v>-21156582</v>
      </c>
      <c r="M13" s="23">
        <f t="shared" si="4"/>
        <v>-24.138926585749559</v>
      </c>
    </row>
    <row r="14" spans="2:16" ht="15.6" x14ac:dyDescent="0.3">
      <c r="B14" t="s">
        <v>176</v>
      </c>
      <c r="C14" s="23">
        <v>9</v>
      </c>
      <c r="D14" s="33">
        <v>21050</v>
      </c>
      <c r="E14" s="21">
        <f t="shared" si="5"/>
        <v>10967050</v>
      </c>
      <c r="F14" s="23">
        <v>521</v>
      </c>
      <c r="G14" s="23">
        <v>0</v>
      </c>
      <c r="H14" s="21">
        <f>H13+F14+Table115[[#This Row],[Column1]]</f>
        <v>3171</v>
      </c>
      <c r="I14" s="21">
        <f t="shared" si="0"/>
        <v>98612132</v>
      </c>
      <c r="J14" s="23">
        <f t="shared" si="1"/>
        <v>31098.117943866288</v>
      </c>
      <c r="K14" s="23">
        <f t="shared" si="2"/>
        <v>66749550</v>
      </c>
      <c r="L14" s="23">
        <f t="shared" si="3"/>
        <v>-31862582</v>
      </c>
      <c r="M14" s="23">
        <f t="shared" si="4"/>
        <v>-32.311016255079039</v>
      </c>
    </row>
    <row r="15" spans="2:16" ht="15.6" x14ac:dyDescent="0.3">
      <c r="B15" t="s">
        <v>177</v>
      </c>
      <c r="C15" s="23">
        <v>10</v>
      </c>
      <c r="D15" s="33">
        <v>17580</v>
      </c>
      <c r="E15" s="21">
        <f t="shared" si="5"/>
        <v>10565580</v>
      </c>
      <c r="F15" s="23">
        <v>601</v>
      </c>
      <c r="G15" s="23">
        <v>0</v>
      </c>
      <c r="H15" s="21">
        <f>H14+F15+Table115[[#This Row],[Column1]]</f>
        <v>3772</v>
      </c>
      <c r="I15" s="21">
        <f t="shared" si="0"/>
        <v>109177712</v>
      </c>
      <c r="J15" s="23">
        <f t="shared" si="1"/>
        <v>28944.250265111346</v>
      </c>
      <c r="K15" s="23">
        <f t="shared" si="2"/>
        <v>66311760</v>
      </c>
      <c r="L15" s="23">
        <f t="shared" si="3"/>
        <v>-42865952</v>
      </c>
      <c r="M15" s="23">
        <f t="shared" si="4"/>
        <v>-39.262548385333446</v>
      </c>
    </row>
    <row r="16" spans="2:16" ht="15.6" x14ac:dyDescent="0.3">
      <c r="B16" t="s">
        <v>178</v>
      </c>
      <c r="C16" s="23">
        <v>11</v>
      </c>
      <c r="D16" s="33">
        <v>13510</v>
      </c>
      <c r="E16" s="21">
        <f t="shared" si="5"/>
        <v>10672900</v>
      </c>
      <c r="F16" s="23">
        <v>790</v>
      </c>
      <c r="G16" s="23">
        <v>0</v>
      </c>
      <c r="H16" s="21">
        <f>H15+F16+Table115[[#This Row],[Column1]]</f>
        <v>4562</v>
      </c>
      <c r="I16" s="21">
        <f t="shared" si="0"/>
        <v>119850612</v>
      </c>
      <c r="J16" s="23">
        <f t="shared" si="1"/>
        <v>26271.506356861028</v>
      </c>
      <c r="K16" s="23">
        <f t="shared" si="2"/>
        <v>61632620</v>
      </c>
      <c r="L16" s="23">
        <f t="shared" si="3"/>
        <v>-58217992</v>
      </c>
      <c r="M16" s="23">
        <f t="shared" si="4"/>
        <v>-48.575464929624225</v>
      </c>
    </row>
    <row r="17" spans="2:13" ht="15.6" x14ac:dyDescent="0.3">
      <c r="B17" t="s">
        <v>179</v>
      </c>
      <c r="C17" s="26">
        <v>12</v>
      </c>
      <c r="D17" s="21">
        <v>14100</v>
      </c>
      <c r="E17" s="21">
        <f t="shared" si="5"/>
        <v>10969800</v>
      </c>
      <c r="F17" s="26">
        <v>778</v>
      </c>
      <c r="G17" s="26">
        <v>0</v>
      </c>
      <c r="H17" s="21">
        <f>H16+F17+Table115[[#This Row],[Column1]]</f>
        <v>5340</v>
      </c>
      <c r="I17" s="21">
        <f t="shared" si="0"/>
        <v>130820412</v>
      </c>
      <c r="J17" s="26">
        <f t="shared" si="1"/>
        <v>24498.204494382022</v>
      </c>
      <c r="K17" s="26">
        <f t="shared" si="2"/>
        <v>75294000</v>
      </c>
      <c r="L17" s="26">
        <f t="shared" si="3"/>
        <v>-55526412</v>
      </c>
      <c r="M17" s="26">
        <f t="shared" si="4"/>
        <v>-42.444761601882128</v>
      </c>
    </row>
    <row r="18" spans="2:13" ht="15.6" x14ac:dyDescent="0.3">
      <c r="B18" t="s">
        <v>212</v>
      </c>
      <c r="C18" s="23">
        <v>12</v>
      </c>
      <c r="D18" s="21">
        <v>15620</v>
      </c>
      <c r="E18" s="21">
        <v>12542860</v>
      </c>
      <c r="F18" s="23">
        <v>803</v>
      </c>
      <c r="G18" s="26">
        <v>0</v>
      </c>
      <c r="H18" s="21">
        <f>H17+F18+Table115[[#This Row],[Column1]]</f>
        <v>6143</v>
      </c>
      <c r="I18" s="21">
        <f t="shared" si="0"/>
        <v>143363272</v>
      </c>
      <c r="J18" s="23">
        <f t="shared" si="1"/>
        <v>23337.664333387595</v>
      </c>
      <c r="K18" s="23">
        <f t="shared" si="2"/>
        <v>95953660</v>
      </c>
      <c r="L18" s="23">
        <f t="shared" si="3"/>
        <v>-47409612</v>
      </c>
      <c r="M18" s="23">
        <f t="shared" si="4"/>
        <v>-33.069566101979035</v>
      </c>
    </row>
    <row r="19" spans="2:13" ht="15.6" x14ac:dyDescent="0.3">
      <c r="B19" t="s">
        <v>213</v>
      </c>
      <c r="C19" s="23">
        <v>13</v>
      </c>
      <c r="D19" s="21">
        <v>17770</v>
      </c>
      <c r="E19" s="21">
        <v>13665130</v>
      </c>
      <c r="F19" s="23">
        <v>769</v>
      </c>
      <c r="G19" s="26">
        <v>0</v>
      </c>
      <c r="H19" s="21">
        <f>H18+F19+Table115[[#This Row],[Column1]]</f>
        <v>6912</v>
      </c>
      <c r="I19" s="21">
        <f t="shared" si="0"/>
        <v>157028402</v>
      </c>
      <c r="J19" s="23">
        <f t="shared" si="1"/>
        <v>22718.229456018518</v>
      </c>
      <c r="K19" s="23">
        <f t="shared" si="2"/>
        <v>122826240</v>
      </c>
      <c r="L19" s="23">
        <f t="shared" si="3"/>
        <v>-34202162</v>
      </c>
      <c r="M19" s="23">
        <f t="shared" si="4"/>
        <v>-21.780876302874177</v>
      </c>
    </row>
    <row r="20" spans="2:13" ht="15.6" x14ac:dyDescent="0.3">
      <c r="B20" t="s">
        <v>214</v>
      </c>
      <c r="C20" s="23">
        <v>14</v>
      </c>
      <c r="D20" s="21">
        <v>15920</v>
      </c>
      <c r="E20" s="21">
        <v>6925200</v>
      </c>
      <c r="F20" s="23">
        <v>435</v>
      </c>
      <c r="G20" s="26">
        <v>0</v>
      </c>
      <c r="H20" s="21">
        <f>H19+F20+Table115[[#This Row],[Column1]]</f>
        <v>7347</v>
      </c>
      <c r="I20" s="21">
        <f t="shared" si="0"/>
        <v>163953602</v>
      </c>
      <c r="J20" s="23">
        <f t="shared" si="1"/>
        <v>22315.720974547436</v>
      </c>
      <c r="K20" s="23">
        <f t="shared" si="2"/>
        <v>116964240</v>
      </c>
      <c r="L20" s="23">
        <f t="shared" si="3"/>
        <v>-46989362</v>
      </c>
      <c r="M20" s="23">
        <f t="shared" si="4"/>
        <v>-28.66015837822215</v>
      </c>
    </row>
    <row r="21" spans="2:13" ht="15.6" x14ac:dyDescent="0.3">
      <c r="B21" t="s">
        <v>215</v>
      </c>
      <c r="C21" s="55">
        <v>15</v>
      </c>
      <c r="D21" s="55">
        <v>14890</v>
      </c>
      <c r="E21" s="55">
        <v>8963780</v>
      </c>
      <c r="F21" s="55">
        <v>602</v>
      </c>
      <c r="G21" s="26">
        <v>0</v>
      </c>
      <c r="H21" s="21">
        <f>H20+F21+Table115[[#This Row],[Column1]]</f>
        <v>7949</v>
      </c>
      <c r="I21" s="21">
        <f t="shared" ref="I21:I25" si="6">I20+E21</f>
        <v>172917382</v>
      </c>
      <c r="J21" s="55">
        <f>I21/H21</f>
        <v>21753.350358535667</v>
      </c>
      <c r="K21" s="55">
        <f>H21*D21</f>
        <v>118360610</v>
      </c>
      <c r="L21" s="55">
        <f>K21-I21</f>
        <v>-54556772</v>
      </c>
      <c r="M21" s="55">
        <f>100*(K21-I21)/I21</f>
        <v>-31.550773767786978</v>
      </c>
    </row>
    <row r="22" spans="2:13" ht="15.6" x14ac:dyDescent="0.3">
      <c r="B22" t="s">
        <v>216</v>
      </c>
      <c r="C22" s="55">
        <v>16</v>
      </c>
      <c r="D22" s="55">
        <v>12560</v>
      </c>
      <c r="E22" s="55">
        <v>10236400</v>
      </c>
      <c r="F22" s="55">
        <v>815</v>
      </c>
      <c r="G22" s="26">
        <v>0</v>
      </c>
      <c r="H22" s="21">
        <f>H21+F22+Table115[[#This Row],[Column1]]</f>
        <v>8764</v>
      </c>
      <c r="I22" s="21">
        <f t="shared" si="6"/>
        <v>183153782</v>
      </c>
      <c r="J22" s="55">
        <f>I22/H22</f>
        <v>20898.423322683706</v>
      </c>
      <c r="K22" s="55">
        <f>H22*D22</f>
        <v>110075840</v>
      </c>
      <c r="L22" s="55">
        <f>K22-I22</f>
        <v>-73077942</v>
      </c>
      <c r="M22" s="55">
        <f>100*(K22-I22)/I22</f>
        <v>-39.899772312645993</v>
      </c>
    </row>
    <row r="23" spans="2:13" ht="15.6" x14ac:dyDescent="0.3">
      <c r="B23" t="s">
        <v>217</v>
      </c>
      <c r="C23" s="55">
        <v>17</v>
      </c>
      <c r="D23" s="55">
        <v>13200</v>
      </c>
      <c r="E23" s="55">
        <v>8976000</v>
      </c>
      <c r="F23" s="55">
        <v>680</v>
      </c>
      <c r="G23" s="26">
        <v>0</v>
      </c>
      <c r="H23" s="21">
        <f>H22+F23+Table115[[#This Row],[Column1]]</f>
        <v>9444</v>
      </c>
      <c r="I23" s="21">
        <f t="shared" si="6"/>
        <v>192129782</v>
      </c>
      <c r="J23" s="55">
        <f>I23/H23</f>
        <v>20344.110758153325</v>
      </c>
      <c r="K23" s="55">
        <f>H23*D23</f>
        <v>124660800</v>
      </c>
      <c r="L23" s="55">
        <f>K23-I23</f>
        <v>-67468982</v>
      </c>
      <c r="M23" s="55">
        <f>100*(K23-I23)/I23</f>
        <v>-35.116357962660885</v>
      </c>
    </row>
    <row r="24" spans="2:13" ht="15.6" x14ac:dyDescent="0.3">
      <c r="B24" t="s">
        <v>243</v>
      </c>
      <c r="C24" s="55"/>
      <c r="D24" s="55">
        <v>11650</v>
      </c>
      <c r="E24" s="55">
        <f>Table115[[#This Row],[Shares price]]*Table115[[#This Row],[Shares  bought]]</f>
        <v>9972400</v>
      </c>
      <c r="F24" s="55">
        <v>856</v>
      </c>
      <c r="G24" s="26">
        <v>0</v>
      </c>
      <c r="H24" s="21">
        <f>H23+F24+Table115[[#This Row],[Column1]]</f>
        <v>10300</v>
      </c>
      <c r="I24" s="21">
        <f t="shared" si="6"/>
        <v>202102182</v>
      </c>
      <c r="J24" s="55">
        <f>I24/H24</f>
        <v>19621.571067961166</v>
      </c>
      <c r="K24" s="55">
        <f>H24*D24</f>
        <v>119995000</v>
      </c>
      <c r="L24" s="55">
        <f>K24-I24</f>
        <v>-82107182</v>
      </c>
      <c r="M24" s="55">
        <f>100*(K24-I24)/I24</f>
        <v>-40.626568791820368</v>
      </c>
    </row>
    <row r="25" spans="2:13" ht="15.6" x14ac:dyDescent="0.3">
      <c r="C25" s="55"/>
      <c r="D25" s="55"/>
      <c r="E25" s="55"/>
      <c r="F25" s="55" t="e">
        <f>E25/D25</f>
        <v>#DIV/0!</v>
      </c>
      <c r="G25" s="26">
        <v>0</v>
      </c>
      <c r="H25" s="21" t="e">
        <f>H24+F25+Table115[[#This Row],[Column1]]</f>
        <v>#DIV/0!</v>
      </c>
      <c r="I25" s="21">
        <f t="shared" si="6"/>
        <v>202102182</v>
      </c>
      <c r="J25" s="55" t="e">
        <f>I25/H25</f>
        <v>#DIV/0!</v>
      </c>
      <c r="K25" s="55" t="e">
        <f>H25*D25</f>
        <v>#DIV/0!</v>
      </c>
      <c r="L25" s="55" t="e">
        <f>K25-I25</f>
        <v>#DIV/0!</v>
      </c>
      <c r="M25" s="55" t="e">
        <f>100*(K25-I25)/I25</f>
        <v>#DIV/0!</v>
      </c>
    </row>
  </sheetData>
  <mergeCells count="2">
    <mergeCell ref="N8:P8"/>
    <mergeCell ref="N10:P10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5"/>
  <sheetViews>
    <sheetView workbookViewId="0">
      <selection activeCell="H24" sqref="H24"/>
    </sheetView>
  </sheetViews>
  <sheetFormatPr defaultRowHeight="14.4" x14ac:dyDescent="0.3"/>
  <cols>
    <col min="2" max="2" width="14.6640625" bestFit="1" customWidth="1"/>
    <col min="4" max="5" width="13.109375" customWidth="1"/>
    <col min="6" max="6" width="12" customWidth="1"/>
    <col min="7" max="7" width="16" customWidth="1"/>
    <col min="8" max="8" width="16.5546875" customWidth="1"/>
    <col min="9" max="9" width="19.77734375" customWidth="1"/>
    <col min="10" max="10" width="18.21875" customWidth="1"/>
    <col min="11" max="11" width="15.6640625" customWidth="1"/>
    <col min="12" max="12" width="14.77734375" customWidth="1"/>
    <col min="13" max="13" width="19.21875" customWidth="1"/>
  </cols>
  <sheetData>
    <row r="2" spans="2:14" ht="31.2" x14ac:dyDescent="0.6">
      <c r="H2" s="15"/>
    </row>
    <row r="4" spans="2:14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186</v>
      </c>
      <c r="H4" s="16" t="s">
        <v>140</v>
      </c>
      <c r="I4" s="16" t="s">
        <v>122</v>
      </c>
      <c r="J4" s="16" t="s">
        <v>141</v>
      </c>
      <c r="K4" s="16" t="s">
        <v>142</v>
      </c>
      <c r="L4" s="16" t="s">
        <v>123</v>
      </c>
      <c r="M4" s="16" t="s">
        <v>143</v>
      </c>
    </row>
    <row r="5" spans="2:14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2:14" ht="15.6" x14ac:dyDescent="0.3">
      <c r="B6" t="s">
        <v>167</v>
      </c>
      <c r="C6" s="21">
        <v>1</v>
      </c>
      <c r="D6" s="33">
        <v>90490</v>
      </c>
      <c r="E6" s="21">
        <f>D6*F6</f>
        <v>7691650</v>
      </c>
      <c r="F6" s="21">
        <v>85</v>
      </c>
      <c r="G6" s="21">
        <f>INT(Table114[[#This Row],[Shares  bought]]*0.5)</f>
        <v>42</v>
      </c>
      <c r="H6" s="21">
        <f>Table114[[#This Row],[Shares  bought]]+Table114[[#This Row],[Column1]]</f>
        <v>127</v>
      </c>
      <c r="I6" s="21">
        <v>7691650</v>
      </c>
      <c r="J6" s="21">
        <f>I6/H6</f>
        <v>60564.173228346459</v>
      </c>
      <c r="K6" s="21">
        <f>H6*D6</f>
        <v>11492230</v>
      </c>
      <c r="L6" s="21">
        <f>K6-I6</f>
        <v>3800580</v>
      </c>
      <c r="M6" s="21">
        <f>100*(K6-I6)/I6</f>
        <v>49.411764705882355</v>
      </c>
    </row>
    <row r="7" spans="2:14" ht="15.6" x14ac:dyDescent="0.3">
      <c r="B7" t="s">
        <v>168</v>
      </c>
      <c r="C7" s="21">
        <v>2</v>
      </c>
      <c r="D7" s="33">
        <v>83490</v>
      </c>
      <c r="E7" s="21">
        <f>D7*F7</f>
        <v>14861220</v>
      </c>
      <c r="F7" s="21">
        <v>178</v>
      </c>
      <c r="G7" s="21">
        <f>INT(Table114[[#This Row],[Shares  bought]]*0.5)</f>
        <v>89</v>
      </c>
      <c r="H7" s="21">
        <f>H6+F7+Table114[[#This Row],[Column1]]</f>
        <v>394</v>
      </c>
      <c r="I7" s="21">
        <f t="shared" ref="I7:I19" si="0">I6+E7</f>
        <v>22552870</v>
      </c>
      <c r="J7" s="21">
        <f t="shared" ref="J7:J19" si="1">I7/H7</f>
        <v>57240.78680203046</v>
      </c>
      <c r="K7" s="21">
        <f t="shared" ref="K7:K19" si="2">H7*D7</f>
        <v>32895060</v>
      </c>
      <c r="L7" s="21">
        <f t="shared" ref="L7:L19" si="3">K7-I7</f>
        <v>10342190</v>
      </c>
      <c r="M7" s="21">
        <f t="shared" ref="M7:M19" si="4">100*(K7-I7)/I7</f>
        <v>45.857533874846084</v>
      </c>
    </row>
    <row r="8" spans="2:14" ht="15.6" x14ac:dyDescent="0.3">
      <c r="B8" t="s">
        <v>181</v>
      </c>
      <c r="C8" s="23">
        <v>3</v>
      </c>
      <c r="D8" s="33">
        <v>76810</v>
      </c>
      <c r="E8" s="21">
        <f>D8*F8</f>
        <v>11367880</v>
      </c>
      <c r="F8" s="23">
        <v>148</v>
      </c>
      <c r="G8" s="21">
        <f>INT(Table114[[#This Row],[Shares  bought]]*0.5)</f>
        <v>74</v>
      </c>
      <c r="H8" s="21">
        <f>H7+F8+Table114[[#This Row],[Column1]]</f>
        <v>616</v>
      </c>
      <c r="I8" s="21">
        <f t="shared" si="0"/>
        <v>33920750</v>
      </c>
      <c r="J8" s="23">
        <f t="shared" si="1"/>
        <v>55066.152597402601</v>
      </c>
      <c r="K8" s="23">
        <f t="shared" si="2"/>
        <v>47314960</v>
      </c>
      <c r="L8" s="23">
        <f t="shared" si="3"/>
        <v>13394210</v>
      </c>
      <c r="M8" s="23">
        <f t="shared" si="4"/>
        <v>39.486774319553668</v>
      </c>
    </row>
    <row r="9" spans="2:14" ht="15.6" x14ac:dyDescent="0.3">
      <c r="B9" t="s">
        <v>182</v>
      </c>
      <c r="C9" s="23">
        <v>4</v>
      </c>
      <c r="D9" s="33">
        <v>85549</v>
      </c>
      <c r="E9" s="21">
        <f>D9*F9</f>
        <v>10950272</v>
      </c>
      <c r="F9" s="23">
        <v>128</v>
      </c>
      <c r="G9" s="21">
        <f>INT(Table114[[#This Row],[Shares  bought]]*0.5)</f>
        <v>64</v>
      </c>
      <c r="H9" s="21">
        <f>H8+F9+Table114[[#This Row],[Column1]]</f>
        <v>808</v>
      </c>
      <c r="I9" s="21">
        <f t="shared" si="0"/>
        <v>44871022</v>
      </c>
      <c r="J9" s="23">
        <f t="shared" si="1"/>
        <v>55533.44306930693</v>
      </c>
      <c r="K9" s="23">
        <f t="shared" si="2"/>
        <v>69123592</v>
      </c>
      <c r="L9" s="23">
        <f t="shared" si="3"/>
        <v>24252570</v>
      </c>
      <c r="M9" s="23">
        <f t="shared" si="4"/>
        <v>54.04951552028389</v>
      </c>
    </row>
    <row r="10" spans="2:14" ht="15.6" x14ac:dyDescent="0.3">
      <c r="B10" t="s">
        <v>171</v>
      </c>
      <c r="C10" s="23">
        <v>5</v>
      </c>
      <c r="D10" s="33">
        <v>90270</v>
      </c>
      <c r="E10" s="21">
        <f t="shared" ref="E10:E17" si="5">D10*F10</f>
        <v>10381050</v>
      </c>
      <c r="F10" s="23">
        <v>115</v>
      </c>
      <c r="G10" s="21">
        <f>INT(Table114[[#This Row],[Shares  bought]]*0.5)</f>
        <v>57</v>
      </c>
      <c r="H10" s="21">
        <f>H9+F10+Table114[[#This Row],[Column1]]</f>
        <v>980</v>
      </c>
      <c r="I10" s="21">
        <f t="shared" si="0"/>
        <v>55252072</v>
      </c>
      <c r="J10" s="23">
        <f t="shared" si="1"/>
        <v>56379.66530612245</v>
      </c>
      <c r="K10" s="23">
        <f t="shared" si="2"/>
        <v>88464600</v>
      </c>
      <c r="L10" s="23">
        <f t="shared" si="3"/>
        <v>33212528</v>
      </c>
      <c r="M10" s="23">
        <f t="shared" si="4"/>
        <v>60.110918555235358</v>
      </c>
    </row>
    <row r="11" spans="2:14" ht="15.6" x14ac:dyDescent="0.3">
      <c r="B11" t="s">
        <v>173</v>
      </c>
      <c r="C11" s="23">
        <v>6</v>
      </c>
      <c r="D11" s="33">
        <v>117260</v>
      </c>
      <c r="E11" s="21">
        <f t="shared" si="5"/>
        <v>11491480</v>
      </c>
      <c r="F11" s="23">
        <v>98</v>
      </c>
      <c r="G11" s="21">
        <f>INT(Table114[[#This Row],[Shares  bought]]*0.5)</f>
        <v>49</v>
      </c>
      <c r="H11" s="21">
        <f>H10+F11+Table114[[#This Row],[Column1]]</f>
        <v>1127</v>
      </c>
      <c r="I11" s="21">
        <f t="shared" si="0"/>
        <v>66743552</v>
      </c>
      <c r="J11" s="23">
        <f t="shared" si="1"/>
        <v>59222.317657497784</v>
      </c>
      <c r="K11" s="23">
        <f t="shared" si="2"/>
        <v>132152020</v>
      </c>
      <c r="L11" s="23">
        <f t="shared" si="3"/>
        <v>65408468</v>
      </c>
      <c r="M11" s="23">
        <f t="shared" si="4"/>
        <v>97.999680927979384</v>
      </c>
    </row>
    <row r="12" spans="2:14" ht="15.6" x14ac:dyDescent="0.3">
      <c r="B12" t="s">
        <v>174</v>
      </c>
      <c r="C12" s="23">
        <v>7</v>
      </c>
      <c r="D12" s="33">
        <v>108100</v>
      </c>
      <c r="E12" s="21">
        <f t="shared" si="5"/>
        <v>10918100</v>
      </c>
      <c r="F12" s="23">
        <v>101</v>
      </c>
      <c r="G12" s="21">
        <f>INT(Table114[[#This Row],[Shares  bought]]*0.5)</f>
        <v>50</v>
      </c>
      <c r="H12" s="21">
        <f>H11+F12+Table114[[#This Row],[Column1]]</f>
        <v>1278</v>
      </c>
      <c r="I12" s="21">
        <f t="shared" si="0"/>
        <v>77661652</v>
      </c>
      <c r="J12" s="23">
        <f t="shared" si="1"/>
        <v>60768.115805946793</v>
      </c>
      <c r="K12" s="23">
        <f t="shared" si="2"/>
        <v>138151800</v>
      </c>
      <c r="L12" s="23">
        <f t="shared" si="3"/>
        <v>60490148</v>
      </c>
      <c r="M12" s="23">
        <f t="shared" si="4"/>
        <v>77.889339773508809</v>
      </c>
    </row>
    <row r="13" spans="2:14" ht="15.6" x14ac:dyDescent="0.3">
      <c r="B13" t="s">
        <v>175</v>
      </c>
      <c r="C13" s="23">
        <v>8</v>
      </c>
      <c r="D13" s="33">
        <v>108250</v>
      </c>
      <c r="E13" s="21">
        <f t="shared" si="5"/>
        <v>10716750</v>
      </c>
      <c r="F13" s="23">
        <v>99</v>
      </c>
      <c r="G13" s="21">
        <f>INT(Table114[[#This Row],[Shares  bought]]*0.5)</f>
        <v>49</v>
      </c>
      <c r="H13" s="21">
        <f>H12+F13+Table114[[#This Row],[Column1]]</f>
        <v>1426</v>
      </c>
      <c r="I13" s="21">
        <f t="shared" si="0"/>
        <v>88378402</v>
      </c>
      <c r="J13" s="23">
        <f t="shared" si="1"/>
        <v>61976.438990182331</v>
      </c>
      <c r="K13" s="23">
        <f t="shared" si="2"/>
        <v>154364500</v>
      </c>
      <c r="L13" s="23">
        <f t="shared" si="3"/>
        <v>65986098</v>
      </c>
      <c r="M13" s="23">
        <f t="shared" si="4"/>
        <v>74.663149034987072</v>
      </c>
    </row>
    <row r="14" spans="2:14" ht="15.6" x14ac:dyDescent="0.3">
      <c r="B14" t="s">
        <v>176</v>
      </c>
      <c r="C14" s="23">
        <v>9</v>
      </c>
      <c r="D14" s="33">
        <v>113000</v>
      </c>
      <c r="E14" s="21">
        <f t="shared" si="5"/>
        <v>10961000</v>
      </c>
      <c r="F14" s="23">
        <v>97</v>
      </c>
      <c r="G14" s="21">
        <f>INT(Table114[[#This Row],[Shares  bought]]*0.5)</f>
        <v>48</v>
      </c>
      <c r="H14" s="21">
        <f>H13+F14+Table114[[#This Row],[Column1]]</f>
        <v>1571</v>
      </c>
      <c r="I14" s="21">
        <f t="shared" si="0"/>
        <v>99339402</v>
      </c>
      <c r="J14" s="23">
        <f t="shared" si="1"/>
        <v>63233.228516868236</v>
      </c>
      <c r="K14" s="23">
        <f t="shared" si="2"/>
        <v>177523000</v>
      </c>
      <c r="L14" s="23">
        <f t="shared" si="3"/>
        <v>78183598</v>
      </c>
      <c r="M14" s="23">
        <f t="shared" si="4"/>
        <v>78.703511825046021</v>
      </c>
    </row>
    <row r="15" spans="2:14" ht="15.6" x14ac:dyDescent="0.3">
      <c r="B15" t="s">
        <v>177</v>
      </c>
      <c r="C15" s="23">
        <v>10</v>
      </c>
      <c r="D15" s="33">
        <v>110800</v>
      </c>
      <c r="E15" s="21">
        <f t="shared" si="5"/>
        <v>10636800</v>
      </c>
      <c r="F15" s="23">
        <v>96</v>
      </c>
      <c r="G15" s="21">
        <f>INT(Table114[[#This Row],[Shares  bought]]*0.5)</f>
        <v>48</v>
      </c>
      <c r="H15" s="21">
        <f>H14+F15+Table114[[#This Row],[Column1]]</f>
        <v>1715</v>
      </c>
      <c r="I15" s="21">
        <f t="shared" si="0"/>
        <v>109976202</v>
      </c>
      <c r="J15" s="23">
        <f t="shared" si="1"/>
        <v>64126.065306122451</v>
      </c>
      <c r="K15" s="23">
        <f t="shared" si="2"/>
        <v>190022000</v>
      </c>
      <c r="L15" s="23">
        <f t="shared" si="3"/>
        <v>80045798</v>
      </c>
      <c r="M15" s="23">
        <f t="shared" si="4"/>
        <v>72.784653901759583</v>
      </c>
    </row>
    <row r="16" spans="2:14" ht="15.6" x14ac:dyDescent="0.3">
      <c r="B16" s="35" t="s">
        <v>183</v>
      </c>
      <c r="C16" s="36">
        <v>11</v>
      </c>
      <c r="D16" s="37">
        <v>69500</v>
      </c>
      <c r="E16" s="34">
        <f t="shared" si="5"/>
        <v>10633500</v>
      </c>
      <c r="F16" s="36">
        <v>153</v>
      </c>
      <c r="G16" s="36">
        <v>0</v>
      </c>
      <c r="H16" s="21">
        <f>H15+F16+Table114[[#This Row],[Column1]]</f>
        <v>1868</v>
      </c>
      <c r="I16" s="34">
        <f t="shared" si="0"/>
        <v>120609702</v>
      </c>
      <c r="J16" s="36">
        <f t="shared" si="1"/>
        <v>64566.221627408995</v>
      </c>
      <c r="K16" s="36">
        <f t="shared" si="2"/>
        <v>129826000</v>
      </c>
      <c r="L16" s="36">
        <f t="shared" si="3"/>
        <v>9216298</v>
      </c>
      <c r="M16" s="36">
        <f t="shared" si="4"/>
        <v>7.641423407214786</v>
      </c>
      <c r="N16" s="35"/>
    </row>
    <row r="17" spans="2:13" ht="15.6" x14ac:dyDescent="0.3">
      <c r="B17" t="s">
        <v>179</v>
      </c>
      <c r="C17" s="23">
        <v>12</v>
      </c>
      <c r="D17" s="33">
        <v>71050</v>
      </c>
      <c r="E17" s="34">
        <f t="shared" si="5"/>
        <v>11012750</v>
      </c>
      <c r="F17" s="23">
        <v>155</v>
      </c>
      <c r="G17" s="23">
        <v>0</v>
      </c>
      <c r="H17" s="21">
        <f>H16+F17+Table114[[#This Row],[Column1]]</f>
        <v>2023</v>
      </c>
      <c r="I17" s="21">
        <f t="shared" si="0"/>
        <v>131622452</v>
      </c>
      <c r="J17" s="23">
        <f t="shared" si="1"/>
        <v>65063.001482946122</v>
      </c>
      <c r="K17" s="23">
        <f t="shared" si="2"/>
        <v>143734150</v>
      </c>
      <c r="L17" s="23">
        <f t="shared" si="3"/>
        <v>12111698</v>
      </c>
      <c r="M17" s="23">
        <f t="shared" si="4"/>
        <v>9.2018480251378385</v>
      </c>
    </row>
    <row r="18" spans="2:13" ht="15.6" x14ac:dyDescent="0.3">
      <c r="B18" t="s">
        <v>218</v>
      </c>
      <c r="C18" s="23">
        <v>13</v>
      </c>
      <c r="D18" s="21">
        <v>92500</v>
      </c>
      <c r="E18" s="21">
        <v>12580000</v>
      </c>
      <c r="F18" s="23">
        <v>136</v>
      </c>
      <c r="G18" s="23">
        <v>0</v>
      </c>
      <c r="H18" s="21">
        <f>H17+F18+Table114[[#This Row],[Column1]]</f>
        <v>2159</v>
      </c>
      <c r="I18" s="21">
        <f t="shared" si="0"/>
        <v>144202452</v>
      </c>
      <c r="J18" s="23">
        <f t="shared" si="1"/>
        <v>66791.316350162117</v>
      </c>
      <c r="K18" s="23">
        <f t="shared" si="2"/>
        <v>199707500</v>
      </c>
      <c r="L18" s="23">
        <f t="shared" si="3"/>
        <v>55505048</v>
      </c>
      <c r="M18" s="23">
        <f t="shared" si="4"/>
        <v>38.491057003663158</v>
      </c>
    </row>
    <row r="19" spans="2:13" ht="15.6" x14ac:dyDescent="0.3">
      <c r="B19" t="s">
        <v>219</v>
      </c>
      <c r="C19" s="23">
        <v>14</v>
      </c>
      <c r="D19" s="21">
        <v>81350</v>
      </c>
      <c r="E19" s="21">
        <v>13748150</v>
      </c>
      <c r="F19" s="23">
        <v>169</v>
      </c>
      <c r="G19" s="23">
        <v>0</v>
      </c>
      <c r="H19" s="21">
        <f>H18+F19+Table114[[#This Row],[Column1]]</f>
        <v>2328</v>
      </c>
      <c r="I19" s="21">
        <f t="shared" si="0"/>
        <v>157950602</v>
      </c>
      <c r="J19" s="23">
        <f t="shared" si="1"/>
        <v>67848.196735395191</v>
      </c>
      <c r="K19" s="23">
        <f t="shared" si="2"/>
        <v>189382800</v>
      </c>
      <c r="L19" s="23">
        <f t="shared" si="3"/>
        <v>31432198</v>
      </c>
      <c r="M19" s="23">
        <f t="shared" si="4"/>
        <v>19.900017854949361</v>
      </c>
    </row>
    <row r="20" spans="2:13" ht="15.6" x14ac:dyDescent="0.3">
      <c r="B20" t="s">
        <v>214</v>
      </c>
      <c r="C20" s="55">
        <v>15</v>
      </c>
      <c r="D20" s="55">
        <v>80700</v>
      </c>
      <c r="E20" s="55">
        <v>13961100</v>
      </c>
      <c r="F20" s="55">
        <v>173</v>
      </c>
      <c r="G20" s="23">
        <v>0</v>
      </c>
      <c r="H20" s="21">
        <f>H19+F20+Table114[[#This Row],[Column1]]</f>
        <v>2501</v>
      </c>
      <c r="I20" s="21">
        <f t="shared" ref="I20:I25" si="6">I19+E20</f>
        <v>171911702</v>
      </c>
      <c r="J20" s="55">
        <f t="shared" ref="J20:J25" si="7">I20/H20</f>
        <v>68737.185925629747</v>
      </c>
      <c r="K20" s="55">
        <f t="shared" ref="K20:K25" si="8">H20*D20</f>
        <v>201830700</v>
      </c>
      <c r="L20" s="55">
        <f t="shared" ref="L20:L25" si="9">K20-I20</f>
        <v>29918998</v>
      </c>
      <c r="M20" s="55">
        <f t="shared" ref="M20:M25" si="10">100*(K20-I20)/I20</f>
        <v>17.403700650930674</v>
      </c>
    </row>
    <row r="21" spans="2:13" ht="15.6" x14ac:dyDescent="0.3">
      <c r="B21" t="s">
        <v>215</v>
      </c>
      <c r="C21" s="55">
        <v>16</v>
      </c>
      <c r="D21" s="55">
        <v>76850</v>
      </c>
      <c r="E21" s="55">
        <v>13986700</v>
      </c>
      <c r="F21" s="55">
        <v>182</v>
      </c>
      <c r="G21" s="23">
        <v>0</v>
      </c>
      <c r="H21" s="21">
        <f>H20+F21+Table114[[#This Row],[Column1]]</f>
        <v>2683</v>
      </c>
      <c r="I21" s="21">
        <f t="shared" si="6"/>
        <v>185898402</v>
      </c>
      <c r="J21" s="55">
        <f t="shared" si="7"/>
        <v>69287.514722325752</v>
      </c>
      <c r="K21" s="55">
        <f t="shared" si="8"/>
        <v>206188550</v>
      </c>
      <c r="L21" s="55">
        <f t="shared" si="9"/>
        <v>20290148</v>
      </c>
      <c r="M21" s="55">
        <f t="shared" si="10"/>
        <v>10.914643580421956</v>
      </c>
    </row>
    <row r="22" spans="2:13" ht="15.6" x14ac:dyDescent="0.3">
      <c r="B22" t="s">
        <v>216</v>
      </c>
      <c r="C22" s="55">
        <v>17</v>
      </c>
      <c r="D22" s="55">
        <v>69700</v>
      </c>
      <c r="E22" s="55">
        <v>14497600</v>
      </c>
      <c r="F22" s="55">
        <v>208</v>
      </c>
      <c r="G22" s="23">
        <v>0</v>
      </c>
      <c r="H22" s="21">
        <f>H21+F22+Table114[[#This Row],[Column1]]</f>
        <v>2891</v>
      </c>
      <c r="I22" s="21">
        <f t="shared" si="6"/>
        <v>200396002</v>
      </c>
      <c r="J22" s="55">
        <f t="shared" si="7"/>
        <v>69317.19197509512</v>
      </c>
      <c r="K22" s="55">
        <f t="shared" si="8"/>
        <v>201502700</v>
      </c>
      <c r="L22" s="55">
        <f t="shared" si="9"/>
        <v>1106698</v>
      </c>
      <c r="M22" s="55">
        <f t="shared" si="10"/>
        <v>0.55225552853095339</v>
      </c>
    </row>
    <row r="23" spans="2:13" ht="15.6" x14ac:dyDescent="0.3">
      <c r="B23" t="s">
        <v>217</v>
      </c>
      <c r="C23" s="55">
        <v>18</v>
      </c>
      <c r="D23" s="55">
        <v>70050</v>
      </c>
      <c r="E23" s="55">
        <v>14010000</v>
      </c>
      <c r="F23" s="55">
        <v>200</v>
      </c>
      <c r="G23" s="23">
        <v>0</v>
      </c>
      <c r="H23" s="21">
        <f>H22+F23+Table114[[#This Row],[Column1]]</f>
        <v>3091</v>
      </c>
      <c r="I23" s="21">
        <f t="shared" si="6"/>
        <v>214406002</v>
      </c>
      <c r="J23" s="55">
        <f t="shared" si="7"/>
        <v>69364.607570365581</v>
      </c>
      <c r="K23" s="55">
        <f t="shared" si="8"/>
        <v>216524550</v>
      </c>
      <c r="L23" s="55">
        <f t="shared" si="9"/>
        <v>2118548</v>
      </c>
      <c r="M23" s="55">
        <f t="shared" si="10"/>
        <v>0.98810107004373882</v>
      </c>
    </row>
    <row r="24" spans="2:13" ht="15.6" x14ac:dyDescent="0.3">
      <c r="B24" t="s">
        <v>243</v>
      </c>
      <c r="C24" s="55">
        <v>19</v>
      </c>
      <c r="D24" s="55">
        <v>65981</v>
      </c>
      <c r="E24" s="55">
        <f>Table114[[#This Row],[Shares price]]*Table114[[#This Row],[Shares  bought]]</f>
        <v>13987972</v>
      </c>
      <c r="F24" s="55">
        <v>212</v>
      </c>
      <c r="G24" s="23">
        <v>0</v>
      </c>
      <c r="H24" s="21">
        <f>H23+F24+Table114[[#This Row],[Column1]]</f>
        <v>3303</v>
      </c>
      <c r="I24" s="21">
        <f t="shared" si="6"/>
        <v>228393974</v>
      </c>
      <c r="J24" s="55">
        <f t="shared" si="7"/>
        <v>69147.433848016954</v>
      </c>
      <c r="K24" s="55">
        <f t="shared" si="8"/>
        <v>217935243</v>
      </c>
      <c r="L24" s="55">
        <f t="shared" si="9"/>
        <v>-10458731</v>
      </c>
      <c r="M24" s="55">
        <f t="shared" si="10"/>
        <v>-4.5792499761836973</v>
      </c>
    </row>
    <row r="25" spans="2:13" ht="15.6" x14ac:dyDescent="0.3">
      <c r="C25" s="55"/>
      <c r="D25" s="55"/>
      <c r="E25" s="55"/>
      <c r="F25" s="55" t="e">
        <f>E25/D25</f>
        <v>#DIV/0!</v>
      </c>
      <c r="G25" s="23">
        <v>0</v>
      </c>
      <c r="H25" s="21" t="e">
        <f>H24+F25+Table114[[#This Row],[Column1]]</f>
        <v>#DIV/0!</v>
      </c>
      <c r="I25" s="21">
        <f t="shared" si="6"/>
        <v>228393974</v>
      </c>
      <c r="J25" s="55" t="e">
        <f t="shared" si="7"/>
        <v>#DIV/0!</v>
      </c>
      <c r="K25" s="55" t="e">
        <f t="shared" si="8"/>
        <v>#DIV/0!</v>
      </c>
      <c r="L25" s="55" t="e">
        <f t="shared" si="9"/>
        <v>#DIV/0!</v>
      </c>
      <c r="M25" s="55" t="e">
        <f t="shared" si="10"/>
        <v>#DIV/0!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opLeftCell="B1" zoomScaleNormal="100" workbookViewId="0">
      <selection activeCell="H24" sqref="H24"/>
    </sheetView>
  </sheetViews>
  <sheetFormatPr defaultRowHeight="14.4" x14ac:dyDescent="0.3"/>
  <cols>
    <col min="2" max="2" width="14.6640625" bestFit="1" customWidth="1"/>
    <col min="4" max="5" width="13.109375" customWidth="1"/>
    <col min="6" max="7" width="15.33203125" customWidth="1"/>
    <col min="8" max="8" width="18.6640625" bestFit="1" customWidth="1"/>
    <col min="9" max="9" width="22.21875" customWidth="1"/>
    <col min="10" max="10" width="25.109375" customWidth="1"/>
    <col min="11" max="11" width="19.21875" customWidth="1"/>
    <col min="12" max="12" width="17.6640625" customWidth="1"/>
    <col min="13" max="14" width="15.88671875" customWidth="1"/>
  </cols>
  <sheetData>
    <row r="2" spans="1:14" ht="31.2" x14ac:dyDescent="0.6">
      <c r="H2" s="15"/>
    </row>
    <row r="4" spans="1:14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186</v>
      </c>
      <c r="H4" s="16" t="s">
        <v>140</v>
      </c>
      <c r="I4" s="16" t="s">
        <v>122</v>
      </c>
      <c r="J4" s="16" t="s">
        <v>141</v>
      </c>
      <c r="K4" s="16" t="s">
        <v>142</v>
      </c>
      <c r="L4" s="16" t="s">
        <v>123</v>
      </c>
      <c r="M4" s="16" t="s">
        <v>143</v>
      </c>
    </row>
    <row r="5" spans="1:14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1:14" ht="15.6" x14ac:dyDescent="0.3">
      <c r="B6" t="s">
        <v>167</v>
      </c>
      <c r="C6" s="21">
        <v>1</v>
      </c>
      <c r="D6" s="33">
        <v>12970</v>
      </c>
      <c r="E6" s="21">
        <f t="shared" ref="E6:E17" si="0">D6*F6</f>
        <v>7561510</v>
      </c>
      <c r="F6" s="21">
        <v>583</v>
      </c>
      <c r="G6" s="21">
        <f>INT(Table113[[#This Row],[Shares  bought]]*1)</f>
        <v>583</v>
      </c>
      <c r="H6" s="21">
        <f>Table113[[#This Row],[Shares  bought]]+Table113[[#This Row],[Column1]]</f>
        <v>1166</v>
      </c>
      <c r="I6" s="21">
        <v>7561510</v>
      </c>
      <c r="J6" s="21">
        <f>I6/H6</f>
        <v>6485</v>
      </c>
      <c r="K6" s="21">
        <f>H6*D6</f>
        <v>15123020</v>
      </c>
      <c r="L6" s="21">
        <f>K6-I6</f>
        <v>7561510</v>
      </c>
      <c r="M6" s="21">
        <f>100*(K6-I6)/I6</f>
        <v>100</v>
      </c>
    </row>
    <row r="7" spans="1:14" ht="15.6" x14ac:dyDescent="0.3">
      <c r="B7" t="s">
        <v>168</v>
      </c>
      <c r="C7" s="21">
        <v>2</v>
      </c>
      <c r="D7" s="33">
        <v>11020</v>
      </c>
      <c r="E7" s="21">
        <f t="shared" si="0"/>
        <v>14932100</v>
      </c>
      <c r="F7" s="21">
        <v>1355</v>
      </c>
      <c r="G7" s="21">
        <f>INT(Table113[[#This Row],[Shares  bought]]*1)</f>
        <v>1355</v>
      </c>
      <c r="H7" s="21">
        <f>H6+F7+Table113[[#This Row],[Column1]]</f>
        <v>3876</v>
      </c>
      <c r="I7" s="21">
        <f t="shared" ref="I7:I20" si="1">I6+E7</f>
        <v>22493610</v>
      </c>
      <c r="J7" s="21">
        <f t="shared" ref="J7:J20" si="2">I7/H7</f>
        <v>5803.3049535603714</v>
      </c>
      <c r="K7" s="21">
        <f t="shared" ref="K7:K20" si="3">H7*D7</f>
        <v>42713520</v>
      </c>
      <c r="L7" s="21">
        <f t="shared" ref="L7:L20" si="4">K7-I7</f>
        <v>20219910</v>
      </c>
      <c r="M7" s="21">
        <f t="shared" ref="M7:M20" si="5">100*(K7-I7)/I7</f>
        <v>89.891795936712697</v>
      </c>
    </row>
    <row r="8" spans="1:14" ht="15.6" x14ac:dyDescent="0.3">
      <c r="A8" s="38"/>
      <c r="B8" t="s">
        <v>181</v>
      </c>
      <c r="C8" s="23">
        <v>3</v>
      </c>
      <c r="D8" s="33">
        <v>11760</v>
      </c>
      <c r="E8" s="21">
        <f t="shared" si="0"/>
        <v>11336640</v>
      </c>
      <c r="F8" s="23">
        <v>964</v>
      </c>
      <c r="G8" s="21">
        <f>INT(Table113[[#This Row],[Shares  bought]]*1)</f>
        <v>964</v>
      </c>
      <c r="H8" s="21">
        <f>H7+F8+Table113[[#This Row],[Column1]]</f>
        <v>5804</v>
      </c>
      <c r="I8" s="21">
        <f t="shared" si="1"/>
        <v>33830250</v>
      </c>
      <c r="J8" s="23">
        <f t="shared" si="2"/>
        <v>5828.781874569263</v>
      </c>
      <c r="K8" s="23">
        <f t="shared" si="3"/>
        <v>68255040</v>
      </c>
      <c r="L8" s="23">
        <f t="shared" si="4"/>
        <v>34424790</v>
      </c>
      <c r="M8" s="23">
        <f t="shared" si="5"/>
        <v>101.75742124282262</v>
      </c>
    </row>
    <row r="9" spans="1:14" ht="15.6" x14ac:dyDescent="0.3">
      <c r="A9" s="38"/>
      <c r="B9" t="s">
        <v>182</v>
      </c>
      <c r="C9" s="23">
        <v>4</v>
      </c>
      <c r="D9" s="21">
        <v>12520</v>
      </c>
      <c r="E9" s="21">
        <f t="shared" si="0"/>
        <v>21935040</v>
      </c>
      <c r="F9" s="30">
        <v>1752</v>
      </c>
      <c r="G9" s="21">
        <f>INT(Table113[[#This Row],[Shares  bought]]*1)</f>
        <v>1752</v>
      </c>
      <c r="H9" s="21">
        <f>H8+F9+Table113[[#This Row],[Column1]]</f>
        <v>9308</v>
      </c>
      <c r="I9" s="21">
        <f>I8+E9</f>
        <v>55765290</v>
      </c>
      <c r="J9" s="23">
        <f t="shared" si="2"/>
        <v>5991.1140954018047</v>
      </c>
      <c r="K9" s="23">
        <f t="shared" si="3"/>
        <v>116536160</v>
      </c>
      <c r="L9" s="23">
        <f t="shared" si="4"/>
        <v>60770870</v>
      </c>
      <c r="M9" s="23">
        <f t="shared" si="5"/>
        <v>108.97615703244796</v>
      </c>
    </row>
    <row r="10" spans="1:14" ht="15.6" x14ac:dyDescent="0.3">
      <c r="A10" s="38"/>
      <c r="B10" t="s">
        <v>171</v>
      </c>
      <c r="C10" s="23">
        <v>5</v>
      </c>
      <c r="D10" s="21">
        <v>12520</v>
      </c>
      <c r="E10" s="21">
        <v>0</v>
      </c>
      <c r="F10" s="23">
        <f>E10/D10</f>
        <v>0</v>
      </c>
      <c r="G10" s="21">
        <f>INT(Table113[[#This Row],[Shares  bought]]*1)</f>
        <v>0</v>
      </c>
      <c r="H10" s="21">
        <f>H9+F10+Table113[[#This Row],[Column1]]</f>
        <v>9308</v>
      </c>
      <c r="I10" s="21">
        <f>I9+E10</f>
        <v>55765290</v>
      </c>
      <c r="J10" s="23">
        <f>I10/H10</f>
        <v>5991.1140954018047</v>
      </c>
      <c r="K10" s="23">
        <f>H10*D10</f>
        <v>116536160</v>
      </c>
      <c r="L10" s="23">
        <f>K10-I10</f>
        <v>60770870</v>
      </c>
      <c r="M10" s="23">
        <f>100*(K10-I10)/I10</f>
        <v>108.97615703244796</v>
      </c>
    </row>
    <row r="11" spans="1:14" ht="15.6" x14ac:dyDescent="0.3">
      <c r="B11" t="s">
        <v>173</v>
      </c>
      <c r="C11" s="23">
        <v>6</v>
      </c>
      <c r="D11" s="33">
        <v>14500</v>
      </c>
      <c r="E11" s="21">
        <f t="shared" si="0"/>
        <v>11469500</v>
      </c>
      <c r="F11" s="23">
        <v>791</v>
      </c>
      <c r="G11" s="21">
        <f>INT(Table113[[#This Row],[Shares  bought]]*1)</f>
        <v>791</v>
      </c>
      <c r="H11" s="21">
        <f>H9+F11+Table113[[#This Row],[Column1]]</f>
        <v>10890</v>
      </c>
      <c r="I11" s="21">
        <f>I9+E11</f>
        <v>67234790</v>
      </c>
      <c r="J11" s="23">
        <f t="shared" si="2"/>
        <v>6173.9935720844815</v>
      </c>
      <c r="K11" s="23">
        <f t="shared" si="3"/>
        <v>157905000</v>
      </c>
      <c r="L11" s="23">
        <f t="shared" si="4"/>
        <v>90670210</v>
      </c>
      <c r="M11" s="23">
        <f t="shared" si="5"/>
        <v>134.85609161566504</v>
      </c>
    </row>
    <row r="12" spans="1:14" ht="15.6" x14ac:dyDescent="0.3">
      <c r="B12" t="s">
        <v>174</v>
      </c>
      <c r="C12" s="23">
        <v>7</v>
      </c>
      <c r="D12" s="33">
        <v>13060</v>
      </c>
      <c r="E12" s="21">
        <f t="shared" si="0"/>
        <v>10813680</v>
      </c>
      <c r="F12" s="23">
        <v>828</v>
      </c>
      <c r="G12" s="21">
        <f>INT(Table113[[#This Row],[Shares  bought]]*1)</f>
        <v>828</v>
      </c>
      <c r="H12" s="21">
        <f>H11+F12+Table113[[#This Row],[Column1]]</f>
        <v>12546</v>
      </c>
      <c r="I12" s="21">
        <f t="shared" si="1"/>
        <v>78048470</v>
      </c>
      <c r="J12" s="23">
        <f t="shared" si="2"/>
        <v>6220.984377490834</v>
      </c>
      <c r="K12" s="23">
        <f t="shared" si="3"/>
        <v>163850760</v>
      </c>
      <c r="L12" s="23">
        <f t="shared" si="4"/>
        <v>85802290</v>
      </c>
      <c r="M12" s="23">
        <f t="shared" si="5"/>
        <v>109.93462139616574</v>
      </c>
    </row>
    <row r="13" spans="1:14" ht="15.6" x14ac:dyDescent="0.3">
      <c r="B13" t="s">
        <v>175</v>
      </c>
      <c r="C13" s="23">
        <v>8</v>
      </c>
      <c r="D13" s="33">
        <v>13250</v>
      </c>
      <c r="E13" s="21">
        <f t="shared" si="0"/>
        <v>10666250</v>
      </c>
      <c r="F13" s="23">
        <v>805</v>
      </c>
      <c r="G13" s="21">
        <f>INT(Table113[[#This Row],[Shares  bought]]*1)</f>
        <v>805</v>
      </c>
      <c r="H13" s="21">
        <f>H12+F13+Table113[[#This Row],[Column1]]</f>
        <v>14156</v>
      </c>
      <c r="I13" s="21">
        <f t="shared" si="1"/>
        <v>88714720</v>
      </c>
      <c r="J13" s="23">
        <f t="shared" si="2"/>
        <v>6266.9341621927097</v>
      </c>
      <c r="K13" s="23">
        <f t="shared" si="3"/>
        <v>187567000</v>
      </c>
      <c r="L13" s="23">
        <f t="shared" si="4"/>
        <v>98852280</v>
      </c>
      <c r="M13" s="23">
        <f t="shared" si="5"/>
        <v>111.42714534859604</v>
      </c>
    </row>
    <row r="14" spans="1:14" ht="15.6" x14ac:dyDescent="0.3">
      <c r="B14" s="35" t="s">
        <v>185</v>
      </c>
      <c r="C14" s="39">
        <v>9</v>
      </c>
      <c r="D14" s="34">
        <v>6380</v>
      </c>
      <c r="E14" s="34">
        <f t="shared" si="0"/>
        <v>10979980</v>
      </c>
      <c r="F14" s="40">
        <v>1721</v>
      </c>
      <c r="G14" s="40">
        <v>0</v>
      </c>
      <c r="H14" s="21">
        <f>H13+F14+Table113[[#This Row],[Column1]]</f>
        <v>15877</v>
      </c>
      <c r="I14" s="34">
        <f t="shared" si="1"/>
        <v>99694700</v>
      </c>
      <c r="J14" s="39">
        <f t="shared" si="2"/>
        <v>6279.1900233041506</v>
      </c>
      <c r="K14" s="39">
        <f t="shared" si="3"/>
        <v>101295260</v>
      </c>
      <c r="L14" s="39">
        <f t="shared" si="4"/>
        <v>1600560</v>
      </c>
      <c r="M14" s="39">
        <f t="shared" si="5"/>
        <v>1.6054614738797548</v>
      </c>
      <c r="N14" s="35" t="s">
        <v>186</v>
      </c>
    </row>
    <row r="15" spans="1:14" ht="15.6" x14ac:dyDescent="0.3">
      <c r="B15" t="s">
        <v>177</v>
      </c>
      <c r="C15" s="23">
        <v>10</v>
      </c>
      <c r="D15" s="33">
        <v>6960</v>
      </c>
      <c r="E15" s="21">
        <f t="shared" si="0"/>
        <v>10565280</v>
      </c>
      <c r="F15" s="23">
        <v>1518</v>
      </c>
      <c r="G15" s="23">
        <v>0</v>
      </c>
      <c r="H15" s="21">
        <f>H14+F15+Table113[[#This Row],[Column1]]</f>
        <v>17395</v>
      </c>
      <c r="I15" s="21">
        <f t="shared" si="1"/>
        <v>110259980</v>
      </c>
      <c r="J15" s="23">
        <f t="shared" si="2"/>
        <v>6338.6018970968671</v>
      </c>
      <c r="K15" s="23">
        <f t="shared" si="3"/>
        <v>121069200</v>
      </c>
      <c r="L15" s="23">
        <f t="shared" si="4"/>
        <v>10809220</v>
      </c>
      <c r="M15" s="23">
        <f t="shared" si="5"/>
        <v>9.8033937608187482</v>
      </c>
    </row>
    <row r="16" spans="1:14" ht="15.6" x14ac:dyDescent="0.3">
      <c r="B16" t="s">
        <v>178</v>
      </c>
      <c r="C16" s="23">
        <v>11</v>
      </c>
      <c r="D16" s="21">
        <v>6350</v>
      </c>
      <c r="E16" s="21">
        <f t="shared" si="0"/>
        <v>10661650</v>
      </c>
      <c r="F16" s="23">
        <v>1679</v>
      </c>
      <c r="G16" s="23">
        <v>0</v>
      </c>
      <c r="H16" s="21">
        <f>H15+F16+Table113[[#This Row],[Column1]]</f>
        <v>19074</v>
      </c>
      <c r="I16" s="21">
        <f t="shared" si="1"/>
        <v>120921630</v>
      </c>
      <c r="J16" s="23">
        <f t="shared" si="2"/>
        <v>6339.6052217678516</v>
      </c>
      <c r="K16" s="23">
        <f t="shared" si="3"/>
        <v>121119900</v>
      </c>
      <c r="L16" s="23">
        <f t="shared" si="4"/>
        <v>198270</v>
      </c>
      <c r="M16" s="23">
        <f t="shared" si="5"/>
        <v>0.1639657024140346</v>
      </c>
    </row>
    <row r="17" spans="2:13" ht="15.6" x14ac:dyDescent="0.3">
      <c r="B17" t="s">
        <v>179</v>
      </c>
      <c r="C17" s="26">
        <v>12</v>
      </c>
      <c r="D17" s="21">
        <v>7040</v>
      </c>
      <c r="E17" s="21">
        <f t="shared" si="0"/>
        <v>10961280</v>
      </c>
      <c r="F17" s="31">
        <v>1557</v>
      </c>
      <c r="G17" s="31">
        <v>0</v>
      </c>
      <c r="H17" s="21">
        <f>H16+F17+Table113[[#This Row],[Column1]]</f>
        <v>20631</v>
      </c>
      <c r="I17" s="21">
        <f t="shared" si="1"/>
        <v>131882910</v>
      </c>
      <c r="J17" s="26">
        <f t="shared" si="2"/>
        <v>6392.4632834084632</v>
      </c>
      <c r="K17" s="26">
        <f t="shared" si="3"/>
        <v>145242240</v>
      </c>
      <c r="L17" s="26">
        <f t="shared" si="4"/>
        <v>13359330</v>
      </c>
      <c r="M17" s="26">
        <f t="shared" si="5"/>
        <v>10.129690040961334</v>
      </c>
    </row>
    <row r="18" spans="2:13" ht="15.6" x14ac:dyDescent="0.3">
      <c r="B18" t="s">
        <v>212</v>
      </c>
      <c r="C18" s="23">
        <v>12</v>
      </c>
      <c r="D18" s="21">
        <v>7370</v>
      </c>
      <c r="E18" s="21">
        <v>12698510</v>
      </c>
      <c r="F18" s="23">
        <v>1723</v>
      </c>
      <c r="G18" s="31">
        <v>0</v>
      </c>
      <c r="H18" s="21">
        <f t="shared" ref="H18:H20" si="6">H17+F18</f>
        <v>22354</v>
      </c>
      <c r="I18" s="21">
        <f t="shared" si="1"/>
        <v>144581420</v>
      </c>
      <c r="J18" s="23">
        <f t="shared" si="2"/>
        <v>6467.8097879574125</v>
      </c>
      <c r="K18" s="23">
        <f t="shared" si="3"/>
        <v>164748980</v>
      </c>
      <c r="L18" s="23">
        <f t="shared" si="4"/>
        <v>20167560</v>
      </c>
      <c r="M18" s="23">
        <f t="shared" si="5"/>
        <v>13.948929260758401</v>
      </c>
    </row>
    <row r="19" spans="2:13" ht="15.6" x14ac:dyDescent="0.3">
      <c r="B19" t="s">
        <v>213</v>
      </c>
      <c r="C19" s="23">
        <v>13</v>
      </c>
      <c r="D19" s="21">
        <v>7550</v>
      </c>
      <c r="E19" s="21">
        <v>13650400</v>
      </c>
      <c r="F19" s="23">
        <v>1808</v>
      </c>
      <c r="G19" s="31">
        <v>0</v>
      </c>
      <c r="H19" s="21">
        <f t="shared" si="6"/>
        <v>24162</v>
      </c>
      <c r="I19" s="21">
        <f t="shared" si="1"/>
        <v>158231820</v>
      </c>
      <c r="J19" s="23">
        <f t="shared" si="2"/>
        <v>6548.7881797864411</v>
      </c>
      <c r="K19" s="23">
        <f t="shared" si="3"/>
        <v>182423100</v>
      </c>
      <c r="L19" s="23">
        <f t="shared" si="4"/>
        <v>24191280</v>
      </c>
      <c r="M19" s="23">
        <f t="shared" si="5"/>
        <v>15.288505181827524</v>
      </c>
    </row>
    <row r="20" spans="2:13" ht="15.6" x14ac:dyDescent="0.3">
      <c r="B20" t="s">
        <v>214</v>
      </c>
      <c r="C20" s="23">
        <v>14</v>
      </c>
      <c r="D20" s="21">
        <v>7380</v>
      </c>
      <c r="E20" s="21">
        <v>13948200</v>
      </c>
      <c r="F20" s="23">
        <v>1890</v>
      </c>
      <c r="G20" s="31">
        <v>0</v>
      </c>
      <c r="H20" s="21">
        <f t="shared" si="6"/>
        <v>26052</v>
      </c>
      <c r="I20" s="21">
        <f t="shared" si="1"/>
        <v>172180020</v>
      </c>
      <c r="J20" s="23">
        <f t="shared" si="2"/>
        <v>6609.0902809765084</v>
      </c>
      <c r="K20" s="23">
        <f t="shared" si="3"/>
        <v>192263760</v>
      </c>
      <c r="L20" s="23">
        <f t="shared" si="4"/>
        <v>20083740</v>
      </c>
      <c r="M20" s="23">
        <f t="shared" si="5"/>
        <v>11.66438475265597</v>
      </c>
    </row>
    <row r="21" spans="2:13" ht="15.6" x14ac:dyDescent="0.3">
      <c r="B21" t="s">
        <v>215</v>
      </c>
      <c r="C21" s="55">
        <v>15</v>
      </c>
      <c r="D21" s="55">
        <v>6740</v>
      </c>
      <c r="E21" s="55">
        <v>13951800</v>
      </c>
      <c r="F21" s="55">
        <v>2070</v>
      </c>
      <c r="G21" s="31">
        <v>0</v>
      </c>
      <c r="H21" s="21">
        <f t="shared" ref="H21:H26" si="7">H20+F21</f>
        <v>28122</v>
      </c>
      <c r="I21" s="21">
        <f t="shared" ref="I21:I26" si="8">I20+E21</f>
        <v>186131820</v>
      </c>
      <c r="J21" s="55">
        <f t="shared" ref="J21:J26" si="9">I21/H21</f>
        <v>6618.7262641348407</v>
      </c>
      <c r="K21" s="55">
        <f t="shared" ref="K21:K26" si="10">H21*D21</f>
        <v>189542280</v>
      </c>
      <c r="L21" s="55">
        <f t="shared" ref="L21:L26" si="11">K21-I21</f>
        <v>3410460</v>
      </c>
      <c r="M21" s="55">
        <f t="shared" ref="M21:M26" si="12">100*(K21-I21)/I21</f>
        <v>1.8322820891129739</v>
      </c>
    </row>
    <row r="22" spans="2:13" ht="15.6" x14ac:dyDescent="0.3">
      <c r="B22" t="s">
        <v>216</v>
      </c>
      <c r="C22" s="55">
        <v>16</v>
      </c>
      <c r="D22" s="55">
        <v>5360</v>
      </c>
      <c r="E22" s="55">
        <v>14450560</v>
      </c>
      <c r="F22" s="55">
        <v>2696</v>
      </c>
      <c r="G22" s="31">
        <v>0</v>
      </c>
      <c r="H22" s="21">
        <f t="shared" si="7"/>
        <v>30818</v>
      </c>
      <c r="I22" s="21">
        <f t="shared" si="8"/>
        <v>200582380</v>
      </c>
      <c r="J22" s="55">
        <f t="shared" si="9"/>
        <v>6508.6112012460253</v>
      </c>
      <c r="K22" s="55">
        <f t="shared" si="10"/>
        <v>165184480</v>
      </c>
      <c r="L22" s="55">
        <f t="shared" si="11"/>
        <v>-35397900</v>
      </c>
      <c r="M22" s="55">
        <f t="shared" si="12"/>
        <v>-17.647562064025763</v>
      </c>
    </row>
    <row r="23" spans="2:13" ht="15.6" x14ac:dyDescent="0.3">
      <c r="B23" t="s">
        <v>217</v>
      </c>
      <c r="C23" s="55">
        <v>17</v>
      </c>
      <c r="D23" s="55">
        <v>5280</v>
      </c>
      <c r="E23" s="55">
        <v>13949760</v>
      </c>
      <c r="F23" s="55">
        <v>2642</v>
      </c>
      <c r="G23" s="31">
        <v>0</v>
      </c>
      <c r="H23" s="21">
        <f t="shared" si="7"/>
        <v>33460</v>
      </c>
      <c r="I23" s="21">
        <f t="shared" si="8"/>
        <v>214532140</v>
      </c>
      <c r="J23" s="55">
        <f t="shared" si="9"/>
        <v>6411.6001195457266</v>
      </c>
      <c r="K23" s="55">
        <f t="shared" si="10"/>
        <v>176668800</v>
      </c>
      <c r="L23" s="55">
        <f t="shared" si="11"/>
        <v>-37863340</v>
      </c>
      <c r="M23" s="55">
        <f t="shared" si="12"/>
        <v>-17.649262250402202</v>
      </c>
    </row>
    <row r="24" spans="2:13" ht="15.6" x14ac:dyDescent="0.3">
      <c r="B24" t="s">
        <v>243</v>
      </c>
      <c r="C24" s="55">
        <v>18</v>
      </c>
      <c r="D24" s="55">
        <v>4868</v>
      </c>
      <c r="E24" s="55">
        <f>Table113[[#This Row],[Shares price]]*Table113[[#This Row],[Shares  bought]]</f>
        <v>13951688</v>
      </c>
      <c r="F24" s="55">
        <v>2866</v>
      </c>
      <c r="G24" s="31">
        <v>0</v>
      </c>
      <c r="H24" s="21">
        <f t="shared" si="7"/>
        <v>36326</v>
      </c>
      <c r="I24" s="21">
        <f t="shared" si="8"/>
        <v>228483828</v>
      </c>
      <c r="J24" s="55">
        <f t="shared" si="9"/>
        <v>6289.8152287617686</v>
      </c>
      <c r="K24" s="55">
        <f t="shared" si="10"/>
        <v>176834968</v>
      </c>
      <c r="L24" s="55">
        <f t="shared" si="11"/>
        <v>-51648860</v>
      </c>
      <c r="M24" s="55">
        <f t="shared" si="12"/>
        <v>-22.605039687973015</v>
      </c>
    </row>
    <row r="25" spans="2:13" ht="15.6" x14ac:dyDescent="0.3">
      <c r="C25" s="55"/>
      <c r="D25" s="55"/>
      <c r="E25" s="55"/>
      <c r="F25" s="55" t="e">
        <f>E25/D25</f>
        <v>#DIV/0!</v>
      </c>
      <c r="G25" s="31">
        <v>0</v>
      </c>
      <c r="H25" s="21" t="e">
        <f t="shared" si="7"/>
        <v>#DIV/0!</v>
      </c>
      <c r="I25" s="21">
        <f t="shared" si="8"/>
        <v>228483828</v>
      </c>
      <c r="J25" s="55" t="e">
        <f t="shared" si="9"/>
        <v>#DIV/0!</v>
      </c>
      <c r="K25" s="55" t="e">
        <f t="shared" si="10"/>
        <v>#DIV/0!</v>
      </c>
      <c r="L25" s="55" t="e">
        <f t="shared" si="11"/>
        <v>#DIV/0!</v>
      </c>
      <c r="M25" s="55" t="e">
        <f t="shared" si="12"/>
        <v>#DIV/0!</v>
      </c>
    </row>
    <row r="26" spans="2:13" ht="15.6" x14ac:dyDescent="0.3">
      <c r="C26" s="55"/>
      <c r="D26" s="55"/>
      <c r="E26" s="55"/>
      <c r="F26" s="55" t="e">
        <f>E26/D26</f>
        <v>#DIV/0!</v>
      </c>
      <c r="G26" s="31">
        <v>0</v>
      </c>
      <c r="H26" s="21" t="e">
        <f t="shared" si="7"/>
        <v>#DIV/0!</v>
      </c>
      <c r="I26" s="21">
        <f t="shared" si="8"/>
        <v>228483828</v>
      </c>
      <c r="J26" s="55" t="e">
        <f t="shared" si="9"/>
        <v>#DIV/0!</v>
      </c>
      <c r="K26" s="55" t="e">
        <f t="shared" si="10"/>
        <v>#DIV/0!</v>
      </c>
      <c r="L26" s="55" t="e">
        <f t="shared" si="11"/>
        <v>#DIV/0!</v>
      </c>
      <c r="M26" s="55" t="e">
        <f t="shared" si="12"/>
        <v>#DIV/0!</v>
      </c>
    </row>
    <row r="27" spans="2:13" ht="15.6" x14ac:dyDescent="0.3">
      <c r="I27" s="26"/>
    </row>
    <row r="28" spans="2:13" ht="15.6" x14ac:dyDescent="0.3">
      <c r="I28" s="41"/>
    </row>
    <row r="29" spans="2:13" ht="15.6" x14ac:dyDescent="0.3">
      <c r="I29" s="26"/>
    </row>
    <row r="30" spans="2:13" ht="15.6" x14ac:dyDescent="0.3">
      <c r="I30" s="28"/>
    </row>
    <row r="31" spans="2:13" ht="15.6" x14ac:dyDescent="0.3">
      <c r="I31" s="26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topLeftCell="A4" workbookViewId="0">
      <selection activeCell="H24" sqref="H24"/>
    </sheetView>
  </sheetViews>
  <sheetFormatPr defaultRowHeight="14.4" x14ac:dyDescent="0.3"/>
  <cols>
    <col min="2" max="2" width="14.6640625" bestFit="1" customWidth="1"/>
    <col min="4" max="4" width="13.109375" customWidth="1"/>
    <col min="5" max="5" width="19.44140625" customWidth="1"/>
    <col min="6" max="7" width="14.33203125" customWidth="1"/>
    <col min="8" max="8" width="17.5546875" customWidth="1"/>
    <col min="9" max="9" width="14" customWidth="1"/>
    <col min="10" max="10" width="30.109375" customWidth="1"/>
    <col min="11" max="11" width="19.21875" customWidth="1"/>
    <col min="12" max="12" width="14.88671875" customWidth="1"/>
    <col min="13" max="13" width="14" bestFit="1" customWidth="1"/>
    <col min="14" max="14" width="13.6640625" customWidth="1"/>
  </cols>
  <sheetData>
    <row r="2" spans="1:14" ht="31.2" x14ac:dyDescent="0.6">
      <c r="A2" s="2"/>
      <c r="B2" s="2"/>
      <c r="C2" s="2"/>
      <c r="D2" s="2"/>
      <c r="E2" s="2"/>
      <c r="F2" s="2"/>
      <c r="G2" s="2"/>
      <c r="H2" s="42"/>
      <c r="I2" s="2"/>
      <c r="J2" s="2"/>
      <c r="K2" s="2"/>
      <c r="L2" s="2"/>
      <c r="M2" s="2"/>
    </row>
    <row r="3" spans="1:1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5.6" x14ac:dyDescent="0.3">
      <c r="A4" s="2"/>
      <c r="B4" s="32" t="s">
        <v>135</v>
      </c>
      <c r="C4" s="32" t="s">
        <v>136</v>
      </c>
      <c r="D4" s="32" t="s">
        <v>137</v>
      </c>
      <c r="E4" s="32" t="s">
        <v>138</v>
      </c>
      <c r="F4" s="32" t="s">
        <v>139</v>
      </c>
      <c r="G4" s="32" t="s">
        <v>186</v>
      </c>
      <c r="H4" s="32" t="s">
        <v>140</v>
      </c>
      <c r="I4" s="32" t="s">
        <v>122</v>
      </c>
      <c r="J4" s="32" t="s">
        <v>141</v>
      </c>
      <c r="K4" s="32" t="s">
        <v>142</v>
      </c>
      <c r="L4" s="32" t="s">
        <v>123</v>
      </c>
      <c r="M4" s="32" t="s">
        <v>143</v>
      </c>
    </row>
    <row r="5" spans="1:14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1:14" ht="15.6" x14ac:dyDescent="0.3">
      <c r="B6" t="s">
        <v>167</v>
      </c>
      <c r="C6" s="21">
        <v>1</v>
      </c>
      <c r="D6" s="33">
        <v>11490</v>
      </c>
      <c r="E6" s="21">
        <f t="shared" ref="E6:E17" si="0">D6*F6</f>
        <v>7640850</v>
      </c>
      <c r="F6" s="21">
        <v>665</v>
      </c>
      <c r="G6" s="21">
        <f>INT(Table112[[#This Row],[Shares  bought]]*10.52)</f>
        <v>6995</v>
      </c>
      <c r="H6" s="21">
        <f>Table112[[#This Row],[Column1]]+Table112[[#This Row],[Shares  bought]]</f>
        <v>7660</v>
      </c>
      <c r="I6" s="21">
        <v>7640850</v>
      </c>
      <c r="J6" s="21">
        <f>I6/H6</f>
        <v>997.5</v>
      </c>
      <c r="K6" s="21">
        <f>H6*D6</f>
        <v>88013400</v>
      </c>
      <c r="L6" s="21">
        <f>K6-I6</f>
        <v>80372550</v>
      </c>
      <c r="M6" s="21">
        <f>100*(K6-I6)/I6</f>
        <v>1051.8796992481202</v>
      </c>
    </row>
    <row r="7" spans="1:14" ht="15.6" x14ac:dyDescent="0.3">
      <c r="B7" t="s">
        <v>168</v>
      </c>
      <c r="C7" s="21">
        <v>2</v>
      </c>
      <c r="D7" s="33">
        <v>11080</v>
      </c>
      <c r="E7" s="21">
        <f t="shared" si="0"/>
        <v>14924760</v>
      </c>
      <c r="F7" s="21">
        <v>1347</v>
      </c>
      <c r="G7" s="21">
        <f>INT(Table112[[#This Row],[Shares  bought]]*10.52)</f>
        <v>14170</v>
      </c>
      <c r="H7" s="21">
        <f>H6+F7+Table112[[#This Row],[Column1]]</f>
        <v>23177</v>
      </c>
      <c r="I7" s="21">
        <f t="shared" ref="I7:I18" si="1">I6+E7</f>
        <v>22565610</v>
      </c>
      <c r="J7" s="21">
        <f t="shared" ref="J7:J19" si="2">I7/H7</f>
        <v>973.62083099624624</v>
      </c>
      <c r="K7" s="21">
        <f t="shared" ref="K7:K19" si="3">H7*D7</f>
        <v>256801160</v>
      </c>
      <c r="L7" s="21">
        <f t="shared" ref="L7:L19" si="4">K7-I7</f>
        <v>234235550</v>
      </c>
      <c r="M7" s="21">
        <f t="shared" ref="M7:M19" si="5">100*(K7-I7)/I7</f>
        <v>1038.0200225032693</v>
      </c>
    </row>
    <row r="8" spans="1:14" ht="15.6" x14ac:dyDescent="0.3">
      <c r="B8" t="s">
        <v>181</v>
      </c>
      <c r="C8" s="23">
        <v>3</v>
      </c>
      <c r="D8" s="33">
        <v>9650</v>
      </c>
      <c r="E8" s="21">
        <f t="shared" si="0"/>
        <v>11251900</v>
      </c>
      <c r="F8" s="23">
        <v>1166</v>
      </c>
      <c r="G8" s="21">
        <f>INT(Table112[[#This Row],[Shares  bought]]*10.52)</f>
        <v>12266</v>
      </c>
      <c r="H8" s="21">
        <f>H7+F8+Table112[[#This Row],[Column1]]</f>
        <v>36609</v>
      </c>
      <c r="I8" s="21">
        <f t="shared" si="1"/>
        <v>33817510</v>
      </c>
      <c r="J8" s="23">
        <f t="shared" si="2"/>
        <v>923.74853178180228</v>
      </c>
      <c r="K8" s="23">
        <f t="shared" si="3"/>
        <v>353276850</v>
      </c>
      <c r="L8" s="23">
        <f t="shared" si="4"/>
        <v>319459340</v>
      </c>
      <c r="M8" s="23">
        <f t="shared" si="5"/>
        <v>944.65659949535018</v>
      </c>
    </row>
    <row r="9" spans="1:14" ht="15.6" x14ac:dyDescent="0.3">
      <c r="B9" t="s">
        <v>182</v>
      </c>
      <c r="C9" s="23">
        <v>4</v>
      </c>
      <c r="D9" s="33">
        <v>12510</v>
      </c>
      <c r="E9" s="21">
        <f t="shared" si="0"/>
        <v>10971270</v>
      </c>
      <c r="F9" s="23">
        <v>877</v>
      </c>
      <c r="G9" s="21">
        <f>INT(Table112[[#This Row],[Shares  bought]]*10.52)</f>
        <v>9226</v>
      </c>
      <c r="H9" s="21">
        <f>H8+F9+Table112[[#This Row],[Column1]]</f>
        <v>46712</v>
      </c>
      <c r="I9" s="21">
        <f t="shared" si="1"/>
        <v>44788780</v>
      </c>
      <c r="J9" s="23">
        <f t="shared" si="2"/>
        <v>958.82813837985952</v>
      </c>
      <c r="K9" s="23">
        <f t="shared" si="3"/>
        <v>584367120</v>
      </c>
      <c r="L9" s="23">
        <f t="shared" si="4"/>
        <v>539578340</v>
      </c>
      <c r="M9" s="23">
        <f t="shared" si="5"/>
        <v>1204.717654734065</v>
      </c>
    </row>
    <row r="10" spans="1:14" ht="15.6" x14ac:dyDescent="0.3">
      <c r="B10" t="s">
        <v>171</v>
      </c>
      <c r="C10" s="23">
        <v>5</v>
      </c>
      <c r="D10" s="21">
        <v>12720</v>
      </c>
      <c r="E10" s="21">
        <f t="shared" si="0"/>
        <v>10366800</v>
      </c>
      <c r="F10" s="23">
        <v>815</v>
      </c>
      <c r="G10" s="21">
        <f>INT(Table112[[#This Row],[Shares  bought]]*10.52)</f>
        <v>8573</v>
      </c>
      <c r="H10" s="21">
        <f>H9+F10+Table112[[#This Row],[Column1]]</f>
        <v>56100</v>
      </c>
      <c r="I10" s="21">
        <f t="shared" si="1"/>
        <v>55155580</v>
      </c>
      <c r="J10" s="23">
        <f t="shared" si="2"/>
        <v>983.16541889483062</v>
      </c>
      <c r="K10" s="23">
        <f t="shared" si="3"/>
        <v>713592000</v>
      </c>
      <c r="L10" s="23">
        <f t="shared" si="4"/>
        <v>658436420</v>
      </c>
      <c r="M10" s="23">
        <f t="shared" si="5"/>
        <v>1193.7802485260784</v>
      </c>
    </row>
    <row r="11" spans="1:14" ht="15.6" x14ac:dyDescent="0.3">
      <c r="B11" t="s">
        <v>173</v>
      </c>
      <c r="C11" s="23">
        <v>6</v>
      </c>
      <c r="D11" s="33">
        <v>14560</v>
      </c>
      <c r="E11" s="21">
        <f t="shared" si="0"/>
        <v>11458720</v>
      </c>
      <c r="F11" s="23">
        <v>787</v>
      </c>
      <c r="G11" s="21">
        <f>INT(Table112[[#This Row],[Shares  bought]]*10.52)</f>
        <v>8279</v>
      </c>
      <c r="H11" s="21">
        <f>H10+F11+Table112[[#This Row],[Column1]]</f>
        <v>65166</v>
      </c>
      <c r="I11" s="21">
        <f t="shared" si="1"/>
        <v>66614300</v>
      </c>
      <c r="J11" s="23">
        <f t="shared" si="2"/>
        <v>1022.2247797931436</v>
      </c>
      <c r="K11" s="23">
        <f t="shared" si="3"/>
        <v>948816960</v>
      </c>
      <c r="L11" s="23">
        <f t="shared" si="4"/>
        <v>882202660</v>
      </c>
      <c r="M11" s="23">
        <f t="shared" si="5"/>
        <v>1324.3442624181293</v>
      </c>
    </row>
    <row r="12" spans="1:14" ht="15.6" x14ac:dyDescent="0.3">
      <c r="B12" t="s">
        <v>174</v>
      </c>
      <c r="C12" s="23">
        <v>7</v>
      </c>
      <c r="D12" s="33">
        <v>12620</v>
      </c>
      <c r="E12" s="21">
        <f t="shared" si="0"/>
        <v>10676520</v>
      </c>
      <c r="F12" s="23">
        <v>846</v>
      </c>
      <c r="G12" s="21">
        <f>INT(Table112[[#This Row],[Shares  bought]]*10.52)</f>
        <v>8899</v>
      </c>
      <c r="H12" s="21">
        <f>H11+F12+Table112[[#This Row],[Column1]]</f>
        <v>74911</v>
      </c>
      <c r="I12" s="21">
        <f t="shared" si="1"/>
        <v>77290820</v>
      </c>
      <c r="J12" s="23">
        <f t="shared" si="2"/>
        <v>1031.7686321101039</v>
      </c>
      <c r="K12" s="23">
        <f t="shared" si="3"/>
        <v>945376820</v>
      </c>
      <c r="L12" s="23">
        <f t="shared" si="4"/>
        <v>868086000</v>
      </c>
      <c r="M12" s="23">
        <f t="shared" si="5"/>
        <v>1123.1424378729582</v>
      </c>
    </row>
    <row r="13" spans="1:14" ht="15.6" x14ac:dyDescent="0.3">
      <c r="B13" t="s">
        <v>187</v>
      </c>
      <c r="C13" s="23">
        <v>8</v>
      </c>
      <c r="D13" s="33">
        <v>12530</v>
      </c>
      <c r="E13" s="21">
        <f t="shared" si="0"/>
        <v>10550260</v>
      </c>
      <c r="F13" s="23">
        <v>842</v>
      </c>
      <c r="G13" s="21">
        <f>INT(Table112[[#This Row],[Shares  bought]]*10.52)</f>
        <v>8857</v>
      </c>
      <c r="H13" s="21">
        <f>H12+F13+Table112[[#This Row],[Column1]]</f>
        <v>84610</v>
      </c>
      <c r="I13" s="21">
        <f t="shared" si="1"/>
        <v>87841080</v>
      </c>
      <c r="J13" s="23">
        <f t="shared" si="2"/>
        <v>1038.1879210495213</v>
      </c>
      <c r="K13" s="23">
        <f t="shared" si="3"/>
        <v>1060163300</v>
      </c>
      <c r="L13" s="23">
        <f t="shared" si="4"/>
        <v>972322220</v>
      </c>
      <c r="M13" s="23">
        <f t="shared" si="5"/>
        <v>1106.9105935400612</v>
      </c>
    </row>
    <row r="14" spans="1:14" ht="15.6" x14ac:dyDescent="0.3">
      <c r="B14" t="s">
        <v>176</v>
      </c>
      <c r="C14" s="23">
        <v>9</v>
      </c>
      <c r="D14" s="33">
        <v>11070</v>
      </c>
      <c r="E14" s="21">
        <f t="shared" si="0"/>
        <v>10948230</v>
      </c>
      <c r="F14" s="23">
        <v>989</v>
      </c>
      <c r="G14" s="21">
        <f>INT(Table112[[#This Row],[Shares  bought]]*10.52)</f>
        <v>10404</v>
      </c>
      <c r="H14" s="21">
        <f>H13+F14+Table112[[#This Row],[Column1]]</f>
        <v>96003</v>
      </c>
      <c r="I14" s="21">
        <f t="shared" si="1"/>
        <v>98789310</v>
      </c>
      <c r="J14" s="23">
        <f t="shared" si="2"/>
        <v>1029.0231555263897</v>
      </c>
      <c r="K14" s="23">
        <f t="shared" si="3"/>
        <v>1062753210</v>
      </c>
      <c r="L14" s="23">
        <f t="shared" si="4"/>
        <v>963963900</v>
      </c>
      <c r="M14" s="23">
        <f t="shared" si="5"/>
        <v>975.77754111249487</v>
      </c>
    </row>
    <row r="15" spans="1:14" ht="15.6" x14ac:dyDescent="0.3">
      <c r="A15" s="35"/>
      <c r="B15" s="35" t="s">
        <v>177</v>
      </c>
      <c r="C15" s="39">
        <v>10</v>
      </c>
      <c r="D15" s="37">
        <v>11090</v>
      </c>
      <c r="E15" s="34">
        <f t="shared" si="0"/>
        <v>10557680</v>
      </c>
      <c r="F15" s="39">
        <v>952</v>
      </c>
      <c r="G15" s="21">
        <f>INT(Table112[[#This Row],[Shares  bought]]*10.52)</f>
        <v>10015</v>
      </c>
      <c r="H15" s="21">
        <f>H14+F15+Table112[[#This Row],[Column1]]</f>
        <v>106970</v>
      </c>
      <c r="I15" s="34">
        <f t="shared" si="1"/>
        <v>109346990</v>
      </c>
      <c r="J15" s="39">
        <f t="shared" si="2"/>
        <v>1022.2210900252408</v>
      </c>
      <c r="K15" s="39">
        <f t="shared" si="3"/>
        <v>1186297300</v>
      </c>
      <c r="L15" s="39">
        <f t="shared" si="4"/>
        <v>1076950310</v>
      </c>
      <c r="M15" s="39">
        <f t="shared" si="5"/>
        <v>984.89250595741134</v>
      </c>
      <c r="N15" s="35" t="s">
        <v>186</v>
      </c>
    </row>
    <row r="16" spans="1:14" ht="15.6" x14ac:dyDescent="0.3">
      <c r="A16" s="79" t="s">
        <v>188</v>
      </c>
      <c r="B16" t="s">
        <v>178</v>
      </c>
      <c r="C16" s="26">
        <v>11</v>
      </c>
      <c r="D16" s="21">
        <v>952</v>
      </c>
      <c r="E16" s="34">
        <f t="shared" si="0"/>
        <v>10610992</v>
      </c>
      <c r="F16" s="26">
        <v>11146</v>
      </c>
      <c r="G16" s="26">
        <v>0</v>
      </c>
      <c r="H16" s="21">
        <f>H15+F16+Table112[[#This Row],[Column1]]</f>
        <v>118116</v>
      </c>
      <c r="I16" s="21">
        <f t="shared" si="1"/>
        <v>119957982</v>
      </c>
      <c r="J16" s="26">
        <f t="shared" si="2"/>
        <v>1015.5946865792949</v>
      </c>
      <c r="K16" s="26">
        <f t="shared" si="3"/>
        <v>112446432</v>
      </c>
      <c r="L16" s="26">
        <f t="shared" si="4"/>
        <v>-7511550</v>
      </c>
      <c r="M16" s="26">
        <f t="shared" si="5"/>
        <v>-6.2618175754240344</v>
      </c>
    </row>
    <row r="17" spans="1:13" ht="15.6" x14ac:dyDescent="0.3">
      <c r="A17" s="79"/>
      <c r="B17" t="s">
        <v>179</v>
      </c>
      <c r="C17" s="23">
        <v>12</v>
      </c>
      <c r="D17" s="21">
        <v>952</v>
      </c>
      <c r="E17" s="34">
        <f t="shared" si="0"/>
        <v>10908968</v>
      </c>
      <c r="F17" s="23">
        <v>11459</v>
      </c>
      <c r="G17" s="23">
        <v>0</v>
      </c>
      <c r="H17" s="21">
        <f>H16+F17+Table112[[#This Row],[Column1]]</f>
        <v>129575</v>
      </c>
      <c r="I17" s="21">
        <f t="shared" si="1"/>
        <v>130866950</v>
      </c>
      <c r="J17" s="23">
        <f t="shared" si="2"/>
        <v>1009.9706733551997</v>
      </c>
      <c r="K17" s="23">
        <f t="shared" si="3"/>
        <v>123355400</v>
      </c>
      <c r="L17" s="23">
        <f t="shared" si="4"/>
        <v>-7511550</v>
      </c>
      <c r="M17" s="23">
        <f t="shared" si="5"/>
        <v>-5.7398372927618473</v>
      </c>
    </row>
    <row r="18" spans="1:13" ht="15.6" x14ac:dyDescent="0.3">
      <c r="B18" t="s">
        <v>212</v>
      </c>
      <c r="C18" s="23">
        <v>13</v>
      </c>
      <c r="D18" s="21">
        <v>1010</v>
      </c>
      <c r="E18" s="21">
        <v>12699740</v>
      </c>
      <c r="F18" s="23">
        <v>12574</v>
      </c>
      <c r="G18" s="23">
        <v>0</v>
      </c>
      <c r="H18" s="21">
        <f>H17+F18+Table112[[#This Row],[Column1]]</f>
        <v>142149</v>
      </c>
      <c r="I18" s="21">
        <f t="shared" si="1"/>
        <v>143566690</v>
      </c>
      <c r="J18" s="23">
        <f t="shared" si="2"/>
        <v>1009.9732674869327</v>
      </c>
      <c r="K18" s="23">
        <f t="shared" si="3"/>
        <v>143570490</v>
      </c>
      <c r="L18" s="23">
        <f t="shared" si="4"/>
        <v>3800</v>
      </c>
      <c r="M18" s="23">
        <f t="shared" si="5"/>
        <v>2.6468535284890947E-3</v>
      </c>
    </row>
    <row r="19" spans="1:13" ht="15.6" x14ac:dyDescent="0.3">
      <c r="B19" t="s">
        <v>213</v>
      </c>
      <c r="C19" s="23">
        <v>14</v>
      </c>
      <c r="D19" s="21">
        <v>1021</v>
      </c>
      <c r="E19" s="21">
        <v>13649749</v>
      </c>
      <c r="F19" s="23">
        <v>13369</v>
      </c>
      <c r="G19" s="23">
        <v>0</v>
      </c>
      <c r="H19" s="21">
        <f>H18+F19+Table112[[#This Row],[Column1]]</f>
        <v>155518</v>
      </c>
      <c r="I19" s="21">
        <f>I18+E19</f>
        <v>157216439</v>
      </c>
      <c r="J19" s="23">
        <f t="shared" si="2"/>
        <v>1010.9211731117941</v>
      </c>
      <c r="K19" s="23">
        <f t="shared" si="3"/>
        <v>158783878</v>
      </c>
      <c r="L19" s="23">
        <f t="shared" si="4"/>
        <v>1567439</v>
      </c>
      <c r="M19" s="23">
        <f t="shared" si="5"/>
        <v>0.99699434103071116</v>
      </c>
    </row>
    <row r="20" spans="1:13" ht="15.6" x14ac:dyDescent="0.3">
      <c r="B20" t="s">
        <v>214</v>
      </c>
      <c r="C20" s="55">
        <v>15</v>
      </c>
      <c r="D20" s="55">
        <v>1000</v>
      </c>
      <c r="E20" s="55">
        <v>13949000</v>
      </c>
      <c r="F20" s="55">
        <v>13949</v>
      </c>
      <c r="G20" s="55">
        <v>0</v>
      </c>
      <c r="H20" s="21">
        <f>H19+F20+Table112[[#This Row],[Column1]]</f>
        <v>169467</v>
      </c>
      <c r="I20" s="21">
        <f t="shared" ref="I20:I24" si="6">I19+E20</f>
        <v>171165439</v>
      </c>
      <c r="J20" s="55">
        <f>I20/H20</f>
        <v>1010.022240318174</v>
      </c>
      <c r="K20" s="55">
        <f>H20*D20</f>
        <v>169467000</v>
      </c>
      <c r="L20" s="55">
        <f>K20-I20</f>
        <v>-1698439</v>
      </c>
      <c r="M20" s="55">
        <f>100*(K20-I20)/I20</f>
        <v>-0.9922791714979331</v>
      </c>
    </row>
    <row r="21" spans="1:13" ht="15.6" x14ac:dyDescent="0.3">
      <c r="B21" t="s">
        <v>215</v>
      </c>
      <c r="C21" s="55">
        <v>16</v>
      </c>
      <c r="D21" s="55">
        <v>940</v>
      </c>
      <c r="E21" s="55">
        <v>9963060</v>
      </c>
      <c r="F21" s="55">
        <v>10599</v>
      </c>
      <c r="G21" s="55">
        <v>0</v>
      </c>
      <c r="H21" s="21">
        <f>H20+F21+Table112[[#This Row],[Column1]]</f>
        <v>180066</v>
      </c>
      <c r="I21" s="21">
        <f t="shared" si="6"/>
        <v>181128499</v>
      </c>
      <c r="J21" s="55">
        <f>I21/H21</f>
        <v>1005.9006086657115</v>
      </c>
      <c r="K21" s="55">
        <f>H21*D21</f>
        <v>169262040</v>
      </c>
      <c r="L21" s="55">
        <f>K21-I21</f>
        <v>-11866459</v>
      </c>
      <c r="M21" s="55">
        <f>100*(K21-I21)/I21</f>
        <v>-6.5514035977298084</v>
      </c>
    </row>
    <row r="22" spans="1:13" ht="15.6" x14ac:dyDescent="0.3">
      <c r="B22" t="s">
        <v>216</v>
      </c>
      <c r="C22" s="55">
        <v>17</v>
      </c>
      <c r="D22" s="55">
        <v>919</v>
      </c>
      <c r="E22" s="55">
        <v>9963798</v>
      </c>
      <c r="F22" s="55">
        <v>10842</v>
      </c>
      <c r="G22" s="55">
        <v>0</v>
      </c>
      <c r="H22" s="21">
        <f>H21+F22+Table112[[#This Row],[Column1]]</f>
        <v>190908</v>
      </c>
      <c r="I22" s="21">
        <f t="shared" si="6"/>
        <v>191092297</v>
      </c>
      <c r="J22" s="55">
        <f>I22/H22</f>
        <v>1000.9653707544995</v>
      </c>
      <c r="K22" s="55">
        <f>H22*D22</f>
        <v>175444452</v>
      </c>
      <c r="L22" s="55">
        <f>K22-I22</f>
        <v>-15647845</v>
      </c>
      <c r="M22" s="55">
        <f>100*(K22-I22)/I22</f>
        <v>-8.1886320095885399</v>
      </c>
    </row>
    <row r="23" spans="1:13" ht="15.6" x14ac:dyDescent="0.3">
      <c r="B23" t="s">
        <v>217</v>
      </c>
      <c r="C23" s="55">
        <v>18</v>
      </c>
      <c r="D23" s="55">
        <v>964</v>
      </c>
      <c r="E23" s="55">
        <v>9963904</v>
      </c>
      <c r="F23" s="55">
        <v>10336</v>
      </c>
      <c r="G23" s="55">
        <v>0</v>
      </c>
      <c r="H23" s="21">
        <f>H22+F23+Table112[[#This Row],[Column1]]</f>
        <v>201244</v>
      </c>
      <c r="I23" s="21">
        <f t="shared" si="6"/>
        <v>201056201</v>
      </c>
      <c r="J23" s="55">
        <f>I23/H23</f>
        <v>999.06680944525056</v>
      </c>
      <c r="K23" s="55">
        <f>H23*D23</f>
        <v>193999216</v>
      </c>
      <c r="L23" s="55">
        <f>K23-I23</f>
        <v>-7056985</v>
      </c>
      <c r="M23" s="55">
        <f>100*(K23-I23)/I23</f>
        <v>-3.5099564026876244</v>
      </c>
    </row>
    <row r="24" spans="1:13" ht="15.6" x14ac:dyDescent="0.3">
      <c r="B24" t="s">
        <v>243</v>
      </c>
      <c r="C24" s="55">
        <v>19</v>
      </c>
      <c r="D24" s="55">
        <v>897</v>
      </c>
      <c r="E24" s="55">
        <f>Table112[[#This Row],[Shares price]]*Table112[[#This Row],[Shares  bought]]</f>
        <v>1390350</v>
      </c>
      <c r="F24" s="55">
        <v>1550</v>
      </c>
      <c r="G24" s="55">
        <v>0</v>
      </c>
      <c r="H24" s="21">
        <f>H23+F24+Table112[[#This Row],[Column1]]</f>
        <v>202794</v>
      </c>
      <c r="I24" s="21">
        <f t="shared" si="6"/>
        <v>202446551</v>
      </c>
      <c r="J24" s="55">
        <f>I24/H24</f>
        <v>998.28668994151701</v>
      </c>
      <c r="K24" s="55">
        <f>H24*D24</f>
        <v>181906218</v>
      </c>
      <c r="L24" s="55">
        <f>K24-I24</f>
        <v>-20540333</v>
      </c>
      <c r="M24" s="55">
        <f>100*(K24-I24)/I24</f>
        <v>-10.146052327658573</v>
      </c>
    </row>
  </sheetData>
  <mergeCells count="1">
    <mergeCell ref="A16:A17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topLeftCell="A3" workbookViewId="0">
      <selection activeCell="H24" sqref="H24"/>
    </sheetView>
  </sheetViews>
  <sheetFormatPr defaultRowHeight="14.4" x14ac:dyDescent="0.3"/>
  <cols>
    <col min="2" max="2" width="14.6640625" bestFit="1" customWidth="1"/>
    <col min="4" max="5" width="13.109375" customWidth="1"/>
    <col min="6" max="7" width="14" customWidth="1"/>
    <col min="8" max="8" width="22.6640625" customWidth="1"/>
    <col min="9" max="9" width="17.33203125" customWidth="1"/>
    <col min="10" max="10" width="17.77734375" customWidth="1"/>
    <col min="11" max="11" width="19.21875" customWidth="1"/>
    <col min="12" max="12" width="16.109375" customWidth="1"/>
    <col min="13" max="13" width="15.33203125" customWidth="1"/>
  </cols>
  <sheetData>
    <row r="2" spans="1:15" ht="31.2" x14ac:dyDescent="0.6">
      <c r="H2" s="15"/>
    </row>
    <row r="4" spans="1:15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186</v>
      </c>
      <c r="H4" s="16" t="s">
        <v>140</v>
      </c>
      <c r="I4" s="16" t="s">
        <v>122</v>
      </c>
      <c r="J4" s="16" t="s">
        <v>141</v>
      </c>
      <c r="K4" s="16" t="s">
        <v>142</v>
      </c>
      <c r="L4" s="16" t="s">
        <v>123</v>
      </c>
      <c r="M4" s="16" t="s">
        <v>143</v>
      </c>
      <c r="N4" s="16" t="s">
        <v>189</v>
      </c>
    </row>
    <row r="5" spans="1:15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209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  <c r="N5" s="19" t="s">
        <v>156</v>
      </c>
    </row>
    <row r="6" spans="1:15" ht="15.6" x14ac:dyDescent="0.3">
      <c r="B6" t="s">
        <v>167</v>
      </c>
      <c r="C6" s="21">
        <v>1</v>
      </c>
      <c r="D6" s="33">
        <v>23770</v>
      </c>
      <c r="E6" s="21">
        <f t="shared" ref="E6:E17" si="0">D6*F6</f>
        <v>7606400</v>
      </c>
      <c r="F6" s="21">
        <v>320</v>
      </c>
      <c r="G6" s="21">
        <f>INT(Table111[[#This Row],[Shares  bought]]*1.14)</f>
        <v>364</v>
      </c>
      <c r="H6" s="21">
        <f>Table111[[#This Row],[Column2]]+Table111[[#This Row],[Shares  bought]]</f>
        <v>684</v>
      </c>
      <c r="I6" s="21">
        <v>7606400</v>
      </c>
      <c r="J6" s="21">
        <f>I6/H6</f>
        <v>11120.46783625731</v>
      </c>
      <c r="K6" s="21">
        <f>H6*D6</f>
        <v>16258680</v>
      </c>
      <c r="L6" s="21">
        <f>K6-I6</f>
        <v>8652280</v>
      </c>
      <c r="M6" s="21">
        <f>100*(K6-I6)/I6</f>
        <v>113.75</v>
      </c>
      <c r="N6" s="23" t="e">
        <f t="shared" ref="N6:N11" si="1">_xlfn.STDEV.S(D1:D6)</f>
        <v>#DIV/0!</v>
      </c>
    </row>
    <row r="7" spans="1:15" ht="15.6" x14ac:dyDescent="0.3">
      <c r="B7" t="s">
        <v>168</v>
      </c>
      <c r="C7" s="21">
        <v>2</v>
      </c>
      <c r="D7" s="33">
        <v>21590</v>
      </c>
      <c r="E7" s="21">
        <f t="shared" si="0"/>
        <v>14940280</v>
      </c>
      <c r="F7" s="21">
        <v>692</v>
      </c>
      <c r="G7" s="21">
        <f>INT(Table111[[#This Row],[Shares  bought]]*1.14)</f>
        <v>788</v>
      </c>
      <c r="H7" s="21">
        <f>H6+F7+Table111[[#This Row],[Column2]]</f>
        <v>2164</v>
      </c>
      <c r="I7" s="21">
        <f t="shared" ref="I7:I24" si="2">I6+E7</f>
        <v>22546680</v>
      </c>
      <c r="J7" s="21">
        <f t="shared" ref="J7:J19" si="3">I7/H7</f>
        <v>10418.98336414048</v>
      </c>
      <c r="K7" s="21">
        <f t="shared" ref="K7:K19" si="4">H7*D7</f>
        <v>46720760</v>
      </c>
      <c r="L7" s="21">
        <f t="shared" ref="L7:L19" si="5">K7-I7</f>
        <v>24174080</v>
      </c>
      <c r="M7" s="21">
        <f t="shared" ref="M7:M19" si="6">100*(K7-I7)/I7</f>
        <v>107.21791412305492</v>
      </c>
      <c r="N7" s="23">
        <f t="shared" si="1"/>
        <v>1541.4927829866735</v>
      </c>
    </row>
    <row r="8" spans="1:15" ht="15.6" x14ac:dyDescent="0.3">
      <c r="B8" t="s">
        <v>181</v>
      </c>
      <c r="C8" s="23">
        <v>3</v>
      </c>
      <c r="D8" s="33">
        <v>22380</v>
      </c>
      <c r="E8" s="21">
        <f t="shared" si="0"/>
        <v>11324280</v>
      </c>
      <c r="F8" s="23">
        <v>506</v>
      </c>
      <c r="G8" s="21">
        <f>INT(Table111[[#This Row],[Shares  bought]]*1.14)</f>
        <v>576</v>
      </c>
      <c r="H8" s="21">
        <f>H7+F8+Table111[[#This Row],[Column2]]</f>
        <v>3246</v>
      </c>
      <c r="I8" s="21">
        <f t="shared" si="2"/>
        <v>33870960</v>
      </c>
      <c r="J8" s="23">
        <f t="shared" si="3"/>
        <v>10434.676524953789</v>
      </c>
      <c r="K8" s="23">
        <f t="shared" si="4"/>
        <v>72645480</v>
      </c>
      <c r="L8" s="23">
        <f t="shared" si="5"/>
        <v>38774520</v>
      </c>
      <c r="M8" s="23">
        <f t="shared" si="6"/>
        <v>114.47718045192696</v>
      </c>
      <c r="N8" s="23">
        <f t="shared" si="1"/>
        <v>1103.6756769993619</v>
      </c>
    </row>
    <row r="9" spans="1:15" ht="15.6" x14ac:dyDescent="0.3">
      <c r="B9" t="s">
        <v>182</v>
      </c>
      <c r="C9" s="23">
        <v>4</v>
      </c>
      <c r="D9" s="33">
        <v>24910</v>
      </c>
      <c r="E9" s="21">
        <f t="shared" si="0"/>
        <v>10985310</v>
      </c>
      <c r="F9" s="23">
        <v>441</v>
      </c>
      <c r="G9" s="21">
        <f>INT(Table111[[#This Row],[Shares  bought]]*1.14)</f>
        <v>502</v>
      </c>
      <c r="H9" s="21">
        <f>H8+F9+Table111[[#This Row],[Column2]]</f>
        <v>4189</v>
      </c>
      <c r="I9" s="21">
        <f t="shared" si="2"/>
        <v>44856270</v>
      </c>
      <c r="J9" s="23">
        <f t="shared" si="3"/>
        <v>10708.109333969922</v>
      </c>
      <c r="K9" s="23">
        <f>H9*D9</f>
        <v>104347990</v>
      </c>
      <c r="L9" s="23">
        <f t="shared" si="5"/>
        <v>59491720</v>
      </c>
      <c r="M9" s="23">
        <f t="shared" si="6"/>
        <v>132.62743424720782</v>
      </c>
      <c r="N9" s="23">
        <f t="shared" si="1"/>
        <v>1472.8515426432721</v>
      </c>
    </row>
    <row r="10" spans="1:15" ht="15.6" x14ac:dyDescent="0.3">
      <c r="B10" t="s">
        <v>171</v>
      </c>
      <c r="C10" s="23">
        <v>5</v>
      </c>
      <c r="D10" s="33">
        <v>27800</v>
      </c>
      <c r="E10" s="21">
        <f t="shared" si="0"/>
        <v>10369400</v>
      </c>
      <c r="F10" s="23">
        <v>373</v>
      </c>
      <c r="G10" s="21">
        <f>INT(Table111[[#This Row],[Shares  bought]]*1.14)</f>
        <v>425</v>
      </c>
      <c r="H10" s="21">
        <f>H9+F10+Table111[[#This Row],[Column2]]</f>
        <v>4987</v>
      </c>
      <c r="I10" s="21">
        <f t="shared" si="2"/>
        <v>55225670</v>
      </c>
      <c r="J10" s="23">
        <f t="shared" si="3"/>
        <v>11073.926208141167</v>
      </c>
      <c r="K10" s="23">
        <f t="shared" si="4"/>
        <v>138638600</v>
      </c>
      <c r="L10" s="23">
        <f t="shared" si="5"/>
        <v>83412930</v>
      </c>
      <c r="M10" s="23">
        <f t="shared" si="6"/>
        <v>151.04014129661078</v>
      </c>
      <c r="N10" s="23">
        <f t="shared" si="1"/>
        <v>2434.7997864300874</v>
      </c>
    </row>
    <row r="11" spans="1:15" ht="15.6" x14ac:dyDescent="0.3">
      <c r="B11" t="s">
        <v>173</v>
      </c>
      <c r="C11" s="23">
        <v>6</v>
      </c>
      <c r="D11" s="33">
        <v>30840</v>
      </c>
      <c r="E11" s="21">
        <f t="shared" si="0"/>
        <v>11472480</v>
      </c>
      <c r="F11" s="23">
        <v>372</v>
      </c>
      <c r="G11" s="21">
        <f>INT(Table111[[#This Row],[Shares  bought]]*1.14)</f>
        <v>424</v>
      </c>
      <c r="H11" s="21">
        <f>H10+F11+Table111[[#This Row],[Column2]]</f>
        <v>5783</v>
      </c>
      <c r="I11" s="21">
        <f t="shared" si="2"/>
        <v>66698150</v>
      </c>
      <c r="J11" s="23">
        <f t="shared" si="3"/>
        <v>11533.486079889331</v>
      </c>
      <c r="K11" s="23">
        <f t="shared" si="4"/>
        <v>178347720</v>
      </c>
      <c r="L11" s="23">
        <f t="shared" si="5"/>
        <v>111649570</v>
      </c>
      <c r="M11" s="23">
        <f t="shared" si="6"/>
        <v>167.3953025683621</v>
      </c>
      <c r="N11" s="23">
        <f t="shared" si="1"/>
        <v>3512.3140520175584</v>
      </c>
    </row>
    <row r="12" spans="1:15" ht="15.6" x14ac:dyDescent="0.3">
      <c r="B12" t="s">
        <v>174</v>
      </c>
      <c r="C12" s="23">
        <v>7</v>
      </c>
      <c r="D12" s="33">
        <v>27220</v>
      </c>
      <c r="E12" s="21">
        <f t="shared" si="0"/>
        <v>10833560</v>
      </c>
      <c r="F12" s="23">
        <v>398</v>
      </c>
      <c r="G12" s="21">
        <f>INT(Table111[[#This Row],[Shares  bought]]*1.14)</f>
        <v>453</v>
      </c>
      <c r="H12" s="21">
        <f>H11+F12+Table111[[#This Row],[Column2]]</f>
        <v>6634</v>
      </c>
      <c r="I12" s="21">
        <f t="shared" si="2"/>
        <v>77531710</v>
      </c>
      <c r="J12" s="23">
        <f t="shared" si="3"/>
        <v>11687.022912270124</v>
      </c>
      <c r="K12" s="23">
        <f t="shared" si="4"/>
        <v>180577480</v>
      </c>
      <c r="L12" s="23">
        <f t="shared" si="5"/>
        <v>103045770</v>
      </c>
      <c r="M12" s="23">
        <f t="shared" si="6"/>
        <v>132.90790310184053</v>
      </c>
      <c r="N12" s="23">
        <f>_xlfn.STDEV.S(D6:D12)</f>
        <v>3294.6291069528565</v>
      </c>
    </row>
    <row r="13" spans="1:15" ht="15.6" x14ac:dyDescent="0.3">
      <c r="B13" t="s">
        <v>175</v>
      </c>
      <c r="C13" s="23">
        <v>8</v>
      </c>
      <c r="D13" s="33">
        <v>28200</v>
      </c>
      <c r="E13" s="21">
        <f t="shared" si="0"/>
        <v>10687800</v>
      </c>
      <c r="F13" s="23">
        <v>379</v>
      </c>
      <c r="G13" s="21">
        <f>INT(Table111[[#This Row],[Shares  bought]]*1.14)</f>
        <v>432</v>
      </c>
      <c r="H13" s="21">
        <f>H12+F13+Table111[[#This Row],[Column2]]</f>
        <v>7445</v>
      </c>
      <c r="I13" s="21">
        <f t="shared" si="2"/>
        <v>88219510</v>
      </c>
      <c r="J13" s="23">
        <f t="shared" si="3"/>
        <v>11849.497649429148</v>
      </c>
      <c r="K13" s="23">
        <f t="shared" si="4"/>
        <v>209949000</v>
      </c>
      <c r="L13" s="23">
        <f t="shared" si="5"/>
        <v>121729490</v>
      </c>
      <c r="M13" s="23">
        <f t="shared" si="6"/>
        <v>137.98477230263464</v>
      </c>
      <c r="N13" s="23">
        <f>_xlfn.STDEV.S(D6:D13)</f>
        <v>3195.9681631705907</v>
      </c>
    </row>
    <row r="14" spans="1:15" ht="15.6" x14ac:dyDescent="0.3">
      <c r="B14" t="s">
        <v>176</v>
      </c>
      <c r="C14" s="23">
        <v>9</v>
      </c>
      <c r="D14" s="33">
        <v>27780</v>
      </c>
      <c r="E14" s="21">
        <f t="shared" si="0"/>
        <v>10973100</v>
      </c>
      <c r="F14" s="23">
        <v>395</v>
      </c>
      <c r="G14" s="21">
        <f>INT(Table111[[#This Row],[Shares  bought]]*1.14)</f>
        <v>450</v>
      </c>
      <c r="H14" s="21">
        <f>H13+F14+Table111[[#This Row],[Column2]]</f>
        <v>8290</v>
      </c>
      <c r="I14" s="21">
        <f>I13+D14</f>
        <v>88247290</v>
      </c>
      <c r="J14" s="23">
        <f t="shared" si="3"/>
        <v>10645.028950542823</v>
      </c>
      <c r="K14" s="23">
        <f t="shared" si="4"/>
        <v>230296200</v>
      </c>
      <c r="L14" s="23">
        <f t="shared" si="5"/>
        <v>142048910</v>
      </c>
      <c r="M14" s="23">
        <f t="shared" si="6"/>
        <v>160.96688068268159</v>
      </c>
      <c r="N14" s="23">
        <f>_xlfn.STDEV.S(D6:D14)</f>
        <v>3058.7828915726909</v>
      </c>
    </row>
    <row r="15" spans="1:15" ht="15.6" x14ac:dyDescent="0.3">
      <c r="B15" t="s">
        <v>177</v>
      </c>
      <c r="C15" s="23">
        <v>10</v>
      </c>
      <c r="D15" s="33">
        <v>29890</v>
      </c>
      <c r="E15" s="21">
        <f t="shared" si="0"/>
        <v>10461500</v>
      </c>
      <c r="F15" s="23">
        <v>350</v>
      </c>
      <c r="G15" s="21">
        <f>INT(Table111[[#This Row],[Shares  bought]]*1.14)</f>
        <v>399</v>
      </c>
      <c r="H15" s="21">
        <f>H14+F15+Table111[[#This Row],[Column2]]</f>
        <v>9039</v>
      </c>
      <c r="I15" s="21">
        <f t="shared" si="2"/>
        <v>98708790</v>
      </c>
      <c r="J15" s="23">
        <f t="shared" si="3"/>
        <v>10920.321938267507</v>
      </c>
      <c r="K15" s="23">
        <f t="shared" si="4"/>
        <v>270175710</v>
      </c>
      <c r="L15" s="23">
        <f t="shared" si="5"/>
        <v>171466920</v>
      </c>
      <c r="M15" s="23">
        <f t="shared" si="6"/>
        <v>173.70987933293478</v>
      </c>
      <c r="N15" s="23">
        <f>_xlfn.STDEV.S(D6:D15)</f>
        <v>3128.5346232523762</v>
      </c>
    </row>
    <row r="16" spans="1:15" ht="15.6" x14ac:dyDescent="0.3">
      <c r="A16" s="35"/>
      <c r="B16" s="35" t="s">
        <v>178</v>
      </c>
      <c r="C16" s="36">
        <v>11</v>
      </c>
      <c r="D16" s="37">
        <v>27490</v>
      </c>
      <c r="E16" s="34">
        <f t="shared" si="0"/>
        <v>10666120</v>
      </c>
      <c r="F16" s="36">
        <v>388</v>
      </c>
      <c r="G16" s="21">
        <f>INT(Table111[[#This Row],[Shares  bought]]*1.14)</f>
        <v>442</v>
      </c>
      <c r="H16" s="21">
        <f>H15+F16+Table111[[#This Row],[Column2]]</f>
        <v>9869</v>
      </c>
      <c r="I16" s="34">
        <f t="shared" si="2"/>
        <v>109374910</v>
      </c>
      <c r="J16" s="36">
        <f t="shared" si="3"/>
        <v>11082.674029790252</v>
      </c>
      <c r="K16" s="36">
        <f t="shared" si="4"/>
        <v>271298810</v>
      </c>
      <c r="L16" s="36">
        <f t="shared" si="5"/>
        <v>161923900</v>
      </c>
      <c r="M16" s="36">
        <f t="shared" si="6"/>
        <v>148.04483039117471</v>
      </c>
      <c r="N16" s="39">
        <f>_xlfn.STDEV.S(D6:D16)</f>
        <v>2984.8895213299766</v>
      </c>
      <c r="O16" s="35" t="s">
        <v>186</v>
      </c>
    </row>
    <row r="17" spans="2:14" ht="15.6" x14ac:dyDescent="0.3">
      <c r="B17" t="s">
        <v>190</v>
      </c>
      <c r="C17" s="23">
        <v>12</v>
      </c>
      <c r="D17" s="21">
        <v>14500</v>
      </c>
      <c r="E17" s="21">
        <f t="shared" si="0"/>
        <v>10962000</v>
      </c>
      <c r="F17" s="23">
        <v>756</v>
      </c>
      <c r="G17" s="23">
        <v>0</v>
      </c>
      <c r="H17" s="21">
        <f>H16+F17+Table111[[#This Row],[Column2]]</f>
        <v>10625</v>
      </c>
      <c r="I17" s="21">
        <f t="shared" si="2"/>
        <v>120336910</v>
      </c>
      <c r="J17" s="23">
        <f t="shared" si="3"/>
        <v>11325.826823529413</v>
      </c>
      <c r="K17" s="23">
        <f t="shared" si="4"/>
        <v>154062500</v>
      </c>
      <c r="L17" s="23">
        <f t="shared" si="5"/>
        <v>33725590</v>
      </c>
      <c r="M17" s="23">
        <f t="shared" si="6"/>
        <v>28.02597307841792</v>
      </c>
      <c r="N17" s="23">
        <f>_xlfn.STDEV.S(D6:D17)</f>
        <v>4490.7651875484426</v>
      </c>
    </row>
    <row r="18" spans="2:14" ht="15.6" x14ac:dyDescent="0.3">
      <c r="B18" t="s">
        <v>212</v>
      </c>
      <c r="C18" s="23">
        <v>13</v>
      </c>
      <c r="D18" s="21">
        <v>15800</v>
      </c>
      <c r="E18" s="21">
        <v>12687400</v>
      </c>
      <c r="F18" s="23">
        <v>803</v>
      </c>
      <c r="G18" s="23">
        <v>0</v>
      </c>
      <c r="H18" s="21">
        <f t="shared" ref="H18" si="7">H17+F18</f>
        <v>11428</v>
      </c>
      <c r="I18" s="21">
        <f t="shared" si="2"/>
        <v>133024310</v>
      </c>
      <c r="J18" s="23">
        <f t="shared" si="3"/>
        <v>11640.209135456773</v>
      </c>
      <c r="K18" s="23">
        <f t="shared" si="4"/>
        <v>180562400</v>
      </c>
      <c r="L18" s="23">
        <f t="shared" si="5"/>
        <v>47538090</v>
      </c>
      <c r="M18" s="23">
        <f t="shared" si="6"/>
        <v>35.736392844285376</v>
      </c>
      <c r="N18" s="23">
        <f>_xlfn.STDEV.S(D6:D18)</f>
        <v>5076.4327269027444</v>
      </c>
    </row>
    <row r="19" spans="2:14" ht="15.6" x14ac:dyDescent="0.3">
      <c r="B19" t="s">
        <v>213</v>
      </c>
      <c r="C19" s="23">
        <v>14</v>
      </c>
      <c r="D19" s="21">
        <v>15750</v>
      </c>
      <c r="E19" s="21">
        <v>13655250</v>
      </c>
      <c r="F19" s="23">
        <v>867</v>
      </c>
      <c r="G19" s="23">
        <v>0</v>
      </c>
      <c r="H19" s="21">
        <f>H18+F19</f>
        <v>12295</v>
      </c>
      <c r="I19" s="21">
        <f t="shared" si="2"/>
        <v>146679560</v>
      </c>
      <c r="J19" s="23">
        <f t="shared" si="3"/>
        <v>11930.017080113867</v>
      </c>
      <c r="K19" s="23">
        <f t="shared" si="4"/>
        <v>193646250</v>
      </c>
      <c r="L19" s="23">
        <f t="shared" si="5"/>
        <v>46966690</v>
      </c>
      <c r="M19" s="23">
        <f t="shared" si="6"/>
        <v>32.019928339026926</v>
      </c>
      <c r="N19" s="56">
        <f>_xlfn.STDEV.S(D6:D29)</f>
        <v>6760.1827028149592</v>
      </c>
    </row>
    <row r="20" spans="2:14" ht="15.6" x14ac:dyDescent="0.3">
      <c r="B20" t="s">
        <v>214</v>
      </c>
      <c r="C20" s="55">
        <v>15</v>
      </c>
      <c r="D20" s="55">
        <v>16190</v>
      </c>
      <c r="E20" s="55">
        <v>13955780</v>
      </c>
      <c r="F20" s="55">
        <v>862</v>
      </c>
      <c r="G20" s="23">
        <v>0</v>
      </c>
      <c r="H20" s="21">
        <f t="shared" ref="H20:H29" si="8">H19+F20</f>
        <v>13157</v>
      </c>
      <c r="I20" s="21">
        <f t="shared" si="2"/>
        <v>160635340</v>
      </c>
      <c r="J20" s="55">
        <f t="shared" ref="J20:J29" si="9">I20/H20</f>
        <v>12209.116059892072</v>
      </c>
      <c r="K20" s="55">
        <f t="shared" ref="K20:K29" si="10">H20*D20</f>
        <v>213011830</v>
      </c>
      <c r="L20" s="55">
        <f t="shared" ref="L20:L29" si="11">K20-I20</f>
        <v>52376490</v>
      </c>
      <c r="M20" s="55">
        <f t="shared" ref="M20:M29" si="12">100*(K20-I20)/I20</f>
        <v>32.605832564614985</v>
      </c>
      <c r="N20" s="55">
        <f t="shared" ref="N20:N29" si="13">_xlfn.STDEV.S(D15:D20)</f>
        <v>6846.2651618723257</v>
      </c>
    </row>
    <row r="21" spans="2:14" ht="15.6" x14ac:dyDescent="0.3">
      <c r="B21" t="s">
        <v>215</v>
      </c>
      <c r="C21" s="55">
        <v>16</v>
      </c>
      <c r="D21" s="55">
        <v>15800</v>
      </c>
      <c r="E21" s="55">
        <v>13888200</v>
      </c>
      <c r="F21" s="55">
        <v>879</v>
      </c>
      <c r="G21" s="23">
        <v>0</v>
      </c>
      <c r="H21" s="21">
        <f t="shared" si="8"/>
        <v>14036</v>
      </c>
      <c r="I21" s="21">
        <f t="shared" si="2"/>
        <v>174523540</v>
      </c>
      <c r="J21" s="55">
        <f t="shared" si="9"/>
        <v>12433.994015389</v>
      </c>
      <c r="K21" s="55">
        <f t="shared" si="10"/>
        <v>221768800</v>
      </c>
      <c r="L21" s="55">
        <f t="shared" si="11"/>
        <v>47245260</v>
      </c>
      <c r="M21" s="55">
        <f t="shared" si="12"/>
        <v>27.070995694907403</v>
      </c>
      <c r="N21" s="55">
        <f t="shared" si="13"/>
        <v>4884.9131687949839</v>
      </c>
    </row>
    <row r="22" spans="2:14" ht="15.6" x14ac:dyDescent="0.3">
      <c r="B22" t="s">
        <v>216</v>
      </c>
      <c r="C22" s="55">
        <v>17</v>
      </c>
      <c r="D22" s="55">
        <v>13700</v>
      </c>
      <c r="E22" s="55">
        <v>14453500</v>
      </c>
      <c r="F22" s="55">
        <v>1055</v>
      </c>
      <c r="G22" s="23">
        <v>0</v>
      </c>
      <c r="H22" s="21">
        <f t="shared" si="8"/>
        <v>15091</v>
      </c>
      <c r="I22" s="21">
        <f t="shared" si="2"/>
        <v>188977040</v>
      </c>
      <c r="J22" s="55">
        <f t="shared" si="9"/>
        <v>12522.499503015042</v>
      </c>
      <c r="K22" s="55">
        <f t="shared" si="10"/>
        <v>206746700</v>
      </c>
      <c r="L22" s="55">
        <f t="shared" si="11"/>
        <v>17769660</v>
      </c>
      <c r="M22" s="55">
        <f t="shared" si="12"/>
        <v>9.4030788078805756</v>
      </c>
      <c r="N22" s="55">
        <f t="shared" si="13"/>
        <v>968.91692110314602</v>
      </c>
    </row>
    <row r="23" spans="2:14" ht="15.6" x14ac:dyDescent="0.3">
      <c r="B23" t="s">
        <v>217</v>
      </c>
      <c r="C23" s="55">
        <v>18</v>
      </c>
      <c r="D23" s="55">
        <v>12010</v>
      </c>
      <c r="E23" s="55">
        <f>Table111[[#This Row],[Shares  bought]]*Table111[[#This Row],[Shares price]]</f>
        <v>13955620</v>
      </c>
      <c r="F23" s="55">
        <v>1162</v>
      </c>
      <c r="G23" s="23">
        <v>0</v>
      </c>
      <c r="H23" s="21">
        <f t="shared" si="8"/>
        <v>16253</v>
      </c>
      <c r="I23" s="21">
        <f t="shared" si="2"/>
        <v>202932660</v>
      </c>
      <c r="J23" s="55">
        <f t="shared" si="9"/>
        <v>12485.858610718022</v>
      </c>
      <c r="K23" s="55">
        <f t="shared" si="10"/>
        <v>195198530</v>
      </c>
      <c r="L23" s="55">
        <f t="shared" si="11"/>
        <v>-7734130</v>
      </c>
      <c r="M23" s="55">
        <f t="shared" si="12"/>
        <v>-3.8111805167290469</v>
      </c>
      <c r="N23" s="55">
        <f t="shared" si="13"/>
        <v>1661.0207704902427</v>
      </c>
    </row>
    <row r="24" spans="2:14" ht="15.6" x14ac:dyDescent="0.3">
      <c r="B24" t="s">
        <v>243</v>
      </c>
      <c r="C24" s="23">
        <v>19</v>
      </c>
      <c r="D24" s="23">
        <v>10140</v>
      </c>
      <c r="E24" s="55">
        <f>Table111[[#This Row],[Shares  bought]]*Table111[[#This Row],[Shares price]]</f>
        <v>13952640</v>
      </c>
      <c r="F24" s="23">
        <v>1376</v>
      </c>
      <c r="G24" s="23">
        <v>0</v>
      </c>
      <c r="H24" s="21">
        <f t="shared" si="8"/>
        <v>17629</v>
      </c>
      <c r="I24" s="21">
        <f t="shared" si="2"/>
        <v>216885300</v>
      </c>
      <c r="J24" s="23">
        <f t="shared" si="9"/>
        <v>12302.756821146973</v>
      </c>
      <c r="K24" s="23">
        <f t="shared" si="10"/>
        <v>178758060</v>
      </c>
      <c r="L24" s="23">
        <f t="shared" si="11"/>
        <v>-38127240</v>
      </c>
      <c r="M24" s="23">
        <f t="shared" si="12"/>
        <v>-17.579448676327996</v>
      </c>
      <c r="N24" s="23">
        <f t="shared" si="13"/>
        <v>2450.3176664805424</v>
      </c>
    </row>
    <row r="25" spans="2:14" ht="15.6" x14ac:dyDescent="0.3">
      <c r="C25" s="23"/>
      <c r="D25" s="23"/>
      <c r="E25" s="55"/>
      <c r="F25" s="23" t="e">
        <f t="shared" ref="F25:F29" si="14">E25/D25</f>
        <v>#DIV/0!</v>
      </c>
      <c r="G25" s="23">
        <v>0</v>
      </c>
      <c r="H25" s="21" t="e">
        <f t="shared" si="8"/>
        <v>#DIV/0!</v>
      </c>
      <c r="I25" s="23"/>
      <c r="J25" s="23" t="e">
        <f t="shared" si="9"/>
        <v>#DIV/0!</v>
      </c>
      <c r="K25" s="23" t="e">
        <f t="shared" si="10"/>
        <v>#DIV/0!</v>
      </c>
      <c r="L25" s="23" t="e">
        <f t="shared" si="11"/>
        <v>#DIV/0!</v>
      </c>
      <c r="M25" s="23" t="e">
        <f t="shared" si="12"/>
        <v>#DIV/0!</v>
      </c>
      <c r="N25" s="23">
        <f t="shared" si="13"/>
        <v>2552.0912993072957</v>
      </c>
    </row>
    <row r="26" spans="2:14" ht="15.6" x14ac:dyDescent="0.3">
      <c r="C26" s="23"/>
      <c r="D26" s="23"/>
      <c r="E26" s="55"/>
      <c r="F26" s="23" t="e">
        <f t="shared" si="14"/>
        <v>#DIV/0!</v>
      </c>
      <c r="G26" s="23">
        <v>0</v>
      </c>
      <c r="H26" s="21" t="e">
        <f t="shared" si="8"/>
        <v>#DIV/0!</v>
      </c>
      <c r="I26" s="23"/>
      <c r="J26" s="23" t="e">
        <f t="shared" si="9"/>
        <v>#DIV/0!</v>
      </c>
      <c r="K26" s="23" t="e">
        <f t="shared" si="10"/>
        <v>#DIV/0!</v>
      </c>
      <c r="L26" s="23" t="e">
        <f t="shared" si="11"/>
        <v>#DIV/0!</v>
      </c>
      <c r="M26" s="23" t="e">
        <f t="shared" si="12"/>
        <v>#DIV/0!</v>
      </c>
      <c r="N26" s="23">
        <f t="shared" si="13"/>
        <v>2412.403711377237</v>
      </c>
    </row>
    <row r="27" spans="2:14" ht="15.6" x14ac:dyDescent="0.3">
      <c r="C27" s="23"/>
      <c r="D27" s="23"/>
      <c r="E27" s="55"/>
      <c r="F27" s="23" t="e">
        <f t="shared" si="14"/>
        <v>#DIV/0!</v>
      </c>
      <c r="G27" s="23">
        <v>0</v>
      </c>
      <c r="H27" s="21" t="e">
        <f t="shared" si="8"/>
        <v>#DIV/0!</v>
      </c>
      <c r="I27" s="23"/>
      <c r="J27" s="23" t="e">
        <f t="shared" si="9"/>
        <v>#DIV/0!</v>
      </c>
      <c r="K27" s="23" t="e">
        <f t="shared" si="10"/>
        <v>#DIV/0!</v>
      </c>
      <c r="L27" s="23" t="e">
        <f t="shared" si="11"/>
        <v>#DIV/0!</v>
      </c>
      <c r="M27" s="23" t="e">
        <f t="shared" si="12"/>
        <v>#DIV/0!</v>
      </c>
      <c r="N27" s="23">
        <f t="shared" si="13"/>
        <v>1780.7582654588466</v>
      </c>
    </row>
    <row r="28" spans="2:14" ht="15.6" x14ac:dyDescent="0.3">
      <c r="C28" s="23"/>
      <c r="D28" s="23"/>
      <c r="E28" s="55"/>
      <c r="F28" s="23" t="e">
        <f t="shared" si="14"/>
        <v>#DIV/0!</v>
      </c>
      <c r="G28" s="23">
        <v>0</v>
      </c>
      <c r="H28" s="21" t="e">
        <f t="shared" si="8"/>
        <v>#DIV/0!</v>
      </c>
      <c r="I28" s="23"/>
      <c r="J28" s="23" t="e">
        <f t="shared" si="9"/>
        <v>#DIV/0!</v>
      </c>
      <c r="K28" s="23" t="e">
        <f t="shared" si="10"/>
        <v>#DIV/0!</v>
      </c>
      <c r="L28" s="23" t="e">
        <f t="shared" si="11"/>
        <v>#DIV/0!</v>
      </c>
      <c r="M28" s="23" t="e">
        <f t="shared" si="12"/>
        <v>#DIV/0!</v>
      </c>
      <c r="N28" s="23">
        <f t="shared" si="13"/>
        <v>1322.2896808188439</v>
      </c>
    </row>
    <row r="29" spans="2:14" ht="15.6" x14ac:dyDescent="0.3">
      <c r="C29" s="23"/>
      <c r="D29" s="23"/>
      <c r="E29" s="55"/>
      <c r="F29" s="23" t="e">
        <f t="shared" si="14"/>
        <v>#DIV/0!</v>
      </c>
      <c r="G29" s="23">
        <v>0</v>
      </c>
      <c r="H29" s="21" t="e">
        <f t="shared" si="8"/>
        <v>#DIV/0!</v>
      </c>
      <c r="I29" s="23"/>
      <c r="J29" s="23" t="e">
        <f t="shared" si="9"/>
        <v>#DIV/0!</v>
      </c>
      <c r="K29" s="23" t="e">
        <f t="shared" si="10"/>
        <v>#DIV/0!</v>
      </c>
      <c r="L29" s="23" t="e">
        <f t="shared" si="11"/>
        <v>#DIV/0!</v>
      </c>
      <c r="M29" s="23" t="e">
        <f t="shared" si="12"/>
        <v>#DIV/0!</v>
      </c>
      <c r="N29" s="23" t="e">
        <f t="shared" si="13"/>
        <v>#DIV/0!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N20"/>
  <sheetViews>
    <sheetView workbookViewId="0">
      <selection activeCell="G24" sqref="G24"/>
    </sheetView>
  </sheetViews>
  <sheetFormatPr defaultRowHeight="14.4" x14ac:dyDescent="0.3"/>
  <cols>
    <col min="7" max="7" width="17" customWidth="1"/>
    <col min="8" max="8" width="16.77734375" customWidth="1"/>
    <col min="9" max="9" width="24" customWidth="1"/>
    <col min="10" max="10" width="19.21875" customWidth="1"/>
    <col min="11" max="11" width="12.88671875" customWidth="1"/>
    <col min="12" max="12" width="13.5546875" customWidth="1"/>
    <col min="13" max="13" width="12" customWidth="1"/>
    <col min="14" max="14" width="16.109375" customWidth="1"/>
  </cols>
  <sheetData>
    <row r="4" spans="6:14" ht="21" x14ac:dyDescent="0.6">
      <c r="F4" s="10" t="s">
        <v>118</v>
      </c>
      <c r="G4" s="10" t="s">
        <v>119</v>
      </c>
      <c r="H4" s="10" t="s">
        <v>120</v>
      </c>
      <c r="I4" s="10" t="s">
        <v>121</v>
      </c>
      <c r="J4" s="10"/>
      <c r="K4" s="10"/>
      <c r="L4" s="10"/>
      <c r="M4" s="14"/>
      <c r="N4" s="14"/>
    </row>
    <row r="5" spans="6:14" ht="18" x14ac:dyDescent="0.35">
      <c r="F5" s="11" t="s">
        <v>124</v>
      </c>
      <c r="G5" s="12">
        <v>10140</v>
      </c>
      <c r="H5" s="12">
        <v>17629</v>
      </c>
      <c r="I5" s="12">
        <f>G5*H5</f>
        <v>178758060</v>
      </c>
      <c r="J5" s="12"/>
      <c r="K5" s="14"/>
      <c r="L5" s="12"/>
    </row>
    <row r="6" spans="6:14" ht="18" x14ac:dyDescent="0.35">
      <c r="F6" s="11" t="s">
        <v>125</v>
      </c>
      <c r="G6" s="12">
        <v>897</v>
      </c>
      <c r="H6" s="12">
        <v>202794</v>
      </c>
      <c r="I6" s="12">
        <f t="shared" ref="I6:I14" si="0">G6*H6</f>
        <v>181906218</v>
      </c>
      <c r="J6" s="12"/>
      <c r="K6" s="14"/>
      <c r="L6" s="12"/>
    </row>
    <row r="7" spans="6:14" ht="18" x14ac:dyDescent="0.35">
      <c r="F7" s="11" t="s">
        <v>126</v>
      </c>
      <c r="G7" s="12">
        <v>4868</v>
      </c>
      <c r="H7" s="12">
        <v>36326</v>
      </c>
      <c r="I7" s="12">
        <f t="shared" si="0"/>
        <v>176834968</v>
      </c>
      <c r="J7" s="12"/>
      <c r="K7" s="14"/>
      <c r="L7" s="12"/>
    </row>
    <row r="8" spans="6:14" ht="18" x14ac:dyDescent="0.35">
      <c r="F8" s="11" t="s">
        <v>127</v>
      </c>
      <c r="G8" s="12">
        <v>65981</v>
      </c>
      <c r="H8" s="12">
        <v>3303</v>
      </c>
      <c r="I8" s="12">
        <f t="shared" si="0"/>
        <v>217935243</v>
      </c>
      <c r="J8" s="12"/>
      <c r="K8" s="14"/>
      <c r="L8" s="12"/>
    </row>
    <row r="9" spans="6:14" ht="18" x14ac:dyDescent="0.35">
      <c r="F9" s="11" t="s">
        <v>128</v>
      </c>
      <c r="G9" s="12">
        <v>11650</v>
      </c>
      <c r="H9" s="12">
        <v>10300</v>
      </c>
      <c r="I9" s="12">
        <f t="shared" si="0"/>
        <v>119995000</v>
      </c>
      <c r="J9" s="12"/>
      <c r="K9" s="14"/>
      <c r="L9" s="12"/>
    </row>
    <row r="10" spans="6:14" ht="18" x14ac:dyDescent="0.35">
      <c r="F10" s="11" t="s">
        <v>233</v>
      </c>
      <c r="G10" s="12">
        <v>19300</v>
      </c>
      <c r="H10" s="12">
        <v>2009</v>
      </c>
      <c r="I10" s="12">
        <f t="shared" si="0"/>
        <v>38773700</v>
      </c>
      <c r="J10" s="12"/>
      <c r="K10" s="14"/>
      <c r="L10" s="12"/>
    </row>
    <row r="11" spans="6:14" ht="18" x14ac:dyDescent="0.35">
      <c r="F11" s="11" t="s">
        <v>129</v>
      </c>
      <c r="G11" s="13">
        <v>498764000</v>
      </c>
      <c r="H11" s="12">
        <f>AUD!G19</f>
        <v>0.151784</v>
      </c>
      <c r="I11" s="12">
        <f t="shared" si="0"/>
        <v>75704394.975999996</v>
      </c>
      <c r="J11" s="12"/>
      <c r="K11" s="14"/>
      <c r="L11" s="12"/>
    </row>
    <row r="12" spans="6:14" ht="18" x14ac:dyDescent="0.35">
      <c r="F12" s="11" t="s">
        <v>130</v>
      </c>
      <c r="G12" s="13">
        <v>329877.47399999999</v>
      </c>
      <c r="H12" s="12">
        <v>1086.1420102123232</v>
      </c>
      <c r="I12" s="12">
        <f t="shared" si="0"/>
        <v>358293782.73412335</v>
      </c>
      <c r="J12" s="12"/>
      <c r="K12" s="14"/>
      <c r="L12" s="12"/>
    </row>
    <row r="13" spans="6:14" ht="18" x14ac:dyDescent="0.35">
      <c r="F13" s="11" t="s">
        <v>131</v>
      </c>
      <c r="G13" s="12">
        <v>450553251.53867996</v>
      </c>
      <c r="H13" s="12">
        <v>0.48145926041777209</v>
      </c>
      <c r="I13" s="12">
        <f t="shared" si="0"/>
        <v>216923035.26463529</v>
      </c>
      <c r="J13" s="12"/>
      <c r="K13" s="12"/>
      <c r="L13" s="12"/>
    </row>
    <row r="14" spans="6:14" ht="18" x14ac:dyDescent="0.35">
      <c r="F14" s="11" t="s">
        <v>132</v>
      </c>
      <c r="G14" s="12">
        <v>6663237981.3976202</v>
      </c>
      <c r="H14" s="12">
        <v>4.939782430194025E-2</v>
      </c>
      <c r="I14" s="12">
        <f t="shared" si="0"/>
        <v>329149459.08709466</v>
      </c>
      <c r="J14" s="12"/>
      <c r="K14" s="12"/>
      <c r="L14" s="12"/>
    </row>
    <row r="15" spans="6:14" ht="21" x14ac:dyDescent="0.3">
      <c r="F15" s="66" t="s">
        <v>133</v>
      </c>
      <c r="G15" s="65"/>
      <c r="H15" s="65"/>
      <c r="I15" s="67">
        <f>SUM(I5:I14)</f>
        <v>1894273861.0618534</v>
      </c>
      <c r="J15" s="65"/>
      <c r="K15" s="65"/>
      <c r="L15" s="65"/>
    </row>
    <row r="20" spans="7:7" x14ac:dyDescent="0.3">
      <c r="G20" s="4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22"/>
  <sheetViews>
    <sheetView topLeftCell="A8" workbookViewId="0">
      <selection activeCell="J22" sqref="J22"/>
    </sheetView>
  </sheetViews>
  <sheetFormatPr defaultRowHeight="14.4" x14ac:dyDescent="0.3"/>
  <cols>
    <col min="4" max="4" width="15" customWidth="1"/>
    <col min="5" max="5" width="13.21875" customWidth="1"/>
    <col min="6" max="6" width="14.44140625" customWidth="1"/>
    <col min="7" max="7" width="18.88671875" customWidth="1"/>
    <col min="8" max="8" width="16.5546875" customWidth="1"/>
    <col min="9" max="9" width="21.109375" customWidth="1"/>
    <col min="10" max="10" width="13.21875" customWidth="1"/>
    <col min="11" max="11" width="17" customWidth="1"/>
    <col min="12" max="12" width="10" customWidth="1"/>
    <col min="13" max="13" width="12" customWidth="1"/>
    <col min="14" max="14" width="16.109375" customWidth="1"/>
  </cols>
  <sheetData>
    <row r="7" spans="3:13" x14ac:dyDescent="0.3">
      <c r="I7" t="s">
        <v>191</v>
      </c>
    </row>
    <row r="8" spans="3:13" x14ac:dyDescent="0.3">
      <c r="G8" t="s">
        <v>192</v>
      </c>
    </row>
    <row r="9" spans="3:13" ht="20.399999999999999" x14ac:dyDescent="0.65">
      <c r="C9" s="44"/>
      <c r="D9" s="45" t="s">
        <v>143</v>
      </c>
      <c r="E9" s="45" t="s">
        <v>193</v>
      </c>
      <c r="F9" s="45" t="s">
        <v>194</v>
      </c>
      <c r="G9" s="45" t="s">
        <v>195</v>
      </c>
      <c r="H9" s="45" t="s">
        <v>196</v>
      </c>
      <c r="I9" s="45" t="s">
        <v>197</v>
      </c>
      <c r="J9" s="45" t="s">
        <v>234</v>
      </c>
      <c r="K9" s="45" t="s">
        <v>198</v>
      </c>
      <c r="L9" s="45" t="s">
        <v>199</v>
      </c>
      <c r="M9" s="45" t="s">
        <v>200</v>
      </c>
    </row>
    <row r="10" spans="3:13" ht="15.6" customHeight="1" x14ac:dyDescent="0.3">
      <c r="D10" s="57">
        <v>-1.4452618047384687</v>
      </c>
      <c r="E10" s="57">
        <v>-19019645.350358248</v>
      </c>
      <c r="F10" s="57">
        <v>1296980354.6496418</v>
      </c>
      <c r="G10" s="57">
        <v>1296980354.6496418</v>
      </c>
      <c r="H10" s="57">
        <v>0</v>
      </c>
      <c r="I10" s="57">
        <v>1316000000</v>
      </c>
      <c r="J10" s="57">
        <v>1203942546.9305999</v>
      </c>
      <c r="K10" s="57">
        <v>1316000000</v>
      </c>
      <c r="L10" s="69" t="s">
        <v>47</v>
      </c>
      <c r="M10" s="46">
        <v>1400</v>
      </c>
    </row>
    <row r="11" spans="3:13" ht="23.4" customHeight="1" x14ac:dyDescent="0.3">
      <c r="D11" s="57">
        <f t="shared" ref="D11:D22" si="0">100*E11/K11</f>
        <v>6.5519903398567756</v>
      </c>
      <c r="E11" s="57">
        <f t="shared" ref="E11:E22" si="1">F11-K11</f>
        <v>96101318.309849262</v>
      </c>
      <c r="F11" s="57">
        <f>G11+H11</f>
        <v>1562851318.3098493</v>
      </c>
      <c r="G11" s="57">
        <v>1539101318.3098493</v>
      </c>
      <c r="H11" s="57">
        <f t="shared" ref="H11:H15" si="2">K11-I11</f>
        <v>23750000</v>
      </c>
      <c r="I11" s="57">
        <f>I10+127000000</f>
        <v>1443000000</v>
      </c>
      <c r="J11" s="57">
        <v>1308092890.1405201</v>
      </c>
      <c r="K11" s="57">
        <v>1466750000</v>
      </c>
      <c r="L11" s="69" t="s">
        <v>180</v>
      </c>
      <c r="M11" s="80">
        <v>1401</v>
      </c>
    </row>
    <row r="12" spans="3:13" ht="23.4" customHeight="1" x14ac:dyDescent="0.3">
      <c r="D12" s="57">
        <f t="shared" si="0"/>
        <v>5.1202878350997594</v>
      </c>
      <c r="E12" s="57">
        <f t="shared" si="1"/>
        <v>82106375.579742193</v>
      </c>
      <c r="F12" s="57">
        <f>G12+H12</f>
        <v>1685656375.5797422</v>
      </c>
      <c r="G12" s="57">
        <v>1662106375.5797422</v>
      </c>
      <c r="H12" s="57">
        <f t="shared" si="2"/>
        <v>23550000</v>
      </c>
      <c r="I12" s="57">
        <f>I11+137000000</f>
        <v>1580000000</v>
      </c>
      <c r="J12" s="57">
        <v>1418602225.5200901</v>
      </c>
      <c r="K12" s="57">
        <v>1603550000</v>
      </c>
      <c r="L12" s="69" t="s">
        <v>51</v>
      </c>
      <c r="M12" s="80"/>
    </row>
    <row r="13" spans="3:13" ht="23.4" customHeight="1" x14ac:dyDescent="0.3">
      <c r="D13" s="57">
        <f t="shared" si="0"/>
        <v>-0.25160645809297122</v>
      </c>
      <c r="E13" s="57">
        <f t="shared" si="1"/>
        <v>-4418838.4202578068</v>
      </c>
      <c r="F13" s="57">
        <f t="shared" ref="F13:F17" si="3">G13+H13</f>
        <v>1751831161.5797422</v>
      </c>
      <c r="G13" s="57">
        <v>1715581161.5797422</v>
      </c>
      <c r="H13" s="57">
        <f t="shared" si="2"/>
        <v>36250000</v>
      </c>
      <c r="I13" s="57">
        <f>I12+140000000</f>
        <v>1720000000</v>
      </c>
      <c r="J13" s="57">
        <v>1529680174.2084301</v>
      </c>
      <c r="K13" s="57">
        <v>1756250000</v>
      </c>
      <c r="L13" s="69" t="s">
        <v>52</v>
      </c>
      <c r="M13" s="80"/>
    </row>
    <row r="14" spans="3:13" ht="23.4" customHeight="1" x14ac:dyDescent="0.3">
      <c r="D14" s="57">
        <f t="shared" si="0"/>
        <v>-12.437770796540365</v>
      </c>
      <c r="E14" s="57">
        <f t="shared" si="1"/>
        <v>-235515408.91789007</v>
      </c>
      <c r="F14" s="57">
        <f t="shared" si="3"/>
        <v>1658034591.0821099</v>
      </c>
      <c r="G14" s="57">
        <v>1624484591.0821099</v>
      </c>
      <c r="H14" s="57">
        <f t="shared" si="2"/>
        <v>33550000</v>
      </c>
      <c r="I14" s="57">
        <f>I13+140000000</f>
        <v>1860000000</v>
      </c>
      <c r="J14" s="57">
        <v>1638937172.9182701</v>
      </c>
      <c r="K14" s="57">
        <v>1893550000</v>
      </c>
      <c r="L14" s="69" t="s">
        <v>201</v>
      </c>
      <c r="M14" s="80"/>
    </row>
    <row r="15" spans="3:13" ht="23.4" customHeight="1" x14ac:dyDescent="0.3">
      <c r="D15" s="57">
        <f t="shared" si="0"/>
        <v>-12.16478631996498</v>
      </c>
      <c r="E15" s="57">
        <f t="shared" si="1"/>
        <v>-246592383.49201012</v>
      </c>
      <c r="F15" s="57">
        <f t="shared" si="3"/>
        <v>1780507616.5079899</v>
      </c>
      <c r="G15" s="57">
        <v>1760407616.5079899</v>
      </c>
      <c r="H15" s="57">
        <f t="shared" si="2"/>
        <v>20100000</v>
      </c>
      <c r="I15" s="57">
        <f>I14+147000000</f>
        <v>2007000000</v>
      </c>
      <c r="J15" s="57">
        <v>1751776368.3071201</v>
      </c>
      <c r="K15" s="57">
        <v>2027100000</v>
      </c>
      <c r="L15" s="69" t="s">
        <v>54</v>
      </c>
      <c r="M15" s="80"/>
    </row>
    <row r="16" spans="3:13" ht="23.4" customHeight="1" x14ac:dyDescent="0.3">
      <c r="D16" s="57">
        <f t="shared" si="0"/>
        <v>-16.182201003608206</v>
      </c>
      <c r="E16" s="57">
        <f t="shared" si="1"/>
        <v>-350555020.34116459</v>
      </c>
      <c r="F16" s="57">
        <f t="shared" si="3"/>
        <v>1815744979.6588354</v>
      </c>
      <c r="G16" s="57">
        <v>1798444979.6588354</v>
      </c>
      <c r="H16" s="57">
        <f>K16-I16</f>
        <v>17300000</v>
      </c>
      <c r="I16" s="57">
        <f>I15+142000000</f>
        <v>2149000000</v>
      </c>
      <c r="J16" s="57">
        <v>1871443989.7434599</v>
      </c>
      <c r="K16" s="57">
        <v>2166300000</v>
      </c>
      <c r="L16" s="69" t="s">
        <v>55</v>
      </c>
      <c r="M16" s="80"/>
    </row>
    <row r="17" spans="4:13" ht="23.4" customHeight="1" x14ac:dyDescent="0.3">
      <c r="D17" s="57">
        <f t="shared" si="0"/>
        <v>-17.612147961034342</v>
      </c>
      <c r="E17" s="57">
        <f t="shared" si="1"/>
        <v>-406726138.93814659</v>
      </c>
      <c r="F17" s="57">
        <f t="shared" si="3"/>
        <v>1902623861.0618534</v>
      </c>
      <c r="G17" s="57">
        <v>1894273861.0618534</v>
      </c>
      <c r="H17" s="57">
        <f>K17-I17</f>
        <v>8350000</v>
      </c>
      <c r="I17" s="57">
        <f>I16+152000000</f>
        <v>2301000000</v>
      </c>
      <c r="J17" s="57">
        <v>2082942573.4891801</v>
      </c>
      <c r="K17" s="57">
        <v>2309350000</v>
      </c>
      <c r="L17" s="69" t="s">
        <v>56</v>
      </c>
      <c r="M17" s="80"/>
    </row>
    <row r="18" spans="4:13" ht="23.4" customHeight="1" x14ac:dyDescent="0.3">
      <c r="D18" s="57" t="e">
        <f t="shared" si="0"/>
        <v>#DIV/0!</v>
      </c>
      <c r="E18" s="57">
        <f t="shared" si="1"/>
        <v>0</v>
      </c>
      <c r="F18" s="57">
        <f>G18+H18</f>
        <v>0</v>
      </c>
      <c r="G18" s="57">
        <v>0</v>
      </c>
      <c r="H18" s="57">
        <v>0</v>
      </c>
      <c r="I18" s="57">
        <v>0</v>
      </c>
      <c r="J18" s="57"/>
      <c r="K18" s="57">
        <v>0</v>
      </c>
      <c r="L18" s="69" t="s">
        <v>57</v>
      </c>
      <c r="M18" s="80"/>
    </row>
    <row r="19" spans="4:13" ht="23.4" customHeight="1" x14ac:dyDescent="0.3">
      <c r="D19" s="57" t="e">
        <f t="shared" si="0"/>
        <v>#DIV/0!</v>
      </c>
      <c r="E19" s="57">
        <f t="shared" si="1"/>
        <v>0</v>
      </c>
      <c r="F19" s="57">
        <f>G19+H19</f>
        <v>0</v>
      </c>
      <c r="G19" s="57">
        <v>0</v>
      </c>
      <c r="H19" s="57">
        <f>Table5[[#This Row],[کل واریزی صندوق]]-I19</f>
        <v>0</v>
      </c>
      <c r="I19" s="57">
        <v>0</v>
      </c>
      <c r="J19" s="57"/>
      <c r="K19" s="57">
        <v>0</v>
      </c>
      <c r="L19" s="69" t="s">
        <v>58</v>
      </c>
      <c r="M19" s="80"/>
    </row>
    <row r="20" spans="4:13" ht="23.4" customHeight="1" x14ac:dyDescent="0.3">
      <c r="D20" s="57" t="e">
        <f t="shared" si="0"/>
        <v>#DIV/0!</v>
      </c>
      <c r="E20" s="57">
        <f t="shared" si="1"/>
        <v>0</v>
      </c>
      <c r="F20" s="57">
        <f>G20+H20</f>
        <v>0</v>
      </c>
      <c r="G20" s="57">
        <v>0</v>
      </c>
      <c r="H20" s="57">
        <v>0</v>
      </c>
      <c r="I20" s="57">
        <v>0</v>
      </c>
      <c r="J20" s="57"/>
      <c r="K20" s="57">
        <v>0</v>
      </c>
      <c r="L20" s="69" t="s">
        <v>184</v>
      </c>
      <c r="M20" s="80"/>
    </row>
    <row r="21" spans="4:13" ht="23.4" customHeight="1" x14ac:dyDescent="0.3">
      <c r="D21" s="57" t="e">
        <f t="shared" si="0"/>
        <v>#DIV/0!</v>
      </c>
      <c r="E21" s="57">
        <f t="shared" si="1"/>
        <v>0</v>
      </c>
      <c r="F21" s="57">
        <f>G21+H21</f>
        <v>0</v>
      </c>
      <c r="G21" s="57">
        <v>0</v>
      </c>
      <c r="H21" s="57">
        <v>0</v>
      </c>
      <c r="I21" s="57">
        <v>0</v>
      </c>
      <c r="J21" s="57"/>
      <c r="K21" s="57">
        <v>0</v>
      </c>
      <c r="L21" s="69" t="s">
        <v>48</v>
      </c>
      <c r="M21" s="80"/>
    </row>
    <row r="22" spans="4:13" ht="23.4" x14ac:dyDescent="0.3">
      <c r="D22" s="57" t="e">
        <f t="shared" si="0"/>
        <v>#DIV/0!</v>
      </c>
      <c r="E22" s="57">
        <f t="shared" si="1"/>
        <v>0</v>
      </c>
      <c r="F22" s="57">
        <f>G22+H22</f>
        <v>0</v>
      </c>
      <c r="G22" s="57">
        <v>0</v>
      </c>
      <c r="H22" s="57">
        <v>0</v>
      </c>
      <c r="I22" s="57">
        <v>0</v>
      </c>
      <c r="J22" s="57"/>
      <c r="K22" s="57">
        <v>0</v>
      </c>
      <c r="L22" s="69" t="s">
        <v>47</v>
      </c>
      <c r="M22" s="80"/>
    </row>
  </sheetData>
  <mergeCells count="1">
    <mergeCell ref="M11:M22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7"/>
  <sheetViews>
    <sheetView topLeftCell="B105" zoomScaleNormal="100" workbookViewId="0">
      <selection activeCell="I4" sqref="I4"/>
    </sheetView>
  </sheetViews>
  <sheetFormatPr defaultRowHeight="14.4" x14ac:dyDescent="0.3"/>
  <cols>
    <col min="2" max="2" width="20.5546875" bestFit="1" customWidth="1"/>
    <col min="7" max="7" width="10.88671875" bestFit="1" customWidth="1"/>
    <col min="8" max="8" width="11.21875" bestFit="1" customWidth="1"/>
    <col min="9" max="12" width="10" bestFit="1" customWidth="1"/>
    <col min="13" max="13" width="10.33203125" bestFit="1" customWidth="1"/>
    <col min="14" max="14" width="8.88671875" style="2" customWidth="1"/>
    <col min="15" max="15" width="22.6640625" style="54" customWidth="1"/>
    <col min="16" max="16" width="20.21875" customWidth="1"/>
    <col min="18" max="18" width="15.77734375" customWidth="1"/>
  </cols>
  <sheetData>
    <row r="3" spans="1:19" ht="22.2" x14ac:dyDescent="0.3">
      <c r="A3" s="54"/>
      <c r="B3" s="5" t="s">
        <v>117</v>
      </c>
      <c r="C3" s="54" t="s">
        <v>47</v>
      </c>
      <c r="D3" s="54" t="s">
        <v>48</v>
      </c>
      <c r="E3" s="54" t="s">
        <v>49</v>
      </c>
      <c r="F3" s="54" t="s">
        <v>58</v>
      </c>
      <c r="G3" s="54" t="s">
        <v>57</v>
      </c>
      <c r="H3" s="54" t="s">
        <v>56</v>
      </c>
      <c r="I3" s="54" t="s">
        <v>55</v>
      </c>
      <c r="J3" s="54" t="s">
        <v>54</v>
      </c>
      <c r="K3" s="54" t="s">
        <v>53</v>
      </c>
      <c r="L3" s="54" t="s">
        <v>52</v>
      </c>
      <c r="M3" s="54" t="s">
        <v>51</v>
      </c>
      <c r="N3" s="54" t="s">
        <v>50</v>
      </c>
      <c r="O3" s="54" t="s">
        <v>59</v>
      </c>
      <c r="P3" s="54" t="s">
        <v>88</v>
      </c>
      <c r="Q3" s="54" t="s">
        <v>46</v>
      </c>
    </row>
    <row r="4" spans="1:19" ht="22.2" x14ac:dyDescent="0.3">
      <c r="A4" s="54"/>
      <c r="B4" s="6">
        <f t="shared" ref="B4:B67" si="0">SUM(C4:N4)</f>
        <v>16527125.512945056</v>
      </c>
      <c r="C4" s="1">
        <f>مجموع!$C$29*('1401'!C4/'1401'!$N$127)</f>
        <v>0</v>
      </c>
      <c r="D4" s="1">
        <f>مجموع!$C$28*('1401'!D4/'1401'!$N$127)</f>
        <v>0</v>
      </c>
      <c r="E4" s="1">
        <f>مجموع!$C$27*('1401'!E4/'1401'!$N$127)</f>
        <v>0</v>
      </c>
      <c r="F4" s="1">
        <f>مجموع!$C$26*('1401'!F4/'1401'!$N$127)</f>
        <v>0</v>
      </c>
      <c r="G4" s="1">
        <f>مجموع!$C$25*('1401'!G4/'1401'!$N$127)</f>
        <v>0</v>
      </c>
      <c r="H4" s="1">
        <f>مجموع!$C$24*('1401'!H4/'1401'!$N$127)</f>
        <v>0</v>
      </c>
      <c r="I4" s="1">
        <f>مجموع!$C$23*('1401'!I4/'1401'!$N$127)</f>
        <v>3287094.2663974655</v>
      </c>
      <c r="J4" s="1">
        <f>مجموع!$C$22*('1401'!J4/'1401'!$N$127)</f>
        <v>3144512.9956269679</v>
      </c>
      <c r="K4" s="1">
        <f>مجموع!$C$21*('1401'!K4/'1401'!$N$127)</f>
        <v>3126534.6986167002</v>
      </c>
      <c r="L4" s="1">
        <f>مجموع!$C$20*('1401'!L4/'1401'!$N$127)</f>
        <v>2508460.4382684547</v>
      </c>
      <c r="M4" s="1">
        <f>مجموع!$C$19*('1401'!M4/'1401'!$N$127)</f>
        <v>2329166.5889183218</v>
      </c>
      <c r="N4" s="1">
        <f>مجموع!$C$18*('1401'!N4/'1401'!$N$127)</f>
        <v>2131356.525117144</v>
      </c>
      <c r="O4" s="4">
        <v>300</v>
      </c>
      <c r="P4" s="54" t="s">
        <v>60</v>
      </c>
      <c r="Q4" s="54">
        <v>1001</v>
      </c>
      <c r="R4" s="54" t="s">
        <v>93</v>
      </c>
      <c r="S4" s="54">
        <v>1</v>
      </c>
    </row>
    <row r="5" spans="1:19" ht="22.2" x14ac:dyDescent="0.3">
      <c r="A5" s="54"/>
      <c r="B5" s="6">
        <f t="shared" si="0"/>
        <v>9242938.2022616398</v>
      </c>
      <c r="C5" s="1">
        <f>مجموع!$C$29*('1401'!C5/'1401'!$N$127)</f>
        <v>0</v>
      </c>
      <c r="D5" s="1">
        <f>مجموع!$C$28*('1401'!D5/'1401'!$N$127)</f>
        <v>0</v>
      </c>
      <c r="E5" s="1">
        <f>مجموع!$C$27*('1401'!E5/'1401'!$N$127)</f>
        <v>0</v>
      </c>
      <c r="F5" s="1">
        <f>مجموع!$C$26*('1401'!F5/'1401'!$N$127)</f>
        <v>0</v>
      </c>
      <c r="G5" s="1">
        <f>مجموع!$C$25*('1401'!G5/'1401'!$N$127)</f>
        <v>0</v>
      </c>
      <c r="H5" s="1">
        <f>مجموع!$C$24*('1401'!H5/'1401'!$N$127)</f>
        <v>0</v>
      </c>
      <c r="I5" s="1">
        <f>مجموع!$C$23*('1401'!I5/'1401'!$N$127)</f>
        <v>2739245.2219978878</v>
      </c>
      <c r="J5" s="1">
        <f>مجموع!$C$22*('1401'!J5/'1401'!$N$127)</f>
        <v>2096341.9970846453</v>
      </c>
      <c r="K5" s="1">
        <f>مجموع!$C$21*('1401'!K5/'1401'!$N$127)</f>
        <v>2084356.465744467</v>
      </c>
      <c r="L5" s="1">
        <f>مجموع!$C$20*('1401'!L5/'1401'!$N$127)</f>
        <v>836153.47942281829</v>
      </c>
      <c r="M5" s="1">
        <f>مجموع!$C$19*('1401'!M5/'1401'!$N$127)</f>
        <v>776388.86297277384</v>
      </c>
      <c r="N5" s="1">
        <f>مجموع!$C$18*('1401'!N5/'1401'!$N$127)</f>
        <v>710452.17503904807</v>
      </c>
      <c r="O5" s="4">
        <v>100</v>
      </c>
      <c r="P5" s="54" t="s">
        <v>9</v>
      </c>
      <c r="Q5" s="54">
        <v>1009</v>
      </c>
      <c r="R5" s="54" t="s">
        <v>93</v>
      </c>
      <c r="S5" s="54">
        <v>2</v>
      </c>
    </row>
    <row r="6" spans="1:19" ht="22.2" x14ac:dyDescent="0.3">
      <c r="A6" s="54"/>
      <c r="B6" s="6">
        <f t="shared" si="0"/>
        <v>5509041.8376483517</v>
      </c>
      <c r="C6" s="1">
        <f>مجموع!$C$29*('1401'!C6/'1401'!$N$127)</f>
        <v>0</v>
      </c>
      <c r="D6" s="1">
        <f>مجموع!$C$28*('1401'!D6/'1401'!$N$127)</f>
        <v>0</v>
      </c>
      <c r="E6" s="1">
        <f>مجموع!$C$27*('1401'!E6/'1401'!$N$127)</f>
        <v>0</v>
      </c>
      <c r="F6" s="1">
        <f>مجموع!$C$26*('1401'!F6/'1401'!$N$127)</f>
        <v>0</v>
      </c>
      <c r="G6" s="1">
        <f>مجموع!$C$25*('1401'!G6/'1401'!$N$127)</f>
        <v>0</v>
      </c>
      <c r="H6" s="1">
        <f>مجموع!$C$24*('1401'!H6/'1401'!$N$127)</f>
        <v>0</v>
      </c>
      <c r="I6" s="1">
        <f>مجموع!$C$23*('1401'!I6/'1401'!$N$127)</f>
        <v>1095698.0887991551</v>
      </c>
      <c r="J6" s="1">
        <f>مجموع!$C$22*('1401'!J6/'1401'!$N$127)</f>
        <v>1048170.9985423227</v>
      </c>
      <c r="K6" s="1">
        <f>مجموع!$C$21*('1401'!K6/'1401'!$N$127)</f>
        <v>1042178.2328722335</v>
      </c>
      <c r="L6" s="1">
        <f>مجموع!$C$20*('1401'!L6/'1401'!$N$127)</f>
        <v>836153.47942281829</v>
      </c>
      <c r="M6" s="1">
        <f>مجموع!$C$19*('1401'!M6/'1401'!$N$127)</f>
        <v>776388.86297277384</v>
      </c>
      <c r="N6" s="1">
        <f>مجموع!$C$18*('1401'!N6/'1401'!$N$127)</f>
        <v>710452.17503904807</v>
      </c>
      <c r="O6" s="4">
        <v>100</v>
      </c>
      <c r="P6" s="54" t="s">
        <v>8</v>
      </c>
      <c r="Q6" s="54">
        <v>1018</v>
      </c>
      <c r="R6" s="54" t="s">
        <v>93</v>
      </c>
      <c r="S6" s="54">
        <v>3</v>
      </c>
    </row>
    <row r="7" spans="1:19" ht="22.2" x14ac:dyDescent="0.3">
      <c r="A7" s="54"/>
      <c r="B7" s="6">
        <f t="shared" si="0"/>
        <v>5509041.8376483517</v>
      </c>
      <c r="C7" s="1">
        <f>مجموع!$C$29*('1401'!C7/'1401'!$N$127)</f>
        <v>0</v>
      </c>
      <c r="D7" s="1">
        <f>مجموع!$C$28*('1401'!D7/'1401'!$N$127)</f>
        <v>0</v>
      </c>
      <c r="E7" s="1">
        <f>مجموع!$C$27*('1401'!E7/'1401'!$N$127)</f>
        <v>0</v>
      </c>
      <c r="F7" s="1">
        <f>مجموع!$C$26*('1401'!F7/'1401'!$N$127)</f>
        <v>0</v>
      </c>
      <c r="G7" s="1">
        <f>مجموع!$C$25*('1401'!G7/'1401'!$N$127)</f>
        <v>0</v>
      </c>
      <c r="H7" s="1">
        <f>مجموع!$C$24*('1401'!H7/'1401'!$N$127)</f>
        <v>0</v>
      </c>
      <c r="I7" s="1">
        <f>مجموع!$C$23*('1401'!I7/'1401'!$N$127)</f>
        <v>1095698.0887991551</v>
      </c>
      <c r="J7" s="1">
        <f>مجموع!$C$22*('1401'!J7/'1401'!$N$127)</f>
        <v>1048170.9985423227</v>
      </c>
      <c r="K7" s="1">
        <f>مجموع!$C$21*('1401'!K7/'1401'!$N$127)</f>
        <v>1042178.2328722335</v>
      </c>
      <c r="L7" s="1">
        <f>مجموع!$C$20*('1401'!L7/'1401'!$N$127)</f>
        <v>836153.47942281829</v>
      </c>
      <c r="M7" s="1">
        <f>مجموع!$C$19*('1401'!M7/'1401'!$N$127)</f>
        <v>776388.86297277384</v>
      </c>
      <c r="N7" s="1">
        <f>مجموع!$C$18*('1401'!N7/'1401'!$N$127)</f>
        <v>710452.17503904807</v>
      </c>
      <c r="O7" s="4">
        <v>100</v>
      </c>
      <c r="P7" s="54" t="s">
        <v>7</v>
      </c>
      <c r="Q7" s="54">
        <v>1057</v>
      </c>
      <c r="R7" s="54" t="s">
        <v>93</v>
      </c>
      <c r="S7" s="54">
        <v>4</v>
      </c>
    </row>
    <row r="8" spans="1:19" ht="22.2" x14ac:dyDescent="0.3">
      <c r="A8" s="54"/>
      <c r="B8" s="6">
        <f t="shared" si="0"/>
        <v>6551220.0705205845</v>
      </c>
      <c r="C8" s="1">
        <f>مجموع!$C$29*('1401'!C8/'1401'!$N$127)</f>
        <v>0</v>
      </c>
      <c r="D8" s="1">
        <f>مجموع!$C$28*('1401'!D8/'1401'!$N$127)</f>
        <v>0</v>
      </c>
      <c r="E8" s="1">
        <f>مجموع!$C$27*('1401'!E8/'1401'!$N$127)</f>
        <v>0</v>
      </c>
      <c r="F8" s="1">
        <f>مجموع!$C$26*('1401'!F8/'1401'!$N$127)</f>
        <v>0</v>
      </c>
      <c r="G8" s="1">
        <f>مجموع!$C$25*('1401'!G8/'1401'!$N$127)</f>
        <v>0</v>
      </c>
      <c r="H8" s="1">
        <f>مجموع!$C$24*('1401'!H8/'1401'!$N$127)</f>
        <v>0</v>
      </c>
      <c r="I8" s="1">
        <f>مجموع!$C$23*('1401'!I8/'1401'!$N$127)</f>
        <v>1095698.0887991551</v>
      </c>
      <c r="J8" s="1">
        <f>مجموع!$C$22*('1401'!J8/'1401'!$N$127)</f>
        <v>1048170.9985423227</v>
      </c>
      <c r="K8" s="1">
        <f>مجموع!$C$21*('1401'!K8/'1401'!$N$127)</f>
        <v>2084356.465744467</v>
      </c>
      <c r="L8" s="1">
        <f>مجموع!$C$20*('1401'!L8/'1401'!$N$127)</f>
        <v>836153.47942281829</v>
      </c>
      <c r="M8" s="1">
        <f>مجموع!$C$19*('1401'!M8/'1401'!$N$127)</f>
        <v>776388.86297277384</v>
      </c>
      <c r="N8" s="1">
        <f>مجموع!$C$18*('1401'!N8/'1401'!$N$127)</f>
        <v>710452.17503904807</v>
      </c>
      <c r="O8" s="4">
        <v>100</v>
      </c>
      <c r="P8" s="54" t="s">
        <v>15</v>
      </c>
      <c r="Q8" s="54">
        <v>1022</v>
      </c>
      <c r="R8" s="54" t="s">
        <v>93</v>
      </c>
      <c r="S8" s="54">
        <v>5</v>
      </c>
    </row>
    <row r="9" spans="1:19" ht="22.2" x14ac:dyDescent="0.3">
      <c r="A9" s="54"/>
      <c r="B9" s="6">
        <f t="shared" si="0"/>
        <v>9975905.4424244706</v>
      </c>
      <c r="C9" s="1">
        <f>مجموع!$C$29*('1401'!C9/'1401'!$N$127)</f>
        <v>0</v>
      </c>
      <c r="D9" s="1">
        <f>مجموع!$C$28*('1401'!D9/'1401'!$N$127)</f>
        <v>0</v>
      </c>
      <c r="E9" s="1">
        <f>مجموع!$C$27*('1401'!E9/'1401'!$N$127)</f>
        <v>0</v>
      </c>
      <c r="F9" s="1">
        <f>مجموع!$C$26*('1401'!F9/'1401'!$N$127)</f>
        <v>0</v>
      </c>
      <c r="G9" s="1">
        <f>مجموع!$C$25*('1401'!G9/'1401'!$N$127)</f>
        <v>0</v>
      </c>
      <c r="H9" s="1">
        <f>مجموع!$C$24*('1401'!H9/'1401'!$N$127)</f>
        <v>0</v>
      </c>
      <c r="I9" s="1">
        <f>مجموع!$C$23*('1401'!I9/'1401'!$N$127)</f>
        <v>2191396.1775983102</v>
      </c>
      <c r="J9" s="1">
        <f>مجموع!$C$22*('1401'!J9/'1401'!$N$127)</f>
        <v>2096341.9970846453</v>
      </c>
      <c r="K9" s="1">
        <f>مجموع!$C$21*('1401'!K9/'1401'!$N$127)</f>
        <v>1042178.2328722335</v>
      </c>
      <c r="L9" s="1">
        <f>مجموع!$C$20*('1401'!L9/'1401'!$N$127)</f>
        <v>1672306.9588456366</v>
      </c>
      <c r="M9" s="1">
        <f>مجموع!$C$19*('1401'!M9/'1401'!$N$127)</f>
        <v>1552777.7259455477</v>
      </c>
      <c r="N9" s="1">
        <f>مجموع!$C$18*('1401'!N9/'1401'!$N$127)</f>
        <v>1420904.3500780961</v>
      </c>
      <c r="O9" s="4">
        <v>200</v>
      </c>
      <c r="P9" s="54" t="s">
        <v>78</v>
      </c>
      <c r="Q9" s="54">
        <v>1011</v>
      </c>
      <c r="R9" s="54" t="s">
        <v>93</v>
      </c>
      <c r="S9" s="54">
        <v>6</v>
      </c>
    </row>
    <row r="10" spans="1:19" ht="22.2" x14ac:dyDescent="0.3">
      <c r="A10" s="54"/>
      <c r="B10" s="6">
        <f t="shared" si="0"/>
        <v>5509041.8376483517</v>
      </c>
      <c r="C10" s="1">
        <f>مجموع!$C$29*('1401'!C10/'1401'!$N$127)</f>
        <v>0</v>
      </c>
      <c r="D10" s="1">
        <f>مجموع!$C$28*('1401'!D10/'1401'!$N$127)</f>
        <v>0</v>
      </c>
      <c r="E10" s="1">
        <f>مجموع!$C$27*('1401'!E10/'1401'!$N$127)</f>
        <v>0</v>
      </c>
      <c r="F10" s="1">
        <f>مجموع!$C$26*('1401'!F10/'1401'!$N$127)</f>
        <v>0</v>
      </c>
      <c r="G10" s="1">
        <f>مجموع!$C$25*('1401'!G10/'1401'!$N$127)</f>
        <v>0</v>
      </c>
      <c r="H10" s="1">
        <f>مجموع!$C$24*('1401'!H10/'1401'!$N$127)</f>
        <v>0</v>
      </c>
      <c r="I10" s="1">
        <f>مجموع!$C$23*('1401'!I10/'1401'!$N$127)</f>
        <v>1095698.0887991551</v>
      </c>
      <c r="J10" s="1">
        <f>مجموع!$C$22*('1401'!J10/'1401'!$N$127)</f>
        <v>1048170.9985423227</v>
      </c>
      <c r="K10" s="1">
        <f>مجموع!$C$21*('1401'!K10/'1401'!$N$127)</f>
        <v>1042178.2328722335</v>
      </c>
      <c r="L10" s="1">
        <f>مجموع!$C$20*('1401'!L10/'1401'!$N$127)</f>
        <v>836153.47942281829</v>
      </c>
      <c r="M10" s="1">
        <f>مجموع!$C$19*('1401'!M10/'1401'!$N$127)</f>
        <v>776388.86297277384</v>
      </c>
      <c r="N10" s="1">
        <f>مجموع!$C$18*('1401'!N10/'1401'!$N$127)</f>
        <v>710452.17503904807</v>
      </c>
      <c r="O10" s="4">
        <v>100</v>
      </c>
      <c r="P10" s="54" t="s">
        <v>107</v>
      </c>
      <c r="Q10" s="54">
        <v>1002</v>
      </c>
      <c r="R10" s="54" t="s">
        <v>93</v>
      </c>
      <c r="S10" s="54">
        <v>7</v>
      </c>
    </row>
    <row r="11" spans="1:19" ht="22.2" x14ac:dyDescent="0.3">
      <c r="A11" s="54"/>
      <c r="B11" s="6">
        <f t="shared" si="0"/>
        <v>2754520.9188241758</v>
      </c>
      <c r="C11" s="1">
        <f>مجموع!$C$29*('1401'!C11/'1401'!$N$127)</f>
        <v>0</v>
      </c>
      <c r="D11" s="1">
        <f>مجموع!$C$28*('1401'!D11/'1401'!$N$127)</f>
        <v>0</v>
      </c>
      <c r="E11" s="1">
        <f>مجموع!$C$27*('1401'!E11/'1401'!$N$127)</f>
        <v>0</v>
      </c>
      <c r="F11" s="1">
        <f>مجموع!$C$26*('1401'!F11/'1401'!$N$127)</f>
        <v>0</v>
      </c>
      <c r="G11" s="1">
        <f>مجموع!$C$25*('1401'!G11/'1401'!$N$127)</f>
        <v>0</v>
      </c>
      <c r="H11" s="1">
        <f>مجموع!$C$24*('1401'!H11/'1401'!$N$127)</f>
        <v>0</v>
      </c>
      <c r="I11" s="1">
        <f>مجموع!$C$23*('1401'!I11/'1401'!$N$127)</f>
        <v>547849.04439957754</v>
      </c>
      <c r="J11" s="1">
        <f>مجموع!$C$22*('1401'!J11/'1401'!$N$127)</f>
        <v>524085.49927116133</v>
      </c>
      <c r="K11" s="1">
        <f>مجموع!$C$21*('1401'!K11/'1401'!$N$127)</f>
        <v>521089.11643611675</v>
      </c>
      <c r="L11" s="1">
        <f>مجموع!$C$20*('1401'!L11/'1401'!$N$127)</f>
        <v>418076.73971140914</v>
      </c>
      <c r="M11" s="1">
        <f>مجموع!$C$19*('1401'!M11/'1401'!$N$127)</f>
        <v>388194.43148638692</v>
      </c>
      <c r="N11" s="1">
        <f>مجموع!$C$18*('1401'!N11/'1401'!$N$127)</f>
        <v>355226.08751952404</v>
      </c>
      <c r="O11" s="4">
        <v>50</v>
      </c>
      <c r="P11" s="54" t="s">
        <v>16</v>
      </c>
      <c r="Q11" s="54">
        <v>1043</v>
      </c>
      <c r="R11" s="54" t="s">
        <v>93</v>
      </c>
      <c r="S11" s="54">
        <v>8</v>
      </c>
    </row>
    <row r="12" spans="1:19" ht="22.2" x14ac:dyDescent="0.3">
      <c r="A12" s="54"/>
      <c r="B12" s="6">
        <f t="shared" si="0"/>
        <v>11018083.675296703</v>
      </c>
      <c r="C12" s="1">
        <f>مجموع!$C$29*('1401'!C12/'1401'!$N$127)</f>
        <v>0</v>
      </c>
      <c r="D12" s="1">
        <f>مجموع!$C$28*('1401'!D12/'1401'!$N$127)</f>
        <v>0</v>
      </c>
      <c r="E12" s="1">
        <f>مجموع!$C$27*('1401'!E12/'1401'!$N$127)</f>
        <v>0</v>
      </c>
      <c r="F12" s="1">
        <f>مجموع!$C$26*('1401'!F12/'1401'!$N$127)</f>
        <v>0</v>
      </c>
      <c r="G12" s="1">
        <f>مجموع!$C$25*('1401'!G12/'1401'!$N$127)</f>
        <v>0</v>
      </c>
      <c r="H12" s="1">
        <f>مجموع!$C$24*('1401'!H12/'1401'!$N$127)</f>
        <v>0</v>
      </c>
      <c r="I12" s="1">
        <f>مجموع!$C$23*('1401'!I12/'1401'!$N$127)</f>
        <v>2191396.1775983102</v>
      </c>
      <c r="J12" s="1">
        <f>مجموع!$C$22*('1401'!J12/'1401'!$N$127)</f>
        <v>2096341.9970846453</v>
      </c>
      <c r="K12" s="1">
        <f>مجموع!$C$21*('1401'!K12/'1401'!$N$127)</f>
        <v>2084356.465744467</v>
      </c>
      <c r="L12" s="1">
        <f>مجموع!$C$20*('1401'!L12/'1401'!$N$127)</f>
        <v>1672306.9588456366</v>
      </c>
      <c r="M12" s="1">
        <f>مجموع!$C$19*('1401'!M12/'1401'!$N$127)</f>
        <v>1552777.7259455477</v>
      </c>
      <c r="N12" s="1">
        <f>مجموع!$C$18*('1401'!N12/'1401'!$N$127)</f>
        <v>1420904.3500780961</v>
      </c>
      <c r="O12" s="4">
        <v>200</v>
      </c>
      <c r="P12" s="54" t="s">
        <v>25</v>
      </c>
      <c r="Q12" s="54">
        <v>1023</v>
      </c>
      <c r="R12" s="54"/>
      <c r="S12" s="54">
        <v>9</v>
      </c>
    </row>
    <row r="13" spans="1:19" ht="22.2" x14ac:dyDescent="0.3">
      <c r="A13" s="54"/>
      <c r="B13" s="6">
        <f t="shared" si="0"/>
        <v>2754520.9188241758</v>
      </c>
      <c r="C13" s="1">
        <f>مجموع!$C$29*('1401'!C13/'1401'!$N$127)</f>
        <v>0</v>
      </c>
      <c r="D13" s="1">
        <f>مجموع!$C$28*('1401'!D13/'1401'!$N$127)</f>
        <v>0</v>
      </c>
      <c r="E13" s="1">
        <f>مجموع!$C$27*('1401'!E13/'1401'!$N$127)</f>
        <v>0</v>
      </c>
      <c r="F13" s="1">
        <f>مجموع!$C$26*('1401'!F13/'1401'!$N$127)</f>
        <v>0</v>
      </c>
      <c r="G13" s="1">
        <f>مجموع!$C$25*('1401'!G13/'1401'!$N$127)</f>
        <v>0</v>
      </c>
      <c r="H13" s="1">
        <f>مجموع!$C$24*('1401'!H13/'1401'!$N$127)</f>
        <v>0</v>
      </c>
      <c r="I13" s="1">
        <f>مجموع!$C$23*('1401'!I13/'1401'!$N$127)</f>
        <v>547849.04439957754</v>
      </c>
      <c r="J13" s="1">
        <f>مجموع!$C$22*('1401'!J13/'1401'!$N$127)</f>
        <v>524085.49927116133</v>
      </c>
      <c r="K13" s="1">
        <f>مجموع!$C$21*('1401'!K13/'1401'!$N$127)</f>
        <v>521089.11643611675</v>
      </c>
      <c r="L13" s="1">
        <f>مجموع!$C$20*('1401'!L13/'1401'!$N$127)</f>
        <v>418076.73971140914</v>
      </c>
      <c r="M13" s="1">
        <f>مجموع!$C$19*('1401'!M13/'1401'!$N$127)</f>
        <v>388194.43148638692</v>
      </c>
      <c r="N13" s="1">
        <f>مجموع!$C$18*('1401'!N13/'1401'!$N$127)</f>
        <v>355226.08751952404</v>
      </c>
      <c r="O13" s="4">
        <v>50</v>
      </c>
      <c r="P13" s="54" t="s">
        <v>84</v>
      </c>
      <c r="Q13" s="54">
        <v>1032</v>
      </c>
      <c r="R13" s="54" t="s">
        <v>93</v>
      </c>
      <c r="S13" s="54">
        <v>10</v>
      </c>
    </row>
    <row r="14" spans="1:19" ht="22.2" x14ac:dyDescent="0.3">
      <c r="A14" s="54"/>
      <c r="B14" s="6">
        <f t="shared" si="0"/>
        <v>2754520.9188241758</v>
      </c>
      <c r="C14" s="1">
        <f>مجموع!$C$29*('1401'!C14/'1401'!$N$127)</f>
        <v>0</v>
      </c>
      <c r="D14" s="1">
        <f>مجموع!$C$28*('1401'!D14/'1401'!$N$127)</f>
        <v>0</v>
      </c>
      <c r="E14" s="1">
        <f>مجموع!$C$27*('1401'!E14/'1401'!$N$127)</f>
        <v>0</v>
      </c>
      <c r="F14" s="1">
        <f>مجموع!$C$26*('1401'!F14/'1401'!$N$127)</f>
        <v>0</v>
      </c>
      <c r="G14" s="1">
        <f>مجموع!$C$25*('1401'!G14/'1401'!$N$127)</f>
        <v>0</v>
      </c>
      <c r="H14" s="1">
        <f>مجموع!$C$24*('1401'!H14/'1401'!$N$127)</f>
        <v>0</v>
      </c>
      <c r="I14" s="1">
        <f>مجموع!$C$23*('1401'!I14/'1401'!$N$127)</f>
        <v>547849.04439957754</v>
      </c>
      <c r="J14" s="1">
        <f>مجموع!$C$22*('1401'!J14/'1401'!$N$127)</f>
        <v>524085.49927116133</v>
      </c>
      <c r="K14" s="1">
        <f>مجموع!$C$21*('1401'!K14/'1401'!$N$127)</f>
        <v>521089.11643611675</v>
      </c>
      <c r="L14" s="1">
        <f>مجموع!$C$20*('1401'!L14/'1401'!$N$127)</f>
        <v>418076.73971140914</v>
      </c>
      <c r="M14" s="1">
        <f>مجموع!$C$19*('1401'!M14/'1401'!$N$127)</f>
        <v>388194.43148638692</v>
      </c>
      <c r="N14" s="1">
        <f>مجموع!$C$18*('1401'!N14/'1401'!$N$127)</f>
        <v>355226.08751952404</v>
      </c>
      <c r="O14" s="4">
        <v>50</v>
      </c>
      <c r="P14" s="54" t="s">
        <v>66</v>
      </c>
      <c r="Q14" s="54">
        <v>1036</v>
      </c>
      <c r="R14" s="54" t="s">
        <v>93</v>
      </c>
      <c r="S14" s="54">
        <v>11</v>
      </c>
    </row>
    <row r="15" spans="1:19" ht="22.2" x14ac:dyDescent="0.3">
      <c r="A15" s="54"/>
      <c r="B15" s="6">
        <f t="shared" si="0"/>
        <v>2754520.9188241758</v>
      </c>
      <c r="C15" s="1">
        <f>مجموع!$C$29*('1401'!C15/'1401'!$N$127)</f>
        <v>0</v>
      </c>
      <c r="D15" s="1">
        <f>مجموع!$C$28*('1401'!D15/'1401'!$N$127)</f>
        <v>0</v>
      </c>
      <c r="E15" s="1">
        <f>مجموع!$C$27*('1401'!E15/'1401'!$N$127)</f>
        <v>0</v>
      </c>
      <c r="F15" s="1">
        <f>مجموع!$C$26*('1401'!F15/'1401'!$N$127)</f>
        <v>0</v>
      </c>
      <c r="G15" s="1">
        <f>مجموع!$C$25*('1401'!G15/'1401'!$N$127)</f>
        <v>0</v>
      </c>
      <c r="H15" s="1">
        <f>مجموع!$C$24*('1401'!H15/'1401'!$N$127)</f>
        <v>0</v>
      </c>
      <c r="I15" s="1">
        <f>مجموع!$C$23*('1401'!I15/'1401'!$N$127)</f>
        <v>547849.04439957754</v>
      </c>
      <c r="J15" s="1">
        <f>مجموع!$C$22*('1401'!J15/'1401'!$N$127)</f>
        <v>524085.49927116133</v>
      </c>
      <c r="K15" s="1">
        <f>مجموع!$C$21*('1401'!K15/'1401'!$N$127)</f>
        <v>521089.11643611675</v>
      </c>
      <c r="L15" s="1">
        <f>مجموع!$C$20*('1401'!L15/'1401'!$N$127)</f>
        <v>418076.73971140914</v>
      </c>
      <c r="M15" s="1">
        <f>مجموع!$C$19*('1401'!M15/'1401'!$N$127)</f>
        <v>388194.43148638692</v>
      </c>
      <c r="N15" s="1">
        <f>مجموع!$C$18*('1401'!N15/'1401'!$N$127)</f>
        <v>355226.08751952404</v>
      </c>
      <c r="O15" s="4">
        <v>50</v>
      </c>
      <c r="P15" s="54" t="s">
        <v>108</v>
      </c>
      <c r="Q15" s="54">
        <v>1003</v>
      </c>
      <c r="R15" s="54" t="s">
        <v>93</v>
      </c>
      <c r="S15" s="54">
        <v>12</v>
      </c>
    </row>
    <row r="16" spans="1:19" ht="22.2" x14ac:dyDescent="0.3">
      <c r="A16" s="54"/>
      <c r="B16" s="6">
        <f t="shared" si="0"/>
        <v>2754520.9188241758</v>
      </c>
      <c r="C16" s="1">
        <f>مجموع!$C$29*('1401'!C16/'1401'!$N$127)</f>
        <v>0</v>
      </c>
      <c r="D16" s="1">
        <f>مجموع!$C$28*('1401'!D16/'1401'!$N$127)</f>
        <v>0</v>
      </c>
      <c r="E16" s="1">
        <f>مجموع!$C$27*('1401'!E16/'1401'!$N$127)</f>
        <v>0</v>
      </c>
      <c r="F16" s="1">
        <f>مجموع!$C$26*('1401'!F16/'1401'!$N$127)</f>
        <v>0</v>
      </c>
      <c r="G16" s="1">
        <f>مجموع!$C$25*('1401'!G16/'1401'!$N$127)</f>
        <v>0</v>
      </c>
      <c r="H16" s="1">
        <f>مجموع!$C$24*('1401'!H16/'1401'!$N$127)</f>
        <v>0</v>
      </c>
      <c r="I16" s="1">
        <f>مجموع!$C$23*('1401'!I16/'1401'!$N$127)</f>
        <v>547849.04439957754</v>
      </c>
      <c r="J16" s="1">
        <f>مجموع!$C$22*('1401'!J16/'1401'!$N$127)</f>
        <v>524085.49927116133</v>
      </c>
      <c r="K16" s="1">
        <f>مجموع!$C$21*('1401'!K16/'1401'!$N$127)</f>
        <v>521089.11643611675</v>
      </c>
      <c r="L16" s="1">
        <f>مجموع!$C$20*('1401'!L16/'1401'!$N$127)</f>
        <v>418076.73971140914</v>
      </c>
      <c r="M16" s="1">
        <f>مجموع!$C$19*('1401'!M16/'1401'!$N$127)</f>
        <v>388194.43148638692</v>
      </c>
      <c r="N16" s="1">
        <f>مجموع!$C$18*('1401'!N16/'1401'!$N$127)</f>
        <v>355226.08751952404</v>
      </c>
      <c r="O16" s="4">
        <v>50</v>
      </c>
      <c r="P16" s="54" t="s">
        <v>21</v>
      </c>
      <c r="Q16" s="54">
        <v>1062</v>
      </c>
      <c r="R16" s="54" t="s">
        <v>93</v>
      </c>
      <c r="S16" s="54">
        <v>13</v>
      </c>
    </row>
    <row r="17" spans="1:19" ht="22.2" x14ac:dyDescent="0.3">
      <c r="A17" s="54"/>
      <c r="B17" s="6">
        <f t="shared" si="0"/>
        <v>3760071.1187333083</v>
      </c>
      <c r="C17" s="1">
        <f>مجموع!$C$29*('1401'!C17/'1401'!$N$127)</f>
        <v>0</v>
      </c>
      <c r="D17" s="1">
        <f>مجموع!$C$28*('1401'!D17/'1401'!$N$127)</f>
        <v>0</v>
      </c>
      <c r="E17" s="1">
        <f>مجموع!$C$27*('1401'!E17/'1401'!$N$127)</f>
        <v>0</v>
      </c>
      <c r="F17" s="1">
        <f>مجموع!$C$26*('1401'!F17/'1401'!$N$127)</f>
        <v>0</v>
      </c>
      <c r="G17" s="1">
        <f>مجموع!$C$25*('1401'!G17/'1401'!$N$127)</f>
        <v>0</v>
      </c>
      <c r="H17" s="1">
        <f>مجموع!$C$24*('1401'!H17/'1401'!$N$127)</f>
        <v>0</v>
      </c>
      <c r="I17" s="1">
        <f>مجموع!$C$23*('1401'!I17/'1401'!$N$127)</f>
        <v>821773.56659936637</v>
      </c>
      <c r="J17" s="1">
        <f>مجموع!$C$22*('1401'!J17/'1401'!$N$127)</f>
        <v>786128.24890674197</v>
      </c>
      <c r="K17" s="1">
        <f>مجموع!$C$21*('1401'!K17/'1401'!$N$127)</f>
        <v>781633.67465417506</v>
      </c>
      <c r="L17" s="1">
        <f>مجموع!$C$20*('1401'!L17/'1401'!$N$127)</f>
        <v>627115.10956711369</v>
      </c>
      <c r="M17" s="1">
        <f>مجموع!$C$19*('1401'!M17/'1401'!$N$127)</f>
        <v>388194.43148638692</v>
      </c>
      <c r="N17" s="1">
        <f>مجموع!$C$18*('1401'!N17/'1401'!$N$127)</f>
        <v>355226.08751952404</v>
      </c>
      <c r="O17" s="4">
        <v>50</v>
      </c>
      <c r="P17" s="54" t="s">
        <v>36</v>
      </c>
      <c r="Q17" s="54">
        <v>1027</v>
      </c>
      <c r="R17" s="54"/>
      <c r="S17" s="54">
        <v>14</v>
      </c>
    </row>
    <row r="18" spans="1:19" ht="22.2" x14ac:dyDescent="0.3">
      <c r="A18" s="54"/>
      <c r="B18" s="6">
        <f t="shared" si="0"/>
        <v>10579413.635827202</v>
      </c>
      <c r="C18" s="1">
        <f>مجموع!$C$29*('1401'!C18/'1401'!$N$127)</f>
        <v>0</v>
      </c>
      <c r="D18" s="1">
        <f>مجموع!$C$28*('1401'!D18/'1401'!$N$127)</f>
        <v>0</v>
      </c>
      <c r="E18" s="1">
        <f>مجموع!$C$27*('1401'!E18/'1401'!$N$127)</f>
        <v>0</v>
      </c>
      <c r="F18" s="1">
        <f>مجموع!$C$26*('1401'!F18/'1401'!$N$127)</f>
        <v>0</v>
      </c>
      <c r="G18" s="1">
        <f>مجموع!$C$25*('1401'!G18/'1401'!$N$127)</f>
        <v>0</v>
      </c>
      <c r="H18" s="1">
        <f>مجموع!$C$24*('1401'!H18/'1401'!$N$127)</f>
        <v>0</v>
      </c>
      <c r="I18" s="1">
        <f>مجموع!$C$23*('1401'!I18/'1401'!$N$127)</f>
        <v>2191396.1775983102</v>
      </c>
      <c r="J18" s="1">
        <f>مجموع!$C$22*('1401'!J18/'1401'!$N$127)</f>
        <v>3144512.9956269679</v>
      </c>
      <c r="K18" s="1">
        <f>مجموع!$C$21*('1401'!K18/'1401'!$N$127)</f>
        <v>2084356.465744467</v>
      </c>
      <c r="L18" s="1">
        <f>مجموع!$C$20*('1401'!L18/'1401'!$N$127)</f>
        <v>1672306.9588456366</v>
      </c>
      <c r="M18" s="1">
        <f>مجموع!$C$19*('1401'!M18/'1401'!$N$127)</f>
        <v>776388.86297277384</v>
      </c>
      <c r="N18" s="1">
        <f>مجموع!$C$18*('1401'!N18/'1401'!$N$127)</f>
        <v>710452.17503904807</v>
      </c>
      <c r="O18" s="4">
        <v>200</v>
      </c>
      <c r="P18" s="54" t="s">
        <v>18</v>
      </c>
      <c r="Q18" s="54">
        <v>1033</v>
      </c>
      <c r="R18" s="54" t="s">
        <v>93</v>
      </c>
      <c r="S18" s="54">
        <v>15</v>
      </c>
    </row>
    <row r="19" spans="1:19" ht="22.2" x14ac:dyDescent="0.3">
      <c r="A19" s="54"/>
      <c r="B19" s="6">
        <f t="shared" si="0"/>
        <v>9531242.6372848805</v>
      </c>
      <c r="C19" s="1">
        <f>مجموع!$C$29*('1401'!C19/'1401'!$N$127)</f>
        <v>0</v>
      </c>
      <c r="D19" s="1">
        <f>مجموع!$C$28*('1401'!D19/'1401'!$N$127)</f>
        <v>0</v>
      </c>
      <c r="E19" s="1">
        <f>مجموع!$C$27*('1401'!E19/'1401'!$N$127)</f>
        <v>0</v>
      </c>
      <c r="F19" s="1">
        <f>مجموع!$C$26*('1401'!F19/'1401'!$N$127)</f>
        <v>0</v>
      </c>
      <c r="G19" s="1">
        <f>مجموع!$C$25*('1401'!G19/'1401'!$N$127)</f>
        <v>0</v>
      </c>
      <c r="H19" s="1">
        <f>مجموع!$C$24*('1401'!H19/'1401'!$N$127)</f>
        <v>0</v>
      </c>
      <c r="I19" s="1">
        <f>مجموع!$C$23*('1401'!I19/'1401'!$N$127)</f>
        <v>2191396.1775983102</v>
      </c>
      <c r="J19" s="1">
        <f>مجموع!$C$22*('1401'!J19/'1401'!$N$127)</f>
        <v>2096341.9970846453</v>
      </c>
      <c r="K19" s="1">
        <f>مجموع!$C$21*('1401'!K19/'1401'!$N$127)</f>
        <v>2084356.465744467</v>
      </c>
      <c r="L19" s="1">
        <f>مجموع!$C$20*('1401'!L19/'1401'!$N$127)</f>
        <v>1672306.9588456366</v>
      </c>
      <c r="M19" s="1">
        <f>مجموع!$C$19*('1401'!M19/'1401'!$N$127)</f>
        <v>776388.86297277384</v>
      </c>
      <c r="N19" s="1">
        <f>مجموع!$C$18*('1401'!N19/'1401'!$N$127)</f>
        <v>710452.17503904807</v>
      </c>
      <c r="O19" s="4">
        <v>200</v>
      </c>
      <c r="P19" s="54" t="s">
        <v>17</v>
      </c>
      <c r="Q19" s="54">
        <v>1005</v>
      </c>
      <c r="R19" s="54" t="s">
        <v>93</v>
      </c>
      <c r="S19" s="54">
        <v>16</v>
      </c>
    </row>
    <row r="20" spans="1:19" ht="22.2" x14ac:dyDescent="0.3">
      <c r="A20" s="54"/>
      <c r="B20" s="6">
        <f t="shared" si="0"/>
        <v>5289706.8179136012</v>
      </c>
      <c r="C20" s="1">
        <f>مجموع!$C$29*('1401'!C20/'1401'!$N$127)</f>
        <v>0</v>
      </c>
      <c r="D20" s="1">
        <f>مجموع!$C$28*('1401'!D20/'1401'!$N$127)</f>
        <v>0</v>
      </c>
      <c r="E20" s="1">
        <f>مجموع!$C$27*('1401'!E20/'1401'!$N$127)</f>
        <v>0</v>
      </c>
      <c r="F20" s="1">
        <f>مجموع!$C$26*('1401'!F20/'1401'!$N$127)</f>
        <v>0</v>
      </c>
      <c r="G20" s="1">
        <f>مجموع!$C$25*('1401'!G20/'1401'!$N$127)</f>
        <v>0</v>
      </c>
      <c r="H20" s="1">
        <f>مجموع!$C$24*('1401'!H20/'1401'!$N$127)</f>
        <v>0</v>
      </c>
      <c r="I20" s="1">
        <f>مجموع!$C$23*('1401'!I20/'1401'!$N$127)</f>
        <v>1095698.0887991551</v>
      </c>
      <c r="J20" s="1">
        <f>مجموع!$C$22*('1401'!J20/'1401'!$N$127)</f>
        <v>1572256.4978134839</v>
      </c>
      <c r="K20" s="1">
        <f>مجموع!$C$21*('1401'!K20/'1401'!$N$127)</f>
        <v>1042178.2328722335</v>
      </c>
      <c r="L20" s="1">
        <f>مجموع!$C$20*('1401'!L20/'1401'!$N$127)</f>
        <v>836153.47942281829</v>
      </c>
      <c r="M20" s="1">
        <f>مجموع!$C$19*('1401'!M20/'1401'!$N$127)</f>
        <v>388194.43148638692</v>
      </c>
      <c r="N20" s="1">
        <f>مجموع!$C$18*('1401'!N20/'1401'!$N$127)</f>
        <v>355226.08751952404</v>
      </c>
      <c r="O20" s="4">
        <v>100</v>
      </c>
      <c r="P20" s="54" t="s">
        <v>45</v>
      </c>
      <c r="Q20" s="54">
        <v>1017</v>
      </c>
      <c r="R20" s="54" t="s">
        <v>93</v>
      </c>
      <c r="S20" s="54">
        <v>17</v>
      </c>
    </row>
    <row r="21" spans="1:19" ht="22.2" x14ac:dyDescent="0.3">
      <c r="A21" s="54"/>
      <c r="B21" s="6">
        <f t="shared" si="0"/>
        <v>4304338.6064543994</v>
      </c>
      <c r="C21" s="1">
        <f>مجموع!$C$29*('1401'!C21/'1401'!$N$127)</f>
        <v>0</v>
      </c>
      <c r="D21" s="1">
        <f>مجموع!$C$28*('1401'!D21/'1401'!$N$127)</f>
        <v>0</v>
      </c>
      <c r="E21" s="1">
        <f>مجموع!$C$27*('1401'!E21/'1401'!$N$127)</f>
        <v>0</v>
      </c>
      <c r="F21" s="1">
        <f>مجموع!$C$26*('1401'!F21/'1401'!$N$127)</f>
        <v>0</v>
      </c>
      <c r="G21" s="1">
        <f>مجموع!$C$25*('1401'!G21/'1401'!$N$127)</f>
        <v>0</v>
      </c>
      <c r="H21" s="1">
        <f>مجموع!$C$24*('1401'!H21/'1401'!$N$127)</f>
        <v>0</v>
      </c>
      <c r="I21" s="1">
        <f>مجموع!$C$23*('1401'!I21/'1401'!$N$127)</f>
        <v>0</v>
      </c>
      <c r="J21" s="1">
        <f>مجموع!$C$22*('1401'!J21/'1401'!$N$127)</f>
        <v>0</v>
      </c>
      <c r="K21" s="1">
        <f>مجموع!$C$21*('1401'!K21/'1401'!$N$127)</f>
        <v>1563267.3493083501</v>
      </c>
      <c r="L21" s="1">
        <f>مجموع!$C$20*('1401'!L21/'1401'!$N$127)</f>
        <v>1254230.2191342274</v>
      </c>
      <c r="M21" s="1">
        <f>مجموع!$C$19*('1401'!M21/'1401'!$N$127)</f>
        <v>776388.86297277384</v>
      </c>
      <c r="N21" s="1">
        <f>مجموع!$C$18*('1401'!N21/'1401'!$N$127)</f>
        <v>710452.17503904807</v>
      </c>
      <c r="O21" s="4">
        <v>100</v>
      </c>
      <c r="P21" s="54" t="s">
        <v>114</v>
      </c>
      <c r="Q21" s="54">
        <v>1078</v>
      </c>
      <c r="R21" s="54" t="s">
        <v>93</v>
      </c>
      <c r="S21" s="54">
        <v>18</v>
      </c>
    </row>
    <row r="22" spans="1:19" ht="22.2" x14ac:dyDescent="0.3">
      <c r="A22" s="54"/>
      <c r="B22" s="6">
        <f t="shared" si="0"/>
        <v>5509041.8376483517</v>
      </c>
      <c r="C22" s="1">
        <f>مجموع!$C$29*('1401'!C22/'1401'!$N$127)</f>
        <v>0</v>
      </c>
      <c r="D22" s="1">
        <f>مجموع!$C$28*('1401'!D22/'1401'!$N$127)</f>
        <v>0</v>
      </c>
      <c r="E22" s="1">
        <f>مجموع!$C$27*('1401'!E22/'1401'!$N$127)</f>
        <v>0</v>
      </c>
      <c r="F22" s="1">
        <f>مجموع!$C$26*('1401'!F22/'1401'!$N$127)</f>
        <v>0</v>
      </c>
      <c r="G22" s="1">
        <f>مجموع!$C$25*('1401'!G22/'1401'!$N$127)</f>
        <v>0</v>
      </c>
      <c r="H22" s="1">
        <f>مجموع!$C$24*('1401'!H22/'1401'!$N$127)</f>
        <v>0</v>
      </c>
      <c r="I22" s="1">
        <f>مجموع!$C$23*('1401'!I22/'1401'!$N$127)</f>
        <v>1095698.0887991551</v>
      </c>
      <c r="J22" s="1">
        <f>مجموع!$C$22*('1401'!J22/'1401'!$N$127)</f>
        <v>1048170.9985423227</v>
      </c>
      <c r="K22" s="1">
        <f>مجموع!$C$21*('1401'!K22/'1401'!$N$127)</f>
        <v>1042178.2328722335</v>
      </c>
      <c r="L22" s="1">
        <f>مجموع!$C$20*('1401'!L22/'1401'!$N$127)</f>
        <v>836153.47942281829</v>
      </c>
      <c r="M22" s="1">
        <f>مجموع!$C$19*('1401'!M22/'1401'!$N$127)</f>
        <v>776388.86297277384</v>
      </c>
      <c r="N22" s="1">
        <f>مجموع!$C$18*('1401'!N22/'1401'!$N$127)</f>
        <v>710452.17503904807</v>
      </c>
      <c r="O22" s="4">
        <v>100</v>
      </c>
      <c r="P22" s="54" t="s">
        <v>11</v>
      </c>
      <c r="Q22" s="54">
        <v>1024</v>
      </c>
      <c r="R22" s="54" t="s">
        <v>93</v>
      </c>
      <c r="S22" s="54">
        <v>19</v>
      </c>
    </row>
    <row r="23" spans="1:19" ht="22.2" x14ac:dyDescent="0.3">
      <c r="A23" s="54"/>
      <c r="B23" s="6">
        <f t="shared" si="0"/>
        <v>5509041.8376483517</v>
      </c>
      <c r="C23" s="1">
        <f>مجموع!$C$29*('1401'!C23/'1401'!$N$127)</f>
        <v>0</v>
      </c>
      <c r="D23" s="1">
        <f>مجموع!$C$28*('1401'!D23/'1401'!$N$127)</f>
        <v>0</v>
      </c>
      <c r="E23" s="1">
        <f>مجموع!$C$27*('1401'!E23/'1401'!$N$127)</f>
        <v>0</v>
      </c>
      <c r="F23" s="1">
        <f>مجموع!$C$26*('1401'!F23/'1401'!$N$127)</f>
        <v>0</v>
      </c>
      <c r="G23" s="1">
        <f>مجموع!$C$25*('1401'!G23/'1401'!$N$127)</f>
        <v>0</v>
      </c>
      <c r="H23" s="1">
        <f>مجموع!$C$24*('1401'!H23/'1401'!$N$127)</f>
        <v>0</v>
      </c>
      <c r="I23" s="1">
        <f>مجموع!$C$23*('1401'!I23/'1401'!$N$127)</f>
        <v>1095698.0887991551</v>
      </c>
      <c r="J23" s="1">
        <f>مجموع!$C$22*('1401'!J23/'1401'!$N$127)</f>
        <v>1048170.9985423227</v>
      </c>
      <c r="K23" s="1">
        <f>مجموع!$C$21*('1401'!K23/'1401'!$N$127)</f>
        <v>1042178.2328722335</v>
      </c>
      <c r="L23" s="1">
        <f>مجموع!$C$20*('1401'!L23/'1401'!$N$127)</f>
        <v>836153.47942281829</v>
      </c>
      <c r="M23" s="1">
        <f>مجموع!$C$19*('1401'!M23/'1401'!$N$127)</f>
        <v>776388.86297277384</v>
      </c>
      <c r="N23" s="1">
        <f>مجموع!$C$18*('1401'!N23/'1401'!$N$127)</f>
        <v>710452.17503904807</v>
      </c>
      <c r="O23" s="4">
        <v>100</v>
      </c>
      <c r="P23" s="54" t="s">
        <v>10</v>
      </c>
      <c r="Q23" s="54">
        <v>1040</v>
      </c>
      <c r="R23" s="54" t="s">
        <v>93</v>
      </c>
      <c r="S23" s="54">
        <v>20</v>
      </c>
    </row>
    <row r="24" spans="1:19" ht="22.2" x14ac:dyDescent="0.3">
      <c r="A24" s="54"/>
      <c r="B24" s="6">
        <f t="shared" si="0"/>
        <v>5509041.8376483517</v>
      </c>
      <c r="C24" s="1">
        <f>مجموع!$C$29*('1401'!C24/'1401'!$N$127)</f>
        <v>0</v>
      </c>
      <c r="D24" s="1">
        <f>مجموع!$C$28*('1401'!D24/'1401'!$N$127)</f>
        <v>0</v>
      </c>
      <c r="E24" s="1">
        <f>مجموع!$C$27*('1401'!E24/'1401'!$N$127)</f>
        <v>0</v>
      </c>
      <c r="F24" s="1">
        <f>مجموع!$C$26*('1401'!F24/'1401'!$N$127)</f>
        <v>0</v>
      </c>
      <c r="G24" s="1">
        <f>مجموع!$C$25*('1401'!G24/'1401'!$N$127)</f>
        <v>0</v>
      </c>
      <c r="H24" s="1">
        <f>مجموع!$C$24*('1401'!H24/'1401'!$N$127)</f>
        <v>0</v>
      </c>
      <c r="I24" s="1">
        <f>مجموع!$C$23*('1401'!I24/'1401'!$N$127)</f>
        <v>1095698.0887991551</v>
      </c>
      <c r="J24" s="1">
        <f>مجموع!$C$22*('1401'!J24/'1401'!$N$127)</f>
        <v>1048170.9985423227</v>
      </c>
      <c r="K24" s="1">
        <f>مجموع!$C$21*('1401'!K24/'1401'!$N$127)</f>
        <v>1042178.2328722335</v>
      </c>
      <c r="L24" s="1">
        <f>مجموع!$C$20*('1401'!L24/'1401'!$N$127)</f>
        <v>836153.47942281829</v>
      </c>
      <c r="M24" s="1">
        <f>مجموع!$C$19*('1401'!M24/'1401'!$N$127)</f>
        <v>776388.86297277384</v>
      </c>
      <c r="N24" s="1">
        <f>مجموع!$C$18*('1401'!N24/'1401'!$N$127)</f>
        <v>710452.17503904807</v>
      </c>
      <c r="O24" s="4">
        <v>100</v>
      </c>
      <c r="P24" s="54" t="s">
        <v>12</v>
      </c>
      <c r="Q24" s="54">
        <v>1035</v>
      </c>
      <c r="R24" s="54" t="s">
        <v>93</v>
      </c>
      <c r="S24" s="54">
        <v>21</v>
      </c>
    </row>
    <row r="25" spans="1:19" ht="22.2" x14ac:dyDescent="0.3">
      <c r="A25" s="54"/>
      <c r="B25" s="6">
        <f t="shared" si="0"/>
        <v>7908336.6689530043</v>
      </c>
      <c r="C25" s="1">
        <f>مجموع!$C$29*('1401'!C25/'1401'!$N$127)</f>
        <v>0</v>
      </c>
      <c r="D25" s="1">
        <f>مجموع!$C$28*('1401'!D25/'1401'!$N$127)</f>
        <v>0</v>
      </c>
      <c r="E25" s="1">
        <f>مجموع!$C$27*('1401'!E25/'1401'!$N$127)</f>
        <v>0</v>
      </c>
      <c r="F25" s="1">
        <f>مجموع!$C$26*('1401'!F25/'1401'!$N$127)</f>
        <v>0</v>
      </c>
      <c r="G25" s="1">
        <f>مجموع!$C$25*('1401'!G25/'1401'!$N$127)</f>
        <v>0</v>
      </c>
      <c r="H25" s="1">
        <f>مجموع!$C$24*('1401'!H25/'1401'!$N$127)</f>
        <v>0</v>
      </c>
      <c r="I25" s="1">
        <f>مجموع!$C$23*('1401'!I25/'1401'!$N$127)</f>
        <v>1643547.1331987327</v>
      </c>
      <c r="J25" s="1">
        <f>مجموع!$C$22*('1401'!J25/'1401'!$N$127)</f>
        <v>1572256.4978134839</v>
      </c>
      <c r="K25" s="1">
        <f>مجموع!$C$21*('1401'!K25/'1401'!$N$127)</f>
        <v>1563267.3493083501</v>
      </c>
      <c r="L25" s="1">
        <f>مجموع!$C$20*('1401'!L25/'1401'!$N$127)</f>
        <v>1254230.2191342274</v>
      </c>
      <c r="M25" s="1">
        <f>مجموع!$C$19*('1401'!M25/'1401'!$N$127)</f>
        <v>1164583.2944591609</v>
      </c>
      <c r="N25" s="1">
        <f>مجموع!$C$18*('1401'!N25/'1401'!$N$127)</f>
        <v>710452.17503904807</v>
      </c>
      <c r="O25" s="4">
        <v>100</v>
      </c>
      <c r="P25" s="54" t="s">
        <v>14</v>
      </c>
      <c r="Q25" s="54">
        <v>1055</v>
      </c>
      <c r="R25" s="54" t="s">
        <v>93</v>
      </c>
      <c r="S25" s="54">
        <v>22</v>
      </c>
    </row>
    <row r="26" spans="1:19" ht="22.2" x14ac:dyDescent="0.3">
      <c r="A26" s="54"/>
      <c r="B26" s="6">
        <f t="shared" si="0"/>
        <v>7908336.6689530043</v>
      </c>
      <c r="C26" s="1">
        <f>مجموع!$C$29*('1401'!C26/'1401'!$N$127)</f>
        <v>0</v>
      </c>
      <c r="D26" s="1">
        <f>مجموع!$C$28*('1401'!D26/'1401'!$N$127)</f>
        <v>0</v>
      </c>
      <c r="E26" s="1">
        <f>مجموع!$C$27*('1401'!E26/'1401'!$N$127)</f>
        <v>0</v>
      </c>
      <c r="F26" s="1">
        <f>مجموع!$C$26*('1401'!F26/'1401'!$N$127)</f>
        <v>0</v>
      </c>
      <c r="G26" s="1">
        <f>مجموع!$C$25*('1401'!G26/'1401'!$N$127)</f>
        <v>0</v>
      </c>
      <c r="H26" s="1">
        <f>مجموع!$C$24*('1401'!H26/'1401'!$N$127)</f>
        <v>0</v>
      </c>
      <c r="I26" s="1">
        <f>مجموع!$C$23*('1401'!I26/'1401'!$N$127)</f>
        <v>1643547.1331987327</v>
      </c>
      <c r="J26" s="1">
        <f>مجموع!$C$22*('1401'!J26/'1401'!$N$127)</f>
        <v>1572256.4978134839</v>
      </c>
      <c r="K26" s="1">
        <f>مجموع!$C$21*('1401'!K26/'1401'!$N$127)</f>
        <v>1563267.3493083501</v>
      </c>
      <c r="L26" s="1">
        <f>مجموع!$C$20*('1401'!L26/'1401'!$N$127)</f>
        <v>1254230.2191342274</v>
      </c>
      <c r="M26" s="1">
        <f>مجموع!$C$19*('1401'!M26/'1401'!$N$127)</f>
        <v>1164583.2944591609</v>
      </c>
      <c r="N26" s="1">
        <f>مجموع!$C$18*('1401'!N26/'1401'!$N$127)</f>
        <v>710452.17503904807</v>
      </c>
      <c r="O26" s="4">
        <v>100</v>
      </c>
      <c r="P26" s="1" t="s">
        <v>13</v>
      </c>
      <c r="Q26" s="54">
        <v>1007</v>
      </c>
      <c r="R26" s="54" t="s">
        <v>93</v>
      </c>
      <c r="S26" s="54">
        <v>23</v>
      </c>
    </row>
    <row r="27" spans="1:19" ht="22.2" x14ac:dyDescent="0.3">
      <c r="A27" s="54"/>
      <c r="B27" s="6">
        <f t="shared" si="0"/>
        <v>4131781.378236264</v>
      </c>
      <c r="C27" s="1">
        <f>مجموع!$C$29*('1401'!C27/'1401'!$N$127)</f>
        <v>0</v>
      </c>
      <c r="D27" s="1">
        <f>مجموع!$C$28*('1401'!D27/'1401'!$N$127)</f>
        <v>0</v>
      </c>
      <c r="E27" s="1">
        <f>مجموع!$C$27*('1401'!E27/'1401'!$N$127)</f>
        <v>0</v>
      </c>
      <c r="F27" s="1">
        <f>مجموع!$C$26*('1401'!F27/'1401'!$N$127)</f>
        <v>0</v>
      </c>
      <c r="G27" s="1">
        <f>مجموع!$C$25*('1401'!G27/'1401'!$N$127)</f>
        <v>0</v>
      </c>
      <c r="H27" s="1">
        <f>مجموع!$C$24*('1401'!H27/'1401'!$N$127)</f>
        <v>0</v>
      </c>
      <c r="I27" s="1">
        <f>مجموع!$C$23*('1401'!I27/'1401'!$N$127)</f>
        <v>821773.56659936637</v>
      </c>
      <c r="J27" s="1">
        <f>مجموع!$C$22*('1401'!J27/'1401'!$N$127)</f>
        <v>786128.24890674197</v>
      </c>
      <c r="K27" s="1">
        <f>مجموع!$C$21*('1401'!K27/'1401'!$N$127)</f>
        <v>781633.67465417506</v>
      </c>
      <c r="L27" s="1">
        <f>مجموع!$C$20*('1401'!L27/'1401'!$N$127)</f>
        <v>627115.10956711369</v>
      </c>
      <c r="M27" s="1">
        <f>مجموع!$C$19*('1401'!M27/'1401'!$N$127)</f>
        <v>582291.64722958044</v>
      </c>
      <c r="N27" s="1">
        <f>مجموع!$C$18*('1401'!N27/'1401'!$N$127)</f>
        <v>532839.131279286</v>
      </c>
      <c r="O27" s="4">
        <v>75</v>
      </c>
      <c r="P27" s="54" t="s">
        <v>30</v>
      </c>
      <c r="Q27" s="54">
        <v>1045</v>
      </c>
      <c r="R27" s="54" t="s">
        <v>93</v>
      </c>
      <c r="S27" s="54">
        <v>24</v>
      </c>
    </row>
    <row r="28" spans="1:19" ht="22.2" x14ac:dyDescent="0.3">
      <c r="A28" s="54"/>
      <c r="B28" s="6">
        <f t="shared" si="0"/>
        <v>4131781.378236264</v>
      </c>
      <c r="C28" s="1">
        <f>مجموع!$C$29*('1401'!C28/'1401'!$N$127)</f>
        <v>0</v>
      </c>
      <c r="D28" s="1">
        <f>مجموع!$C$28*('1401'!D28/'1401'!$N$127)</f>
        <v>0</v>
      </c>
      <c r="E28" s="1">
        <f>مجموع!$C$27*('1401'!E28/'1401'!$N$127)</f>
        <v>0</v>
      </c>
      <c r="F28" s="1">
        <f>مجموع!$C$26*('1401'!F28/'1401'!$N$127)</f>
        <v>0</v>
      </c>
      <c r="G28" s="1">
        <f>مجموع!$C$25*('1401'!G28/'1401'!$N$127)</f>
        <v>0</v>
      </c>
      <c r="H28" s="1">
        <f>مجموع!$C$24*('1401'!H28/'1401'!$N$127)</f>
        <v>0</v>
      </c>
      <c r="I28" s="1">
        <f>مجموع!$C$23*('1401'!I28/'1401'!$N$127)</f>
        <v>821773.56659936637</v>
      </c>
      <c r="J28" s="1">
        <f>مجموع!$C$22*('1401'!J28/'1401'!$N$127)</f>
        <v>786128.24890674197</v>
      </c>
      <c r="K28" s="1">
        <f>مجموع!$C$21*('1401'!K28/'1401'!$N$127)</f>
        <v>781633.67465417506</v>
      </c>
      <c r="L28" s="1">
        <f>مجموع!$C$20*('1401'!L28/'1401'!$N$127)</f>
        <v>627115.10956711369</v>
      </c>
      <c r="M28" s="1">
        <f>مجموع!$C$19*('1401'!M28/'1401'!$N$127)</f>
        <v>582291.64722958044</v>
      </c>
      <c r="N28" s="1">
        <f>مجموع!$C$18*('1401'!N28/'1401'!$N$127)</f>
        <v>532839.131279286</v>
      </c>
      <c r="O28" s="4">
        <v>75</v>
      </c>
      <c r="P28" s="54" t="s">
        <v>31</v>
      </c>
      <c r="Q28" s="54">
        <v>1059</v>
      </c>
      <c r="R28" s="54" t="s">
        <v>93</v>
      </c>
      <c r="S28" s="54">
        <v>25</v>
      </c>
    </row>
    <row r="29" spans="1:19" ht="22.2" x14ac:dyDescent="0.3">
      <c r="A29" s="54"/>
      <c r="B29" s="6">
        <f t="shared" si="0"/>
        <v>4131781.378236264</v>
      </c>
      <c r="C29" s="1">
        <f>مجموع!$C$29*('1401'!C29/'1401'!$N$127)</f>
        <v>0</v>
      </c>
      <c r="D29" s="1">
        <f>مجموع!$C$28*('1401'!D29/'1401'!$N$127)</f>
        <v>0</v>
      </c>
      <c r="E29" s="1">
        <f>مجموع!$C$27*('1401'!E29/'1401'!$N$127)</f>
        <v>0</v>
      </c>
      <c r="F29" s="1">
        <f>مجموع!$C$26*('1401'!F29/'1401'!$N$127)</f>
        <v>0</v>
      </c>
      <c r="G29" s="1">
        <f>مجموع!$C$25*('1401'!G29/'1401'!$N$127)</f>
        <v>0</v>
      </c>
      <c r="H29" s="1">
        <f>مجموع!$C$24*('1401'!H29/'1401'!$N$127)</f>
        <v>0</v>
      </c>
      <c r="I29" s="1">
        <f>مجموع!$C$23*('1401'!I29/'1401'!$N$127)</f>
        <v>821773.56659936637</v>
      </c>
      <c r="J29" s="1">
        <f>مجموع!$C$22*('1401'!J29/'1401'!$N$127)</f>
        <v>786128.24890674197</v>
      </c>
      <c r="K29" s="1">
        <f>مجموع!$C$21*('1401'!K29/'1401'!$N$127)</f>
        <v>781633.67465417506</v>
      </c>
      <c r="L29" s="1">
        <f>مجموع!$C$20*('1401'!L29/'1401'!$N$127)</f>
        <v>627115.10956711369</v>
      </c>
      <c r="M29" s="1">
        <f>مجموع!$C$19*('1401'!M29/'1401'!$N$127)</f>
        <v>582291.64722958044</v>
      </c>
      <c r="N29" s="1">
        <f>مجموع!$C$18*('1401'!N29/'1401'!$N$127)</f>
        <v>532839.131279286</v>
      </c>
      <c r="O29" s="4">
        <v>75</v>
      </c>
      <c r="P29" s="54" t="s">
        <v>32</v>
      </c>
      <c r="Q29" s="54">
        <v>1051</v>
      </c>
      <c r="R29" s="54" t="s">
        <v>93</v>
      </c>
      <c r="S29" s="54">
        <v>26</v>
      </c>
    </row>
    <row r="30" spans="1:19" ht="22.2" x14ac:dyDescent="0.3">
      <c r="A30" s="54"/>
      <c r="B30" s="6">
        <f t="shared" si="0"/>
        <v>1332479.1018887972</v>
      </c>
      <c r="C30" s="1">
        <f>مجموع!$C$29*('1401'!C30/'1401'!$N$127)</f>
        <v>0</v>
      </c>
      <c r="D30" s="1">
        <f>مجموع!$C$28*('1401'!D30/'1401'!$N$127)</f>
        <v>0</v>
      </c>
      <c r="E30" s="1">
        <f>مجموع!$C$27*('1401'!E30/'1401'!$N$127)</f>
        <v>0</v>
      </c>
      <c r="F30" s="1">
        <f>مجموع!$C$26*('1401'!F30/'1401'!$N$127)</f>
        <v>0</v>
      </c>
      <c r="G30" s="1">
        <f>مجموع!$C$25*('1401'!G30/'1401'!$N$127)</f>
        <v>0</v>
      </c>
      <c r="H30" s="1">
        <f>مجموع!$C$24*('1401'!H30/'1401'!$N$127)</f>
        <v>0</v>
      </c>
      <c r="I30" s="1">
        <f>مجموع!$C$23*('1401'!I30/'1401'!$N$127)</f>
        <v>547849.04439957754</v>
      </c>
      <c r="J30" s="1">
        <f>مجموع!$C$22*('1401'!J30/'1401'!$N$127)</f>
        <v>524085.49927116133</v>
      </c>
      <c r="K30" s="1">
        <f>مجموع!$C$21*('1401'!K30/'1401'!$N$127)</f>
        <v>260544.55821805837</v>
      </c>
      <c r="L30" s="1">
        <f>مجموع!$C$20*('1401'!L30/'1401'!$N$127)</f>
        <v>0</v>
      </c>
      <c r="M30" s="1">
        <f>مجموع!$C$19*('1401'!M30/'1401'!$N$127)</f>
        <v>0</v>
      </c>
      <c r="N30" s="1">
        <f>مجموع!$C$18*('1401'!N30/'1401'!$N$127)</f>
        <v>0</v>
      </c>
      <c r="O30" s="4">
        <v>0</v>
      </c>
      <c r="P30" s="54" t="s">
        <v>29</v>
      </c>
      <c r="Q30" s="54">
        <v>1019</v>
      </c>
      <c r="R30" s="54" t="s">
        <v>93</v>
      </c>
      <c r="S30" s="54">
        <v>27</v>
      </c>
    </row>
    <row r="31" spans="1:19" ht="22.2" x14ac:dyDescent="0.3">
      <c r="A31" s="54"/>
      <c r="B31" s="6">
        <f t="shared" si="0"/>
        <v>11018083.675296703</v>
      </c>
      <c r="C31" s="1">
        <f>مجموع!$C$29*('1401'!C31/'1401'!$N$127)</f>
        <v>0</v>
      </c>
      <c r="D31" s="1">
        <f>مجموع!$C$28*('1401'!D31/'1401'!$N$127)</f>
        <v>0</v>
      </c>
      <c r="E31" s="1">
        <f>مجموع!$C$27*('1401'!E31/'1401'!$N$127)</f>
        <v>0</v>
      </c>
      <c r="F31" s="1">
        <f>مجموع!$C$26*('1401'!F31/'1401'!$N$127)</f>
        <v>0</v>
      </c>
      <c r="G31" s="1">
        <f>مجموع!$C$25*('1401'!G31/'1401'!$N$127)</f>
        <v>0</v>
      </c>
      <c r="H31" s="1">
        <f>مجموع!$C$24*('1401'!H31/'1401'!$N$127)</f>
        <v>0</v>
      </c>
      <c r="I31" s="1">
        <f>مجموع!$C$23*('1401'!I31/'1401'!$N$127)</f>
        <v>2191396.1775983102</v>
      </c>
      <c r="J31" s="1">
        <f>مجموع!$C$22*('1401'!J31/'1401'!$N$127)</f>
        <v>2096341.9970846453</v>
      </c>
      <c r="K31" s="1">
        <f>مجموع!$C$21*('1401'!K31/'1401'!$N$127)</f>
        <v>2084356.465744467</v>
      </c>
      <c r="L31" s="1">
        <f>مجموع!$C$20*('1401'!L31/'1401'!$N$127)</f>
        <v>1672306.9588456366</v>
      </c>
      <c r="M31" s="1">
        <f>مجموع!$C$19*('1401'!M31/'1401'!$N$127)</f>
        <v>1552777.7259455477</v>
      </c>
      <c r="N31" s="1">
        <f>مجموع!$C$18*('1401'!N31/'1401'!$N$127)</f>
        <v>1420904.3500780961</v>
      </c>
      <c r="O31" s="4">
        <v>200</v>
      </c>
      <c r="P31" s="54" t="s">
        <v>4</v>
      </c>
      <c r="Q31" s="54">
        <v>1008</v>
      </c>
      <c r="R31" s="54" t="s">
        <v>93</v>
      </c>
      <c r="S31" s="54">
        <v>28</v>
      </c>
    </row>
    <row r="32" spans="1:19" ht="22.2" x14ac:dyDescent="0.3">
      <c r="A32" s="54"/>
      <c r="B32" s="6">
        <f t="shared" si="0"/>
        <v>3186047.3202137109</v>
      </c>
      <c r="C32" s="1">
        <f>مجموع!$C$29*('1401'!C32/'1401'!$N$127)</f>
        <v>0</v>
      </c>
      <c r="D32" s="1">
        <f>مجموع!$C$28*('1401'!D32/'1401'!$N$127)</f>
        <v>0</v>
      </c>
      <c r="E32" s="1">
        <f>مجموع!$C$27*('1401'!E32/'1401'!$N$127)</f>
        <v>0</v>
      </c>
      <c r="F32" s="1">
        <f>مجموع!$C$26*('1401'!F32/'1401'!$N$127)</f>
        <v>0</v>
      </c>
      <c r="G32" s="1">
        <f>مجموع!$C$25*('1401'!G32/'1401'!$N$127)</f>
        <v>0</v>
      </c>
      <c r="H32" s="1">
        <f>مجموع!$C$24*('1401'!H32/'1401'!$N$127)</f>
        <v>0</v>
      </c>
      <c r="I32" s="1">
        <f>مجموع!$C$23*('1401'!I32/'1401'!$N$127)</f>
        <v>1095698.0887991551</v>
      </c>
      <c r="J32" s="1">
        <f>مجموع!$C$22*('1401'!J32/'1401'!$N$127)</f>
        <v>1048170.9985423227</v>
      </c>
      <c r="K32" s="1">
        <f>مجموع!$C$21*('1401'!K32/'1401'!$N$127)</f>
        <v>1042178.2328722335</v>
      </c>
      <c r="L32" s="1">
        <f>مجموع!$C$20*('1401'!L32/'1401'!$N$127)</f>
        <v>0</v>
      </c>
      <c r="M32" s="1">
        <f>مجموع!$C$19*('1401'!M32/'1401'!$N$127)</f>
        <v>0</v>
      </c>
      <c r="N32" s="1">
        <f>مجموع!$C$18*('1401'!N32/'1401'!$N$127)</f>
        <v>0</v>
      </c>
      <c r="O32" s="4">
        <v>0</v>
      </c>
      <c r="P32" s="54" t="s">
        <v>28</v>
      </c>
      <c r="Q32" s="54">
        <v>1058</v>
      </c>
      <c r="R32" s="54" t="s">
        <v>93</v>
      </c>
      <c r="S32" s="54">
        <v>29</v>
      </c>
    </row>
    <row r="33" spans="1:19" ht="22.2" x14ac:dyDescent="0.3">
      <c r="A33" s="54"/>
      <c r="B33" s="6">
        <f t="shared" si="0"/>
        <v>0</v>
      </c>
      <c r="C33" s="1">
        <f>مجموع!$C$29*('1401'!C33/'1401'!$N$127)</f>
        <v>0</v>
      </c>
      <c r="D33" s="1">
        <f>مجموع!$C$28*('1401'!D33/'1401'!$N$127)</f>
        <v>0</v>
      </c>
      <c r="E33" s="1">
        <f>مجموع!$C$27*('1401'!E33/'1401'!$N$127)</f>
        <v>0</v>
      </c>
      <c r="F33" s="1">
        <f>مجموع!$C$26*('1401'!F33/'1401'!$N$127)</f>
        <v>0</v>
      </c>
      <c r="G33" s="1">
        <f>مجموع!$C$25*('1401'!G33/'1401'!$N$127)</f>
        <v>0</v>
      </c>
      <c r="H33" s="1">
        <f>مجموع!$C$24*('1401'!H33/'1401'!$N$127)</f>
        <v>0</v>
      </c>
      <c r="I33" s="1">
        <f>مجموع!$C$23*('1401'!I33/'1401'!$N$127)</f>
        <v>0</v>
      </c>
      <c r="J33" s="1">
        <f>مجموع!$C$22*('1401'!J33/'1401'!$N$127)</f>
        <v>0</v>
      </c>
      <c r="K33" s="1">
        <f>مجموع!$C$21*('1401'!K33/'1401'!$N$127)</f>
        <v>0</v>
      </c>
      <c r="L33" s="1">
        <f>مجموع!$C$20*('1401'!L33/'1401'!$N$127)</f>
        <v>0</v>
      </c>
      <c r="M33" s="1">
        <f>مجموع!$C$19*('1401'!M33/'1401'!$N$127)</f>
        <v>0</v>
      </c>
      <c r="N33" s="1">
        <f>مجموع!$C$18*('1401'!N33/'1401'!$N$127)</f>
        <v>0</v>
      </c>
      <c r="O33" s="4">
        <v>0</v>
      </c>
      <c r="P33" s="54" t="s">
        <v>5</v>
      </c>
      <c r="Q33" s="54">
        <v>1044</v>
      </c>
      <c r="R33" s="54" t="s">
        <v>93</v>
      </c>
      <c r="S33" s="54">
        <v>30</v>
      </c>
    </row>
    <row r="34" spans="1:19" ht="22.2" x14ac:dyDescent="0.3">
      <c r="A34" s="54"/>
      <c r="B34" s="6">
        <f t="shared" si="0"/>
        <v>11565932.71969628</v>
      </c>
      <c r="C34" s="1">
        <f>مجموع!$C$29*('1401'!C34/'1401'!$N$127)</f>
        <v>0</v>
      </c>
      <c r="D34" s="1">
        <f>مجموع!$C$28*('1401'!D34/'1401'!$N$127)</f>
        <v>0</v>
      </c>
      <c r="E34" s="1">
        <f>مجموع!$C$27*('1401'!E34/'1401'!$N$127)</f>
        <v>0</v>
      </c>
      <c r="F34" s="1">
        <f>مجموع!$C$26*('1401'!F34/'1401'!$N$127)</f>
        <v>0</v>
      </c>
      <c r="G34" s="1">
        <f>مجموع!$C$25*('1401'!G34/'1401'!$N$127)</f>
        <v>0</v>
      </c>
      <c r="H34" s="1">
        <f>مجموع!$C$24*('1401'!H34/'1401'!$N$127)</f>
        <v>0</v>
      </c>
      <c r="I34" s="1">
        <f>مجموع!$C$23*('1401'!I34/'1401'!$N$127)</f>
        <v>2739245.2219978878</v>
      </c>
      <c r="J34" s="1">
        <f>مجموع!$C$22*('1401'!J34/'1401'!$N$127)</f>
        <v>2096341.9970846453</v>
      </c>
      <c r="K34" s="1">
        <f>مجموع!$C$21*('1401'!K34/'1401'!$N$127)</f>
        <v>2084356.465744467</v>
      </c>
      <c r="L34" s="1">
        <f>مجموع!$C$20*('1401'!L34/'1401'!$N$127)</f>
        <v>1672306.9588456366</v>
      </c>
      <c r="M34" s="1">
        <f>مجموع!$C$19*('1401'!M34/'1401'!$N$127)</f>
        <v>1552777.7259455477</v>
      </c>
      <c r="N34" s="1">
        <f>مجموع!$C$18*('1401'!N34/'1401'!$N$127)</f>
        <v>1420904.3500780961</v>
      </c>
      <c r="O34" s="4">
        <v>200</v>
      </c>
      <c r="P34" s="54" t="s">
        <v>6</v>
      </c>
      <c r="Q34" s="54">
        <v>1056</v>
      </c>
      <c r="R34" s="54" t="s">
        <v>93</v>
      </c>
      <c r="S34" s="54">
        <v>31</v>
      </c>
    </row>
    <row r="35" spans="1:19" ht="22.2" x14ac:dyDescent="0.3">
      <c r="A35" s="54"/>
      <c r="B35" s="6">
        <f t="shared" si="0"/>
        <v>0</v>
      </c>
      <c r="C35" s="1">
        <f>مجموع!$C$29*('1401'!C35/'1401'!$N$127)</f>
        <v>0</v>
      </c>
      <c r="D35" s="1">
        <f>مجموع!$C$28*('1401'!D35/'1401'!$N$127)</f>
        <v>0</v>
      </c>
      <c r="E35" s="1">
        <f>مجموع!$C$27*('1401'!E35/'1401'!$N$127)</f>
        <v>0</v>
      </c>
      <c r="F35" s="1">
        <f>مجموع!$C$26*('1401'!F35/'1401'!$N$127)</f>
        <v>0</v>
      </c>
      <c r="G35" s="1">
        <f>مجموع!$C$25*('1401'!G35/'1401'!$N$127)</f>
        <v>0</v>
      </c>
      <c r="H35" s="1">
        <f>مجموع!$C$24*('1401'!H35/'1401'!$N$127)</f>
        <v>0</v>
      </c>
      <c r="I35" s="1">
        <f>مجموع!$C$23*('1401'!I35/'1401'!$N$127)</f>
        <v>0</v>
      </c>
      <c r="J35" s="1">
        <f>مجموع!$C$22*('1401'!J35/'1401'!$N$127)</f>
        <v>0</v>
      </c>
      <c r="K35" s="1">
        <f>مجموع!$C$21*('1401'!K35/'1401'!$N$127)</f>
        <v>0</v>
      </c>
      <c r="L35" s="1">
        <f>مجموع!$C$20*('1401'!L35/'1401'!$N$127)</f>
        <v>0</v>
      </c>
      <c r="M35" s="1">
        <f>مجموع!$C$19*('1401'!M35/'1401'!$N$127)</f>
        <v>0</v>
      </c>
      <c r="N35" s="1">
        <f>مجموع!$C$18*('1401'!N35/'1401'!$N$127)</f>
        <v>0</v>
      </c>
      <c r="O35" s="4">
        <v>0</v>
      </c>
      <c r="P35" s="54" t="s">
        <v>19</v>
      </c>
      <c r="Q35" s="54">
        <v>1029</v>
      </c>
      <c r="R35" s="54"/>
      <c r="S35" s="54">
        <v>32</v>
      </c>
    </row>
    <row r="36" spans="1:19" ht="22.2" x14ac:dyDescent="0.3">
      <c r="A36" s="54"/>
      <c r="B36" s="6">
        <f t="shared" si="0"/>
        <v>0</v>
      </c>
      <c r="C36" s="1">
        <f>مجموع!$C$29*('1401'!C36/'1401'!$N$127)</f>
        <v>0</v>
      </c>
      <c r="D36" s="1">
        <f>مجموع!$C$28*('1401'!D36/'1401'!$N$127)</f>
        <v>0</v>
      </c>
      <c r="E36" s="1">
        <f>مجموع!$C$27*('1401'!E36/'1401'!$N$127)</f>
        <v>0</v>
      </c>
      <c r="F36" s="1">
        <f>مجموع!$C$26*('1401'!F36/'1401'!$N$127)</f>
        <v>0</v>
      </c>
      <c r="G36" s="1">
        <f>مجموع!$C$25*('1401'!G36/'1401'!$N$127)</f>
        <v>0</v>
      </c>
      <c r="H36" s="1">
        <f>مجموع!$C$24*('1401'!H36/'1401'!$N$127)</f>
        <v>0</v>
      </c>
      <c r="I36" s="1">
        <f>مجموع!$C$23*('1401'!I36/'1401'!$N$127)</f>
        <v>0</v>
      </c>
      <c r="J36" s="1">
        <f>مجموع!$C$22*('1401'!J36/'1401'!$N$127)</f>
        <v>0</v>
      </c>
      <c r="K36" s="1">
        <f>مجموع!$C$21*('1401'!K36/'1401'!$N$127)</f>
        <v>0</v>
      </c>
      <c r="L36" s="1">
        <f>مجموع!$C$20*('1401'!L36/'1401'!$N$127)</f>
        <v>0</v>
      </c>
      <c r="M36" s="1">
        <f>مجموع!$C$19*('1401'!M36/'1401'!$N$127)</f>
        <v>0</v>
      </c>
      <c r="N36" s="1">
        <f>مجموع!$C$18*('1401'!N36/'1401'!$N$127)</f>
        <v>0</v>
      </c>
      <c r="O36" s="4">
        <v>0</v>
      </c>
      <c r="P36" s="54" t="s">
        <v>65</v>
      </c>
      <c r="Q36" s="54">
        <v>1034</v>
      </c>
      <c r="R36" s="54" t="s">
        <v>93</v>
      </c>
      <c r="S36" s="54">
        <v>33</v>
      </c>
    </row>
    <row r="37" spans="1:19" ht="22.2" x14ac:dyDescent="0.3">
      <c r="A37" s="54"/>
      <c r="B37" s="6">
        <f t="shared" si="0"/>
        <v>0</v>
      </c>
      <c r="C37" s="1">
        <f>مجموع!$C$29*('1401'!C37/'1401'!$N$127)</f>
        <v>0</v>
      </c>
      <c r="D37" s="1">
        <f>مجموع!$C$28*('1401'!D37/'1401'!$N$127)</f>
        <v>0</v>
      </c>
      <c r="E37" s="1">
        <f>مجموع!$C$27*('1401'!E37/'1401'!$N$127)</f>
        <v>0</v>
      </c>
      <c r="F37" s="1">
        <f>مجموع!$C$26*('1401'!F37/'1401'!$N$127)</f>
        <v>0</v>
      </c>
      <c r="G37" s="1">
        <f>مجموع!$C$25*('1401'!G37/'1401'!$N$127)</f>
        <v>0</v>
      </c>
      <c r="H37" s="1">
        <f>مجموع!$C$24*('1401'!H37/'1401'!$N$127)</f>
        <v>0</v>
      </c>
      <c r="I37" s="1">
        <f>مجموع!$C$23*('1401'!I37/'1401'!$N$127)</f>
        <v>0</v>
      </c>
      <c r="J37" s="1">
        <f>مجموع!$C$22*('1401'!J37/'1401'!$N$127)</f>
        <v>0</v>
      </c>
      <c r="K37" s="1">
        <f>مجموع!$C$21*('1401'!K37/'1401'!$N$127)</f>
        <v>0</v>
      </c>
      <c r="L37" s="1">
        <f>مجموع!$C$20*('1401'!L37/'1401'!$N$127)</f>
        <v>0</v>
      </c>
      <c r="M37" s="1">
        <f>مجموع!$C$19*('1401'!M37/'1401'!$N$127)</f>
        <v>0</v>
      </c>
      <c r="N37" s="1">
        <f>مجموع!$C$18*('1401'!N37/'1401'!$N$127)</f>
        <v>0</v>
      </c>
      <c r="O37" s="4">
        <v>0</v>
      </c>
      <c r="P37" s="54" t="s">
        <v>20</v>
      </c>
      <c r="Q37" s="54">
        <v>1012</v>
      </c>
      <c r="R37" s="54"/>
      <c r="S37" s="54">
        <v>34</v>
      </c>
    </row>
    <row r="38" spans="1:19" ht="22.2" x14ac:dyDescent="0.3">
      <c r="A38" s="54"/>
      <c r="B38" s="6">
        <f t="shared" si="0"/>
        <v>7488716.9113706732</v>
      </c>
      <c r="C38" s="1">
        <f>مجموع!$C$29*('1401'!C38/'1401'!$N$127)</f>
        <v>0</v>
      </c>
      <c r="D38" s="1">
        <f>مجموع!$C$28*('1401'!D38/'1401'!$N$127)</f>
        <v>0</v>
      </c>
      <c r="E38" s="1">
        <f>مجموع!$C$27*('1401'!E38/'1401'!$N$127)</f>
        <v>0</v>
      </c>
      <c r="F38" s="1">
        <f>مجموع!$C$26*('1401'!F38/'1401'!$N$127)</f>
        <v>0</v>
      </c>
      <c r="G38" s="1">
        <f>مجموع!$C$25*('1401'!G38/'1401'!$N$127)</f>
        <v>0</v>
      </c>
      <c r="H38" s="1">
        <f>مجموع!$C$24*('1401'!H38/'1401'!$N$127)</f>
        <v>0</v>
      </c>
      <c r="I38" s="1">
        <f>مجموع!$C$23*('1401'!I38/'1401'!$N$127)</f>
        <v>1643547.1331987327</v>
      </c>
      <c r="J38" s="1">
        <f>مجموع!$C$22*('1401'!J38/'1401'!$N$127)</f>
        <v>1572256.4978134839</v>
      </c>
      <c r="K38" s="1">
        <f>مجموع!$C$21*('1401'!K38/'1401'!$N$127)</f>
        <v>1563267.3493083501</v>
      </c>
      <c r="L38" s="1">
        <f>مجموع!$C$20*('1401'!L38/'1401'!$N$127)</f>
        <v>1045191.8492785228</v>
      </c>
      <c r="M38" s="1">
        <f>مجموع!$C$19*('1401'!M38/'1401'!$N$127)</f>
        <v>776388.86297277384</v>
      </c>
      <c r="N38" s="1">
        <f>مجموع!$C$18*('1401'!N38/'1401'!$N$127)</f>
        <v>888065.21879881003</v>
      </c>
      <c r="O38" s="4">
        <v>125</v>
      </c>
      <c r="P38" s="54" t="s">
        <v>38</v>
      </c>
      <c r="Q38" s="54">
        <v>1031</v>
      </c>
      <c r="R38" s="54" t="s">
        <v>93</v>
      </c>
      <c r="S38" s="54">
        <v>35</v>
      </c>
    </row>
    <row r="39" spans="1:19" ht="22.2" x14ac:dyDescent="0.3">
      <c r="A39" s="54"/>
      <c r="B39" s="6">
        <f t="shared" si="0"/>
        <v>9345776.7164510656</v>
      </c>
      <c r="C39" s="1">
        <f>مجموع!$C$29*('1401'!C39/'1401'!$N$127)</f>
        <v>0</v>
      </c>
      <c r="D39" s="1">
        <f>مجموع!$C$28*('1401'!D39/'1401'!$N$127)</f>
        <v>0</v>
      </c>
      <c r="E39" s="1">
        <f>مجموع!$C$27*('1401'!E39/'1401'!$N$127)</f>
        <v>0</v>
      </c>
      <c r="F39" s="1">
        <f>مجموع!$C$26*('1401'!F39/'1401'!$N$127)</f>
        <v>0</v>
      </c>
      <c r="G39" s="1">
        <f>مجموع!$C$25*('1401'!G39/'1401'!$N$127)</f>
        <v>0</v>
      </c>
      <c r="H39" s="1">
        <f>مجموع!$C$24*('1401'!H39/'1401'!$N$127)</f>
        <v>0</v>
      </c>
      <c r="I39" s="1">
        <f>مجموع!$C$23*('1401'!I39/'1401'!$N$127)</f>
        <v>2191396.1775983102</v>
      </c>
      <c r="J39" s="1">
        <f>مجموع!$C$22*('1401'!J39/'1401'!$N$127)</f>
        <v>2096341.9970846453</v>
      </c>
      <c r="K39" s="1">
        <f>مجموع!$C$21*('1401'!K39/'1401'!$N$127)</f>
        <v>2084356.465744467</v>
      </c>
      <c r="L39" s="1">
        <f>مجموع!$C$20*('1401'!L39/'1401'!$N$127)</f>
        <v>0</v>
      </c>
      <c r="M39" s="1">
        <f>مجموع!$C$19*('1401'!M39/'1401'!$N$127)</f>
        <v>1552777.7259455477</v>
      </c>
      <c r="N39" s="1">
        <f>مجموع!$C$18*('1401'!N39/'1401'!$N$127)</f>
        <v>1420904.3500780961</v>
      </c>
      <c r="O39" s="4">
        <v>200</v>
      </c>
      <c r="P39" s="54" t="s">
        <v>42</v>
      </c>
      <c r="Q39" s="54">
        <v>1048</v>
      </c>
      <c r="R39" s="54" t="s">
        <v>93</v>
      </c>
      <c r="S39" s="54">
        <v>36</v>
      </c>
    </row>
    <row r="40" spans="1:19" ht="22.2" x14ac:dyDescent="0.3">
      <c r="A40" s="54"/>
      <c r="B40" s="6">
        <f t="shared" si="0"/>
        <v>7488716.9113706732</v>
      </c>
      <c r="C40" s="1">
        <f>مجموع!$C$29*('1401'!C40/'1401'!$N$127)</f>
        <v>0</v>
      </c>
      <c r="D40" s="1">
        <f>مجموع!$C$28*('1401'!D40/'1401'!$N$127)</f>
        <v>0</v>
      </c>
      <c r="E40" s="1">
        <f>مجموع!$C$27*('1401'!E40/'1401'!$N$127)</f>
        <v>0</v>
      </c>
      <c r="F40" s="1">
        <f>مجموع!$C$26*('1401'!F40/'1401'!$N$127)</f>
        <v>0</v>
      </c>
      <c r="G40" s="1">
        <f>مجموع!$C$25*('1401'!G40/'1401'!$N$127)</f>
        <v>0</v>
      </c>
      <c r="H40" s="1">
        <f>مجموع!$C$24*('1401'!H40/'1401'!$N$127)</f>
        <v>0</v>
      </c>
      <c r="I40" s="1">
        <f>مجموع!$C$23*('1401'!I40/'1401'!$N$127)</f>
        <v>1643547.1331987327</v>
      </c>
      <c r="J40" s="1">
        <f>مجموع!$C$22*('1401'!J40/'1401'!$N$127)</f>
        <v>1572256.4978134839</v>
      </c>
      <c r="K40" s="1">
        <f>مجموع!$C$21*('1401'!K40/'1401'!$N$127)</f>
        <v>1563267.3493083501</v>
      </c>
      <c r="L40" s="1">
        <f>مجموع!$C$20*('1401'!L40/'1401'!$N$127)</f>
        <v>1045191.8492785228</v>
      </c>
      <c r="M40" s="1">
        <f>مجموع!$C$19*('1401'!M40/'1401'!$N$127)</f>
        <v>776388.86297277384</v>
      </c>
      <c r="N40" s="1">
        <f>مجموع!$C$18*('1401'!N40/'1401'!$N$127)</f>
        <v>888065.21879881003</v>
      </c>
      <c r="O40" s="4">
        <v>125</v>
      </c>
      <c r="P40" s="54" t="s">
        <v>39</v>
      </c>
      <c r="Q40" s="54">
        <v>1052</v>
      </c>
      <c r="R40" s="54" t="s">
        <v>93</v>
      </c>
      <c r="S40" s="54">
        <v>37</v>
      </c>
    </row>
    <row r="41" spans="1:19" ht="22.2" x14ac:dyDescent="0.3">
      <c r="A41" s="54"/>
      <c r="B41" s="6">
        <f t="shared" si="0"/>
        <v>5509041.8376483517</v>
      </c>
      <c r="C41" s="1">
        <f>مجموع!$C$29*('1401'!C41/'1401'!$N$127)</f>
        <v>0</v>
      </c>
      <c r="D41" s="1">
        <f>مجموع!$C$28*('1401'!D41/'1401'!$N$127)</f>
        <v>0</v>
      </c>
      <c r="E41" s="1">
        <f>مجموع!$C$27*('1401'!E41/'1401'!$N$127)</f>
        <v>0</v>
      </c>
      <c r="F41" s="1">
        <f>مجموع!$C$26*('1401'!F41/'1401'!$N$127)</f>
        <v>0</v>
      </c>
      <c r="G41" s="1">
        <f>مجموع!$C$25*('1401'!G41/'1401'!$N$127)</f>
        <v>0</v>
      </c>
      <c r="H41" s="1">
        <f>مجموع!$C$24*('1401'!H41/'1401'!$N$127)</f>
        <v>0</v>
      </c>
      <c r="I41" s="1">
        <f>مجموع!$C$23*('1401'!I41/'1401'!$N$127)</f>
        <v>1095698.0887991551</v>
      </c>
      <c r="J41" s="1">
        <f>مجموع!$C$22*('1401'!J41/'1401'!$N$127)</f>
        <v>1048170.9985423227</v>
      </c>
      <c r="K41" s="1">
        <f>مجموع!$C$21*('1401'!K41/'1401'!$N$127)</f>
        <v>1042178.2328722335</v>
      </c>
      <c r="L41" s="1">
        <f>مجموع!$C$20*('1401'!L41/'1401'!$N$127)</f>
        <v>836153.47942281829</v>
      </c>
      <c r="M41" s="1">
        <f>مجموع!$C$19*('1401'!M41/'1401'!$N$127)</f>
        <v>776388.86297277384</v>
      </c>
      <c r="N41" s="1">
        <f>مجموع!$C$18*('1401'!N41/'1401'!$N$127)</f>
        <v>710452.17503904807</v>
      </c>
      <c r="O41" s="4">
        <v>100</v>
      </c>
      <c r="P41" s="54" t="s">
        <v>24</v>
      </c>
      <c r="Q41" s="54">
        <v>1004</v>
      </c>
      <c r="R41" s="54"/>
      <c r="S41" s="54">
        <v>38</v>
      </c>
    </row>
    <row r="42" spans="1:19" ht="22.2" x14ac:dyDescent="0.3">
      <c r="A42" s="54"/>
      <c r="B42" s="6">
        <f t="shared" si="0"/>
        <v>2754520.9188241758</v>
      </c>
      <c r="C42" s="1">
        <f>مجموع!$C$29*('1401'!C42/'1401'!$N$127)</f>
        <v>0</v>
      </c>
      <c r="D42" s="1">
        <f>مجموع!$C$28*('1401'!D42/'1401'!$N$127)</f>
        <v>0</v>
      </c>
      <c r="E42" s="1">
        <f>مجموع!$C$27*('1401'!E42/'1401'!$N$127)</f>
        <v>0</v>
      </c>
      <c r="F42" s="1">
        <f>مجموع!$C$26*('1401'!F42/'1401'!$N$127)</f>
        <v>0</v>
      </c>
      <c r="G42" s="1">
        <f>مجموع!$C$25*('1401'!G42/'1401'!$N$127)</f>
        <v>0</v>
      </c>
      <c r="H42" s="1">
        <f>مجموع!$C$24*('1401'!H42/'1401'!$N$127)</f>
        <v>0</v>
      </c>
      <c r="I42" s="1">
        <f>مجموع!$C$23*('1401'!I42/'1401'!$N$127)</f>
        <v>547849.04439957754</v>
      </c>
      <c r="J42" s="1">
        <f>مجموع!$C$22*('1401'!J42/'1401'!$N$127)</f>
        <v>524085.49927116133</v>
      </c>
      <c r="K42" s="1">
        <f>مجموع!$C$21*('1401'!K42/'1401'!$N$127)</f>
        <v>521089.11643611675</v>
      </c>
      <c r="L42" s="1">
        <f>مجموع!$C$20*('1401'!L42/'1401'!$N$127)</f>
        <v>418076.73971140914</v>
      </c>
      <c r="M42" s="1">
        <f>مجموع!$C$19*('1401'!M42/'1401'!$N$127)</f>
        <v>388194.43148638692</v>
      </c>
      <c r="N42" s="1">
        <f>مجموع!$C$18*('1401'!N42/'1401'!$N$127)</f>
        <v>355226.08751952404</v>
      </c>
      <c r="O42" s="4">
        <v>50</v>
      </c>
      <c r="P42" s="54" t="s">
        <v>23</v>
      </c>
      <c r="Q42" s="54">
        <v>1025</v>
      </c>
      <c r="R42" s="54"/>
      <c r="S42" s="54">
        <v>39</v>
      </c>
    </row>
    <row r="43" spans="1:19" ht="22.2" x14ac:dyDescent="0.3">
      <c r="A43" s="54"/>
      <c r="B43" s="6">
        <f t="shared" si="0"/>
        <v>2754520.9188241758</v>
      </c>
      <c r="C43" s="1">
        <f>مجموع!$C$29*('1401'!C43/'1401'!$N$127)</f>
        <v>0</v>
      </c>
      <c r="D43" s="1">
        <f>مجموع!$C$28*('1401'!D43/'1401'!$N$127)</f>
        <v>0</v>
      </c>
      <c r="E43" s="1">
        <f>مجموع!$C$27*('1401'!E43/'1401'!$N$127)</f>
        <v>0</v>
      </c>
      <c r="F43" s="1">
        <f>مجموع!$C$26*('1401'!F43/'1401'!$N$127)</f>
        <v>0</v>
      </c>
      <c r="G43" s="1">
        <f>مجموع!$C$25*('1401'!G43/'1401'!$N$127)</f>
        <v>0</v>
      </c>
      <c r="H43" s="1">
        <f>مجموع!$C$24*('1401'!H43/'1401'!$N$127)</f>
        <v>0</v>
      </c>
      <c r="I43" s="1">
        <f>مجموع!$C$23*('1401'!I43/'1401'!$N$127)</f>
        <v>547849.04439957754</v>
      </c>
      <c r="J43" s="1">
        <f>مجموع!$C$22*('1401'!J43/'1401'!$N$127)</f>
        <v>524085.49927116133</v>
      </c>
      <c r="K43" s="1">
        <f>مجموع!$C$21*('1401'!K43/'1401'!$N$127)</f>
        <v>521089.11643611675</v>
      </c>
      <c r="L43" s="1">
        <f>مجموع!$C$20*('1401'!L43/'1401'!$N$127)</f>
        <v>418076.73971140914</v>
      </c>
      <c r="M43" s="1">
        <f>مجموع!$C$19*('1401'!M43/'1401'!$N$127)</f>
        <v>388194.43148638692</v>
      </c>
      <c r="N43" s="1">
        <f>مجموع!$C$18*('1401'!N43/'1401'!$N$127)</f>
        <v>355226.08751952404</v>
      </c>
      <c r="O43" s="4">
        <v>50</v>
      </c>
      <c r="P43" s="54" t="s">
        <v>37</v>
      </c>
      <c r="Q43" s="54">
        <v>1013</v>
      </c>
      <c r="R43" s="54"/>
      <c r="S43" s="54">
        <v>40</v>
      </c>
    </row>
    <row r="44" spans="1:19" ht="22.2" x14ac:dyDescent="0.3">
      <c r="A44" s="54"/>
      <c r="B44" s="6">
        <f t="shared" si="0"/>
        <v>5509041.8376483517</v>
      </c>
      <c r="C44" s="1">
        <f>مجموع!$C$29*('1401'!C44/'1401'!$N$127)</f>
        <v>0</v>
      </c>
      <c r="D44" s="1">
        <f>مجموع!$C$28*('1401'!D44/'1401'!$N$127)</f>
        <v>0</v>
      </c>
      <c r="E44" s="1">
        <f>مجموع!$C$27*('1401'!E44/'1401'!$N$127)</f>
        <v>0</v>
      </c>
      <c r="F44" s="1">
        <f>مجموع!$C$26*('1401'!F44/'1401'!$N$127)</f>
        <v>0</v>
      </c>
      <c r="G44" s="1">
        <f>مجموع!$C$25*('1401'!G44/'1401'!$N$127)</f>
        <v>0</v>
      </c>
      <c r="H44" s="1">
        <f>مجموع!$C$24*('1401'!H44/'1401'!$N$127)</f>
        <v>0</v>
      </c>
      <c r="I44" s="1">
        <f>مجموع!$C$23*('1401'!I44/'1401'!$N$127)</f>
        <v>1095698.0887991551</v>
      </c>
      <c r="J44" s="1">
        <f>مجموع!$C$22*('1401'!J44/'1401'!$N$127)</f>
        <v>1048170.9985423227</v>
      </c>
      <c r="K44" s="1">
        <f>مجموع!$C$21*('1401'!K44/'1401'!$N$127)</f>
        <v>1042178.2328722335</v>
      </c>
      <c r="L44" s="1">
        <f>مجموع!$C$20*('1401'!L44/'1401'!$N$127)</f>
        <v>836153.47942281829</v>
      </c>
      <c r="M44" s="1">
        <f>مجموع!$C$19*('1401'!M44/'1401'!$N$127)</f>
        <v>776388.86297277384</v>
      </c>
      <c r="N44" s="1">
        <f>مجموع!$C$18*('1401'!N44/'1401'!$N$127)</f>
        <v>710452.17503904807</v>
      </c>
      <c r="O44" s="4">
        <v>100</v>
      </c>
      <c r="P44" s="54" t="s">
        <v>41</v>
      </c>
      <c r="Q44" s="54">
        <v>1028</v>
      </c>
      <c r="R44" s="54"/>
      <c r="S44" s="54">
        <v>41</v>
      </c>
    </row>
    <row r="45" spans="1:19" ht="22.2" x14ac:dyDescent="0.3">
      <c r="A45" s="54"/>
      <c r="B45" s="6">
        <f t="shared" si="0"/>
        <v>0</v>
      </c>
      <c r="C45" s="1">
        <f>مجموع!$C$29*('1401'!C45/'1401'!$N$127)</f>
        <v>0</v>
      </c>
      <c r="D45" s="1">
        <f>مجموع!$C$28*('1401'!D45/'1401'!$N$127)</f>
        <v>0</v>
      </c>
      <c r="E45" s="1">
        <f>مجموع!$C$27*('1401'!E45/'1401'!$N$127)</f>
        <v>0</v>
      </c>
      <c r="F45" s="1">
        <f>مجموع!$C$26*('1401'!F45/'1401'!$N$127)</f>
        <v>0</v>
      </c>
      <c r="G45" s="1">
        <f>مجموع!$C$25*('1401'!G45/'1401'!$N$127)</f>
        <v>0</v>
      </c>
      <c r="H45" s="1">
        <f>مجموع!$C$24*('1401'!H45/'1401'!$N$127)</f>
        <v>0</v>
      </c>
      <c r="I45" s="1">
        <f>مجموع!$C$23*('1401'!I45/'1401'!$N$127)</f>
        <v>0</v>
      </c>
      <c r="J45" s="1">
        <f>مجموع!$C$22*('1401'!J45/'1401'!$N$127)</f>
        <v>0</v>
      </c>
      <c r="K45" s="1">
        <f>مجموع!$C$21*('1401'!K45/'1401'!$N$127)</f>
        <v>0</v>
      </c>
      <c r="L45" s="1">
        <f>مجموع!$C$20*('1401'!L45/'1401'!$N$127)</f>
        <v>0</v>
      </c>
      <c r="M45" s="1">
        <f>مجموع!$C$19*('1401'!M45/'1401'!$N$127)</f>
        <v>0</v>
      </c>
      <c r="N45" s="1">
        <f>مجموع!$C$18*('1401'!N45/'1401'!$N$127)</f>
        <v>0</v>
      </c>
      <c r="O45" s="4">
        <v>50</v>
      </c>
      <c r="P45" s="54" t="s">
        <v>35</v>
      </c>
      <c r="Q45" s="54">
        <v>1030</v>
      </c>
      <c r="R45" s="54"/>
      <c r="S45" s="54">
        <v>42</v>
      </c>
    </row>
    <row r="46" spans="1:19" ht="22.2" x14ac:dyDescent="0.3">
      <c r="A46" s="54"/>
      <c r="B46" s="6">
        <f t="shared" si="0"/>
        <v>0</v>
      </c>
      <c r="C46" s="1">
        <f>مجموع!$C$29*('1401'!C46/'1401'!$N$127)</f>
        <v>0</v>
      </c>
      <c r="D46" s="1">
        <f>مجموع!$C$28*('1401'!D46/'1401'!$N$127)</f>
        <v>0</v>
      </c>
      <c r="E46" s="1">
        <f>مجموع!$C$27*('1401'!E46/'1401'!$N$127)</f>
        <v>0</v>
      </c>
      <c r="F46" s="1">
        <f>مجموع!$C$26*('1401'!F46/'1401'!$N$127)</f>
        <v>0</v>
      </c>
      <c r="G46" s="1">
        <f>مجموع!$C$25*('1401'!G46/'1401'!$N$127)</f>
        <v>0</v>
      </c>
      <c r="H46" s="1">
        <f>مجموع!$C$24*('1401'!H46/'1401'!$N$127)</f>
        <v>0</v>
      </c>
      <c r="I46" s="1">
        <f>مجموع!$C$23*('1401'!I46/'1401'!$N$127)</f>
        <v>0</v>
      </c>
      <c r="J46" s="1">
        <f>مجموع!$C$22*('1401'!J46/'1401'!$N$127)</f>
        <v>0</v>
      </c>
      <c r="K46" s="1">
        <f>مجموع!$C$21*('1401'!K46/'1401'!$N$127)</f>
        <v>0</v>
      </c>
      <c r="L46" s="1">
        <f>مجموع!$C$20*('1401'!L46/'1401'!$N$127)</f>
        <v>0</v>
      </c>
      <c r="M46" s="1">
        <f>مجموع!$C$19*('1401'!M46/'1401'!$N$127)</f>
        <v>0</v>
      </c>
      <c r="N46" s="1">
        <f>مجموع!$C$18*('1401'!N46/'1401'!$N$127)</f>
        <v>0</v>
      </c>
      <c r="O46" s="4">
        <v>0</v>
      </c>
      <c r="P46" s="54" t="s">
        <v>116</v>
      </c>
      <c r="Q46" s="54">
        <v>1104</v>
      </c>
      <c r="R46" s="54"/>
      <c r="S46" s="54">
        <v>43</v>
      </c>
    </row>
    <row r="47" spans="1:19" ht="22.2" x14ac:dyDescent="0.3">
      <c r="A47" s="54"/>
      <c r="B47" s="6">
        <f t="shared" si="0"/>
        <v>8263562.756472528</v>
      </c>
      <c r="C47" s="1">
        <f>مجموع!$C$29*('1401'!C47/'1401'!$N$127)</f>
        <v>0</v>
      </c>
      <c r="D47" s="1">
        <f>مجموع!$C$28*('1401'!D47/'1401'!$N$127)</f>
        <v>0</v>
      </c>
      <c r="E47" s="1">
        <f>مجموع!$C$27*('1401'!E47/'1401'!$N$127)</f>
        <v>0</v>
      </c>
      <c r="F47" s="1">
        <f>مجموع!$C$26*('1401'!F47/'1401'!$N$127)</f>
        <v>0</v>
      </c>
      <c r="G47" s="1">
        <f>مجموع!$C$25*('1401'!G47/'1401'!$N$127)</f>
        <v>0</v>
      </c>
      <c r="H47" s="1">
        <f>مجموع!$C$24*('1401'!H47/'1401'!$N$127)</f>
        <v>0</v>
      </c>
      <c r="I47" s="1">
        <f>مجموع!$C$23*('1401'!I47/'1401'!$N$127)</f>
        <v>1643547.1331987327</v>
      </c>
      <c r="J47" s="1">
        <f>مجموع!$C$22*('1401'!J47/'1401'!$N$127)</f>
        <v>1572256.4978134839</v>
      </c>
      <c r="K47" s="1">
        <f>مجموع!$C$21*('1401'!K47/'1401'!$N$127)</f>
        <v>1563267.3493083501</v>
      </c>
      <c r="L47" s="1">
        <f>مجموع!$C$20*('1401'!L47/'1401'!$N$127)</f>
        <v>1254230.2191342274</v>
      </c>
      <c r="M47" s="1">
        <f>مجموع!$C$19*('1401'!M47/'1401'!$N$127)</f>
        <v>1164583.2944591609</v>
      </c>
      <c r="N47" s="1">
        <f>مجموع!$C$18*('1401'!N47/'1401'!$N$127)</f>
        <v>1065678.262558572</v>
      </c>
      <c r="O47" s="4">
        <v>150</v>
      </c>
      <c r="P47" s="54" t="s">
        <v>63</v>
      </c>
      <c r="Q47" s="54">
        <v>1046</v>
      </c>
      <c r="R47" s="54" t="s">
        <v>93</v>
      </c>
      <c r="S47" s="54">
        <v>44</v>
      </c>
    </row>
    <row r="48" spans="1:19" ht="22.2" x14ac:dyDescent="0.3">
      <c r="A48" s="54"/>
      <c r="B48" s="6">
        <f t="shared" si="0"/>
        <v>8263562.756472528</v>
      </c>
      <c r="C48" s="1">
        <f>مجموع!$C$29*('1401'!C48/'1401'!$N$127)</f>
        <v>0</v>
      </c>
      <c r="D48" s="1">
        <f>مجموع!$C$28*('1401'!D48/'1401'!$N$127)</f>
        <v>0</v>
      </c>
      <c r="E48" s="1">
        <f>مجموع!$C$27*('1401'!E48/'1401'!$N$127)</f>
        <v>0</v>
      </c>
      <c r="F48" s="1">
        <f>مجموع!$C$26*('1401'!F48/'1401'!$N$127)</f>
        <v>0</v>
      </c>
      <c r="G48" s="1">
        <f>مجموع!$C$25*('1401'!G48/'1401'!$N$127)</f>
        <v>0</v>
      </c>
      <c r="H48" s="1">
        <f>مجموع!$C$24*('1401'!H48/'1401'!$N$127)</f>
        <v>0</v>
      </c>
      <c r="I48" s="1">
        <f>مجموع!$C$23*('1401'!I48/'1401'!$N$127)</f>
        <v>1643547.1331987327</v>
      </c>
      <c r="J48" s="1">
        <f>مجموع!$C$22*('1401'!J48/'1401'!$N$127)</f>
        <v>1572256.4978134839</v>
      </c>
      <c r="K48" s="1">
        <f>مجموع!$C$21*('1401'!K48/'1401'!$N$127)</f>
        <v>1563267.3493083501</v>
      </c>
      <c r="L48" s="1">
        <f>مجموع!$C$20*('1401'!L48/'1401'!$N$127)</f>
        <v>1254230.2191342274</v>
      </c>
      <c r="M48" s="1">
        <f>مجموع!$C$19*('1401'!M48/'1401'!$N$127)</f>
        <v>1164583.2944591609</v>
      </c>
      <c r="N48" s="1">
        <f>مجموع!$C$18*('1401'!N48/'1401'!$N$127)</f>
        <v>1065678.262558572</v>
      </c>
      <c r="O48" s="4">
        <v>150</v>
      </c>
      <c r="P48" s="54" t="s">
        <v>77</v>
      </c>
      <c r="Q48" s="54">
        <v>1010</v>
      </c>
      <c r="R48" s="54" t="s">
        <v>93</v>
      </c>
      <c r="S48" s="54">
        <v>45</v>
      </c>
    </row>
    <row r="49" spans="1:19" ht="22.2" x14ac:dyDescent="0.3">
      <c r="A49" s="54"/>
      <c r="B49" s="6">
        <f t="shared" si="0"/>
        <v>0</v>
      </c>
      <c r="C49" s="1">
        <f>مجموع!$C$29*('1401'!C49/'1401'!$N$127)</f>
        <v>0</v>
      </c>
      <c r="D49" s="1">
        <f>مجموع!$C$28*('1401'!D49/'1401'!$N$127)</f>
        <v>0</v>
      </c>
      <c r="E49" s="1">
        <f>مجموع!$C$27*('1401'!E49/'1401'!$N$127)</f>
        <v>0</v>
      </c>
      <c r="F49" s="1">
        <f>مجموع!$C$26*('1401'!F49/'1401'!$N$127)</f>
        <v>0</v>
      </c>
      <c r="G49" s="1">
        <f>مجموع!$C$25*('1401'!G49/'1401'!$N$127)</f>
        <v>0</v>
      </c>
      <c r="H49" s="1">
        <f>مجموع!$C$24*('1401'!H49/'1401'!$N$127)</f>
        <v>0</v>
      </c>
      <c r="I49" s="1">
        <f>مجموع!$C$23*('1401'!I49/'1401'!$N$127)</f>
        <v>0</v>
      </c>
      <c r="J49" s="1">
        <f>مجموع!$C$22*('1401'!J49/'1401'!$N$127)</f>
        <v>0</v>
      </c>
      <c r="K49" s="1">
        <f>مجموع!$C$21*('1401'!K49/'1401'!$N$127)</f>
        <v>0</v>
      </c>
      <c r="L49" s="1">
        <f>مجموع!$C$20*('1401'!L49/'1401'!$N$127)</f>
        <v>0</v>
      </c>
      <c r="M49" s="1">
        <f>مجموع!$C$19*('1401'!M49/'1401'!$N$127)</f>
        <v>0</v>
      </c>
      <c r="N49" s="1">
        <f>مجموع!$C$18*('1401'!N49/'1401'!$N$127)</f>
        <v>0</v>
      </c>
      <c r="O49" s="4">
        <v>0</v>
      </c>
      <c r="P49" s="54" t="s">
        <v>86</v>
      </c>
      <c r="Q49" s="54">
        <v>1037</v>
      </c>
      <c r="R49" s="54"/>
      <c r="S49" s="54">
        <f t="shared" ref="S49:S107" si="1">S48+1</f>
        <v>46</v>
      </c>
    </row>
    <row r="50" spans="1:19" ht="22.2" x14ac:dyDescent="0.3">
      <c r="A50" s="54"/>
      <c r="B50" s="6">
        <f t="shared" si="0"/>
        <v>0</v>
      </c>
      <c r="C50" s="1">
        <f>مجموع!$C$29*('1401'!C50/'1401'!$N$127)</f>
        <v>0</v>
      </c>
      <c r="D50" s="1">
        <f>مجموع!$C$28*('1401'!D50/'1401'!$N$127)</f>
        <v>0</v>
      </c>
      <c r="E50" s="1">
        <f>مجموع!$C$27*('1401'!E50/'1401'!$N$127)</f>
        <v>0</v>
      </c>
      <c r="F50" s="1">
        <f>مجموع!$C$26*('1401'!F50/'1401'!$N$127)</f>
        <v>0</v>
      </c>
      <c r="G50" s="1">
        <f>مجموع!$C$25*('1401'!G50/'1401'!$N$127)</f>
        <v>0</v>
      </c>
      <c r="H50" s="1">
        <f>مجموع!$C$24*('1401'!H50/'1401'!$N$127)</f>
        <v>0</v>
      </c>
      <c r="I50" s="1">
        <f>مجموع!$C$23*('1401'!I50/'1401'!$N$127)</f>
        <v>0</v>
      </c>
      <c r="J50" s="1">
        <f>مجموع!$C$22*('1401'!J50/'1401'!$N$127)</f>
        <v>0</v>
      </c>
      <c r="K50" s="1">
        <f>مجموع!$C$21*('1401'!K50/'1401'!$N$127)</f>
        <v>0</v>
      </c>
      <c r="L50" s="1">
        <f>مجموع!$C$20*('1401'!L50/'1401'!$N$127)</f>
        <v>0</v>
      </c>
      <c r="M50" s="1">
        <f>مجموع!$C$19*('1401'!M50/'1401'!$N$127)</f>
        <v>0</v>
      </c>
      <c r="N50" s="1">
        <f>مجموع!$C$18*('1401'!N50/'1401'!$N$127)</f>
        <v>0</v>
      </c>
      <c r="O50" s="4">
        <v>0</v>
      </c>
      <c r="P50" s="54" t="s">
        <v>87</v>
      </c>
      <c r="Q50" s="54">
        <v>1081</v>
      </c>
      <c r="R50" s="54"/>
      <c r="S50" s="54">
        <f t="shared" si="1"/>
        <v>47</v>
      </c>
    </row>
    <row r="51" spans="1:19" ht="22.2" x14ac:dyDescent="0.3">
      <c r="A51" s="54"/>
      <c r="B51" s="6">
        <f t="shared" si="0"/>
        <v>2754520.9188241758</v>
      </c>
      <c r="C51" s="1">
        <f>مجموع!$C$29*('1401'!C51/'1401'!$N$127)</f>
        <v>0</v>
      </c>
      <c r="D51" s="1">
        <f>مجموع!$C$28*('1401'!D51/'1401'!$N$127)</f>
        <v>0</v>
      </c>
      <c r="E51" s="1">
        <f>مجموع!$C$27*('1401'!E51/'1401'!$N$127)</f>
        <v>0</v>
      </c>
      <c r="F51" s="1">
        <f>مجموع!$C$26*('1401'!F51/'1401'!$N$127)</f>
        <v>0</v>
      </c>
      <c r="G51" s="1">
        <f>مجموع!$C$25*('1401'!G51/'1401'!$N$127)</f>
        <v>0</v>
      </c>
      <c r="H51" s="1">
        <f>مجموع!$C$24*('1401'!H51/'1401'!$N$127)</f>
        <v>0</v>
      </c>
      <c r="I51" s="1">
        <f>مجموع!$C$23*('1401'!I51/'1401'!$N$127)</f>
        <v>547849.04439957754</v>
      </c>
      <c r="J51" s="1">
        <f>مجموع!$C$22*('1401'!J51/'1401'!$N$127)</f>
        <v>524085.49927116133</v>
      </c>
      <c r="K51" s="1">
        <f>مجموع!$C$21*('1401'!K51/'1401'!$N$127)</f>
        <v>521089.11643611675</v>
      </c>
      <c r="L51" s="1">
        <f>مجموع!$C$20*('1401'!L51/'1401'!$N$127)</f>
        <v>418076.73971140914</v>
      </c>
      <c r="M51" s="1">
        <f>مجموع!$C$19*('1401'!M51/'1401'!$N$127)</f>
        <v>388194.43148638692</v>
      </c>
      <c r="N51" s="1">
        <f>مجموع!$C$18*('1401'!N51/'1401'!$N$127)</f>
        <v>355226.08751952404</v>
      </c>
      <c r="O51" s="4">
        <v>50</v>
      </c>
      <c r="P51" s="54" t="s">
        <v>90</v>
      </c>
      <c r="Q51" s="54">
        <v>1084</v>
      </c>
      <c r="R51" s="54" t="s">
        <v>93</v>
      </c>
      <c r="S51" s="54">
        <f t="shared" si="1"/>
        <v>48</v>
      </c>
    </row>
    <row r="52" spans="1:19" ht="22.2" x14ac:dyDescent="0.3">
      <c r="A52" s="54"/>
      <c r="B52" s="6">
        <f t="shared" si="0"/>
        <v>5509041.8376483517</v>
      </c>
      <c r="C52" s="1">
        <f>مجموع!$C$29*('1401'!C52/'1401'!$N$127)</f>
        <v>0</v>
      </c>
      <c r="D52" s="1">
        <f>مجموع!$C$28*('1401'!D52/'1401'!$N$127)</f>
        <v>0</v>
      </c>
      <c r="E52" s="1">
        <f>مجموع!$C$27*('1401'!E52/'1401'!$N$127)</f>
        <v>0</v>
      </c>
      <c r="F52" s="1">
        <f>مجموع!$C$26*('1401'!F52/'1401'!$N$127)</f>
        <v>0</v>
      </c>
      <c r="G52" s="1">
        <f>مجموع!$C$25*('1401'!G52/'1401'!$N$127)</f>
        <v>0</v>
      </c>
      <c r="H52" s="1">
        <f>مجموع!$C$24*('1401'!H52/'1401'!$N$127)</f>
        <v>0</v>
      </c>
      <c r="I52" s="1">
        <f>مجموع!$C$23*('1401'!I52/'1401'!$N$127)</f>
        <v>1095698.0887991551</v>
      </c>
      <c r="J52" s="1">
        <f>مجموع!$C$22*('1401'!J52/'1401'!$N$127)</f>
        <v>1048170.9985423227</v>
      </c>
      <c r="K52" s="1">
        <f>مجموع!$C$21*('1401'!K52/'1401'!$N$127)</f>
        <v>1042178.2328722335</v>
      </c>
      <c r="L52" s="1">
        <f>مجموع!$C$20*('1401'!L52/'1401'!$N$127)</f>
        <v>836153.47942281829</v>
      </c>
      <c r="M52" s="1">
        <f>مجموع!$C$19*('1401'!M52/'1401'!$N$127)</f>
        <v>776388.86297277384</v>
      </c>
      <c r="N52" s="1">
        <f>مجموع!$C$18*('1401'!N52/'1401'!$N$127)</f>
        <v>710452.17503904807</v>
      </c>
      <c r="O52" s="4">
        <v>100</v>
      </c>
      <c r="P52" s="54" t="s">
        <v>89</v>
      </c>
      <c r="Q52" s="54">
        <v>1082</v>
      </c>
      <c r="R52" s="54" t="s">
        <v>93</v>
      </c>
      <c r="S52" s="54">
        <f t="shared" si="1"/>
        <v>49</v>
      </c>
    </row>
    <row r="53" spans="1:19" ht="22.2" x14ac:dyDescent="0.3">
      <c r="A53" s="54"/>
      <c r="B53" s="6">
        <f t="shared" si="0"/>
        <v>2754520.9188241758</v>
      </c>
      <c r="C53" s="1">
        <f>مجموع!$C$29*('1401'!C53/'1401'!$N$127)</f>
        <v>0</v>
      </c>
      <c r="D53" s="1">
        <f>مجموع!$C$28*('1401'!D53/'1401'!$N$127)</f>
        <v>0</v>
      </c>
      <c r="E53" s="1">
        <f>مجموع!$C$27*('1401'!E53/'1401'!$N$127)</f>
        <v>0</v>
      </c>
      <c r="F53" s="1">
        <f>مجموع!$C$26*('1401'!F53/'1401'!$N$127)</f>
        <v>0</v>
      </c>
      <c r="G53" s="1">
        <f>مجموع!$C$25*('1401'!G53/'1401'!$N$127)</f>
        <v>0</v>
      </c>
      <c r="H53" s="1">
        <f>مجموع!$C$24*('1401'!H53/'1401'!$N$127)</f>
        <v>0</v>
      </c>
      <c r="I53" s="1">
        <f>مجموع!$C$23*('1401'!I53/'1401'!$N$127)</f>
        <v>547849.04439957754</v>
      </c>
      <c r="J53" s="1">
        <f>مجموع!$C$22*('1401'!J53/'1401'!$N$127)</f>
        <v>524085.49927116133</v>
      </c>
      <c r="K53" s="1">
        <f>مجموع!$C$21*('1401'!K53/'1401'!$N$127)</f>
        <v>521089.11643611675</v>
      </c>
      <c r="L53" s="1">
        <f>مجموع!$C$20*('1401'!L53/'1401'!$N$127)</f>
        <v>418076.73971140914</v>
      </c>
      <c r="M53" s="1">
        <f>مجموع!$C$19*('1401'!M53/'1401'!$N$127)</f>
        <v>388194.43148638692</v>
      </c>
      <c r="N53" s="1">
        <f>مجموع!$C$18*('1401'!N53/'1401'!$N$127)</f>
        <v>355226.08751952404</v>
      </c>
      <c r="O53" s="4">
        <v>50</v>
      </c>
      <c r="P53" s="54" t="s">
        <v>115</v>
      </c>
      <c r="Q53" s="54">
        <v>1083</v>
      </c>
      <c r="R53" s="54" t="s">
        <v>93</v>
      </c>
      <c r="S53" s="54">
        <f t="shared" si="1"/>
        <v>50</v>
      </c>
    </row>
    <row r="54" spans="1:19" ht="22.2" x14ac:dyDescent="0.3">
      <c r="A54" s="54"/>
      <c r="B54" s="6">
        <f t="shared" si="0"/>
        <v>2754520.9188241758</v>
      </c>
      <c r="C54" s="1">
        <f>مجموع!$C$29*('1401'!C54/'1401'!$N$127)</f>
        <v>0</v>
      </c>
      <c r="D54" s="1">
        <f>مجموع!$C$28*('1401'!D54/'1401'!$N$127)</f>
        <v>0</v>
      </c>
      <c r="E54" s="1">
        <f>مجموع!$C$27*('1401'!E54/'1401'!$N$127)</f>
        <v>0</v>
      </c>
      <c r="F54" s="1">
        <f>مجموع!$C$26*('1401'!F54/'1401'!$N$127)</f>
        <v>0</v>
      </c>
      <c r="G54" s="1">
        <f>مجموع!$C$25*('1401'!G54/'1401'!$N$127)</f>
        <v>0</v>
      </c>
      <c r="H54" s="1">
        <f>مجموع!$C$24*('1401'!H54/'1401'!$N$127)</f>
        <v>0</v>
      </c>
      <c r="I54" s="1">
        <f>مجموع!$C$23*('1401'!I54/'1401'!$N$127)</f>
        <v>547849.04439957754</v>
      </c>
      <c r="J54" s="1">
        <f>مجموع!$C$22*('1401'!J54/'1401'!$N$127)</f>
        <v>524085.49927116133</v>
      </c>
      <c r="K54" s="1">
        <f>مجموع!$C$21*('1401'!K54/'1401'!$N$127)</f>
        <v>521089.11643611675</v>
      </c>
      <c r="L54" s="1">
        <f>مجموع!$C$20*('1401'!L54/'1401'!$N$127)</f>
        <v>418076.73971140914</v>
      </c>
      <c r="M54" s="1">
        <f>مجموع!$C$19*('1401'!M54/'1401'!$N$127)</f>
        <v>388194.43148638692</v>
      </c>
      <c r="N54" s="1">
        <f>مجموع!$C$18*('1401'!N54/'1401'!$N$127)</f>
        <v>355226.08751952404</v>
      </c>
      <c r="O54" s="4">
        <v>50</v>
      </c>
      <c r="P54" s="54" t="s">
        <v>112</v>
      </c>
      <c r="Q54" s="54">
        <v>1102</v>
      </c>
      <c r="R54" s="54"/>
      <c r="S54" s="54">
        <f t="shared" si="1"/>
        <v>51</v>
      </c>
    </row>
    <row r="55" spans="1:19" ht="22.2" x14ac:dyDescent="0.3">
      <c r="A55" s="54"/>
      <c r="B55" s="6">
        <f t="shared" si="0"/>
        <v>5509041.8376483517</v>
      </c>
      <c r="C55" s="1">
        <f>مجموع!$C$29*('1401'!C55/'1401'!$N$127)</f>
        <v>0</v>
      </c>
      <c r="D55" s="1">
        <f>مجموع!$C$28*('1401'!D55/'1401'!$N$127)</f>
        <v>0</v>
      </c>
      <c r="E55" s="1">
        <f>مجموع!$C$27*('1401'!E55/'1401'!$N$127)</f>
        <v>0</v>
      </c>
      <c r="F55" s="1">
        <f>مجموع!$C$26*('1401'!F55/'1401'!$N$127)</f>
        <v>0</v>
      </c>
      <c r="G55" s="1">
        <f>مجموع!$C$25*('1401'!G55/'1401'!$N$127)</f>
        <v>0</v>
      </c>
      <c r="H55" s="1">
        <f>مجموع!$C$24*('1401'!H55/'1401'!$N$127)</f>
        <v>0</v>
      </c>
      <c r="I55" s="1">
        <f>مجموع!$C$23*('1401'!I55/'1401'!$N$127)</f>
        <v>1095698.0887991551</v>
      </c>
      <c r="J55" s="1">
        <f>مجموع!$C$22*('1401'!J55/'1401'!$N$127)</f>
        <v>1048170.9985423227</v>
      </c>
      <c r="K55" s="1">
        <f>مجموع!$C$21*('1401'!K55/'1401'!$N$127)</f>
        <v>1042178.2328722335</v>
      </c>
      <c r="L55" s="1">
        <f>مجموع!$C$20*('1401'!L55/'1401'!$N$127)</f>
        <v>836153.47942281829</v>
      </c>
      <c r="M55" s="1">
        <f>مجموع!$C$19*('1401'!M55/'1401'!$N$127)</f>
        <v>776388.86297277384</v>
      </c>
      <c r="N55" s="1">
        <f>مجموع!$C$18*('1401'!N55/'1401'!$N$127)</f>
        <v>710452.17503904807</v>
      </c>
      <c r="O55" s="4">
        <v>100</v>
      </c>
      <c r="P55" s="54" t="s">
        <v>97</v>
      </c>
      <c r="Q55" s="54">
        <v>1016</v>
      </c>
      <c r="R55" s="54"/>
      <c r="S55" s="54">
        <f t="shared" si="1"/>
        <v>52</v>
      </c>
    </row>
    <row r="56" spans="1:19" ht="22.2" x14ac:dyDescent="0.3">
      <c r="A56" s="54"/>
      <c r="B56" s="6">
        <f t="shared" si="0"/>
        <v>0</v>
      </c>
      <c r="C56" s="1">
        <f>مجموع!$C$29*('1401'!C56/'1401'!$N$127)</f>
        <v>0</v>
      </c>
      <c r="D56" s="1">
        <f>مجموع!$C$28*('1401'!D56/'1401'!$N$127)</f>
        <v>0</v>
      </c>
      <c r="E56" s="1">
        <f>مجموع!$C$27*('1401'!E56/'1401'!$N$127)</f>
        <v>0</v>
      </c>
      <c r="F56" s="1">
        <f>مجموع!$C$26*('1401'!F56/'1401'!$N$127)</f>
        <v>0</v>
      </c>
      <c r="G56" s="1">
        <f>مجموع!$C$25*('1401'!G56/'1401'!$N$127)</f>
        <v>0</v>
      </c>
      <c r="H56" s="1">
        <f>مجموع!$C$24*('1401'!H56/'1401'!$N$127)</f>
        <v>0</v>
      </c>
      <c r="I56" s="1">
        <f>مجموع!$C$23*('1401'!I56/'1401'!$N$127)</f>
        <v>0</v>
      </c>
      <c r="J56" s="1">
        <f>مجموع!$C$22*('1401'!J56/'1401'!$N$127)</f>
        <v>0</v>
      </c>
      <c r="K56" s="1">
        <f>مجموع!$C$21*('1401'!K56/'1401'!$N$127)</f>
        <v>0</v>
      </c>
      <c r="L56" s="1">
        <f>مجموع!$C$20*('1401'!L56/'1401'!$N$127)</f>
        <v>0</v>
      </c>
      <c r="M56" s="1">
        <f>مجموع!$C$19*('1401'!M56/'1401'!$N$127)</f>
        <v>0</v>
      </c>
      <c r="N56" s="1">
        <f>مجموع!$C$18*('1401'!N56/'1401'!$N$127)</f>
        <v>0</v>
      </c>
      <c r="O56" s="4">
        <v>50</v>
      </c>
      <c r="P56" s="54" t="s">
        <v>44</v>
      </c>
      <c r="Q56" s="54">
        <v>1014</v>
      </c>
      <c r="R56" s="54" t="s">
        <v>93</v>
      </c>
      <c r="S56" s="54">
        <f t="shared" si="1"/>
        <v>53</v>
      </c>
    </row>
    <row r="57" spans="1:19" ht="22.2" x14ac:dyDescent="0.3">
      <c r="A57" s="54"/>
      <c r="B57" s="6">
        <f t="shared" si="0"/>
        <v>4397688.691766832</v>
      </c>
      <c r="C57" s="1">
        <f>مجموع!$C$29*('1401'!C57/'1401'!$N$127)</f>
        <v>0</v>
      </c>
      <c r="D57" s="1">
        <f>مجموع!$C$28*('1401'!D57/'1401'!$N$127)</f>
        <v>0</v>
      </c>
      <c r="E57" s="1">
        <f>مجموع!$C$27*('1401'!E57/'1401'!$N$127)</f>
        <v>0</v>
      </c>
      <c r="F57" s="1">
        <f>مجموع!$C$26*('1401'!F57/'1401'!$N$127)</f>
        <v>0</v>
      </c>
      <c r="G57" s="1">
        <f>مجموع!$C$25*('1401'!G57/'1401'!$N$127)</f>
        <v>0</v>
      </c>
      <c r="H57" s="1">
        <f>مجموع!$C$24*('1401'!H57/'1401'!$N$127)</f>
        <v>0</v>
      </c>
      <c r="I57" s="1">
        <f>مجموع!$C$23*('1401'!I57/'1401'!$N$127)</f>
        <v>547849.04439957754</v>
      </c>
      <c r="J57" s="1">
        <f>مجموع!$C$22*('1401'!J57/'1401'!$N$127)</f>
        <v>524085.49927116133</v>
      </c>
      <c r="K57" s="1">
        <f>مجموع!$C$21*('1401'!K57/'1401'!$N$127)</f>
        <v>677415.85136695171</v>
      </c>
      <c r="L57" s="1">
        <f>مجموع!$C$20*('1401'!L57/'1401'!$N$127)</f>
        <v>418076.73971140914</v>
      </c>
      <c r="M57" s="1">
        <f>مجموع!$C$19*('1401'!M57/'1401'!$N$127)</f>
        <v>1164583.2944591609</v>
      </c>
      <c r="N57" s="1">
        <f>مجموع!$C$18*('1401'!N57/'1401'!$N$127)</f>
        <v>1065678.262558572</v>
      </c>
      <c r="O57" s="4">
        <v>50</v>
      </c>
      <c r="P57" s="54" t="s">
        <v>22</v>
      </c>
      <c r="Q57" s="54">
        <v>1015</v>
      </c>
      <c r="R57" s="54" t="s">
        <v>93</v>
      </c>
      <c r="S57" s="54">
        <f t="shared" si="1"/>
        <v>54</v>
      </c>
    </row>
    <row r="58" spans="1:19" ht="22.2" x14ac:dyDescent="0.3">
      <c r="A58" s="54"/>
      <c r="B58" s="6">
        <f t="shared" si="0"/>
        <v>2143869.0873414776</v>
      </c>
      <c r="C58" s="1">
        <f>مجموع!$C$29*('1401'!C58/'1401'!$N$127)</f>
        <v>0</v>
      </c>
      <c r="D58" s="1">
        <f>مجموع!$C$28*('1401'!D58/'1401'!$N$127)</f>
        <v>0</v>
      </c>
      <c r="E58" s="1">
        <f>مجموع!$C$27*('1401'!E58/'1401'!$N$127)</f>
        <v>0</v>
      </c>
      <c r="F58" s="1">
        <f>مجموع!$C$26*('1401'!F58/'1401'!$N$127)</f>
        <v>0</v>
      </c>
      <c r="G58" s="1">
        <f>مجموع!$C$25*('1401'!G58/'1401'!$N$127)</f>
        <v>0</v>
      </c>
      <c r="H58" s="1">
        <f>مجموع!$C$24*('1401'!H58/'1401'!$N$127)</f>
        <v>0</v>
      </c>
      <c r="I58" s="1">
        <f>مجموع!$C$23*('1401'!I58/'1401'!$N$127)</f>
        <v>1095698.0887991551</v>
      </c>
      <c r="J58" s="1">
        <f>مجموع!$C$22*('1401'!J58/'1401'!$N$127)</f>
        <v>1048170.9985423227</v>
      </c>
      <c r="K58" s="1">
        <f>مجموع!$C$21*('1401'!K58/'1401'!$N$127)</f>
        <v>0</v>
      </c>
      <c r="L58" s="1">
        <f>مجموع!$C$20*('1401'!L58/'1401'!$N$127)</f>
        <v>0</v>
      </c>
      <c r="M58" s="1">
        <f>مجموع!$C$19*('1401'!M58/'1401'!$N$127)</f>
        <v>0</v>
      </c>
      <c r="N58" s="1">
        <f>مجموع!$C$18*('1401'!N58/'1401'!$N$127)</f>
        <v>0</v>
      </c>
      <c r="O58" s="4">
        <v>50</v>
      </c>
      <c r="P58" s="54" t="s">
        <v>43</v>
      </c>
      <c r="Q58" s="54">
        <v>1038</v>
      </c>
      <c r="R58" s="54" t="s">
        <v>93</v>
      </c>
      <c r="S58" s="54">
        <f t="shared" si="1"/>
        <v>55</v>
      </c>
    </row>
    <row r="59" spans="1:19" ht="22.2" x14ac:dyDescent="0.3">
      <c r="A59" s="54"/>
      <c r="B59" s="6" t="e">
        <f t="shared" si="0"/>
        <v>#REF!</v>
      </c>
      <c r="C59" s="1">
        <f>مجموع!$C$29*('1401'!C59/'1401'!$N$127)</f>
        <v>0</v>
      </c>
      <c r="D59" s="1">
        <f>مجموع!$C$28*('1401'!D59/'1401'!$N$127)</f>
        <v>0</v>
      </c>
      <c r="E59" s="1">
        <f>مجموع!$C$27*('1401'!E59/'1401'!$N$127)</f>
        <v>0</v>
      </c>
      <c r="F59" s="1">
        <f>مجموع!$C$26*('1401'!F59/'1401'!$N$127)</f>
        <v>0</v>
      </c>
      <c r="G59" s="1" t="e">
        <f>مجموع!$C$25*('1401'!#REF!/'1401'!$N$127)</f>
        <v>#REF!</v>
      </c>
      <c r="H59" s="1">
        <f>مجموع!$C$24*('1401'!G59/'1401'!$N$127)</f>
        <v>0</v>
      </c>
      <c r="I59" s="1">
        <f>مجموع!$C$23*('1401'!I59/'1401'!$N$127)</f>
        <v>9203863.9459129032</v>
      </c>
      <c r="J59" s="1">
        <f>مجموع!$C$22*('1401'!J59/'1401'!$N$127)</f>
        <v>11425063.884111317</v>
      </c>
      <c r="K59" s="1">
        <f>مجموع!$C$21*('1401'!K59/'1401'!$N$127)</f>
        <v>8337425.8629778679</v>
      </c>
      <c r="L59" s="1">
        <f>مجموع!$C$20*('1401'!L59/'1401'!$N$127)</f>
        <v>8194304.0983436191</v>
      </c>
      <c r="M59" s="1">
        <f>مجموع!$C$19*('1401'!M59/'1401'!$N$127)</f>
        <v>6211110.9037821908</v>
      </c>
      <c r="N59" s="1">
        <f>مجموع!$C$18*('1401'!N59/'1401'!$N$127)</f>
        <v>5683617.4003123846</v>
      </c>
      <c r="O59" s="4">
        <v>750</v>
      </c>
      <c r="P59" s="54" t="s">
        <v>0</v>
      </c>
      <c r="Q59" s="54">
        <v>1049</v>
      </c>
      <c r="R59" s="54" t="s">
        <v>93</v>
      </c>
      <c r="S59" s="54">
        <f t="shared" si="1"/>
        <v>56</v>
      </c>
    </row>
    <row r="60" spans="1:19" ht="22.2" x14ac:dyDescent="0.3">
      <c r="A60" s="54"/>
      <c r="B60" s="6">
        <f t="shared" si="0"/>
        <v>22036167.350593407</v>
      </c>
      <c r="C60" s="1">
        <f>مجموع!$C$29*('1401'!C60/'1401'!$N$127)</f>
        <v>0</v>
      </c>
      <c r="D60" s="1">
        <f>مجموع!$C$28*('1401'!D60/'1401'!$N$127)</f>
        <v>0</v>
      </c>
      <c r="E60" s="1">
        <f>مجموع!$C$27*('1401'!E60/'1401'!$N$127)</f>
        <v>0</v>
      </c>
      <c r="F60" s="1">
        <f>مجموع!$C$26*('1401'!F60/'1401'!$N$127)</f>
        <v>0</v>
      </c>
      <c r="G60" s="1">
        <f>مجموع!$C$25*('1401'!G60/'1401'!$N$127)</f>
        <v>0</v>
      </c>
      <c r="H60" s="1">
        <f>مجموع!$C$24*('1401'!H60/'1401'!$N$127)</f>
        <v>0</v>
      </c>
      <c r="I60" s="1">
        <f>مجموع!$C$23*('1401'!I60/'1401'!$N$127)</f>
        <v>4382792.3551966203</v>
      </c>
      <c r="J60" s="1">
        <f>مجموع!$C$22*('1401'!J60/'1401'!$N$127)</f>
        <v>4192683.9941692906</v>
      </c>
      <c r="K60" s="1">
        <f>مجموع!$C$21*('1401'!K60/'1401'!$N$127)</f>
        <v>4168712.931488934</v>
      </c>
      <c r="L60" s="1">
        <f>مجموع!$C$20*('1401'!L60/'1401'!$N$127)</f>
        <v>3344613.9176912731</v>
      </c>
      <c r="M60" s="1">
        <f>مجموع!$C$19*('1401'!M60/'1401'!$N$127)</f>
        <v>3105555.4518910954</v>
      </c>
      <c r="N60" s="1">
        <f>مجموع!$C$18*('1401'!N60/'1401'!$N$127)</f>
        <v>2841808.7001561923</v>
      </c>
      <c r="O60" s="4">
        <v>400</v>
      </c>
      <c r="P60" s="54" t="s">
        <v>2</v>
      </c>
      <c r="Q60" s="54">
        <v>1039</v>
      </c>
      <c r="R60" s="54" t="s">
        <v>93</v>
      </c>
      <c r="S60" s="54">
        <f t="shared" si="1"/>
        <v>57</v>
      </c>
    </row>
    <row r="61" spans="1:19" ht="22.2" x14ac:dyDescent="0.3">
      <c r="A61" s="54"/>
      <c r="B61" s="6">
        <f t="shared" si="0"/>
        <v>16527125.512945056</v>
      </c>
      <c r="C61" s="1">
        <f>مجموع!$C$29*('1401'!C61/'1401'!$N$127)</f>
        <v>0</v>
      </c>
      <c r="D61" s="1">
        <f>مجموع!$C$28*('1401'!D61/'1401'!$N$127)</f>
        <v>0</v>
      </c>
      <c r="E61" s="1">
        <f>مجموع!$C$27*('1401'!E61/'1401'!$N$127)</f>
        <v>0</v>
      </c>
      <c r="F61" s="1">
        <f>مجموع!$C$26*('1401'!F61/'1401'!$N$127)</f>
        <v>0</v>
      </c>
      <c r="G61" s="1">
        <f>مجموع!$C$25*('1401'!G61/'1401'!$N$127)</f>
        <v>0</v>
      </c>
      <c r="H61" s="1">
        <f>مجموع!$C$24*('1401'!H61/'1401'!$N$127)</f>
        <v>0</v>
      </c>
      <c r="I61" s="1">
        <f>مجموع!$C$23*('1401'!I61/'1401'!$N$127)</f>
        <v>3287094.2663974655</v>
      </c>
      <c r="J61" s="1">
        <f>مجموع!$C$22*('1401'!J61/'1401'!$N$127)</f>
        <v>3144512.9956269679</v>
      </c>
      <c r="K61" s="1">
        <f>مجموع!$C$21*('1401'!K61/'1401'!$N$127)</f>
        <v>3126534.6986167002</v>
      </c>
      <c r="L61" s="1">
        <f>مجموع!$C$20*('1401'!L61/'1401'!$N$127)</f>
        <v>2508460.4382684547</v>
      </c>
      <c r="M61" s="1">
        <f>مجموع!$C$19*('1401'!M61/'1401'!$N$127)</f>
        <v>2329166.5889183218</v>
      </c>
      <c r="N61" s="1">
        <f>مجموع!$C$18*('1401'!N61/'1401'!$N$127)</f>
        <v>2131356.525117144</v>
      </c>
      <c r="O61" s="4">
        <v>300</v>
      </c>
      <c r="P61" s="54" t="s">
        <v>1</v>
      </c>
      <c r="Q61" s="54">
        <v>1063</v>
      </c>
      <c r="R61" s="54" t="s">
        <v>93</v>
      </c>
      <c r="S61" s="54">
        <f t="shared" si="1"/>
        <v>58</v>
      </c>
    </row>
    <row r="62" spans="1:19" ht="22.2" x14ac:dyDescent="0.3">
      <c r="A62" s="54"/>
      <c r="B62" s="6">
        <f t="shared" si="0"/>
        <v>16527125.512945056</v>
      </c>
      <c r="C62" s="1">
        <f>مجموع!$C$29*('1401'!C62/'1401'!$N$127)</f>
        <v>0</v>
      </c>
      <c r="D62" s="1">
        <f>مجموع!$C$28*('1401'!D62/'1401'!$N$127)</f>
        <v>0</v>
      </c>
      <c r="E62" s="1">
        <f>مجموع!$C$27*('1401'!E62/'1401'!$N$127)</f>
        <v>0</v>
      </c>
      <c r="F62" s="1">
        <f>مجموع!$C$26*('1401'!F62/'1401'!$N$127)</f>
        <v>0</v>
      </c>
      <c r="G62" s="1">
        <f>مجموع!$C$25*('1401'!G62/'1401'!$N$127)</f>
        <v>0</v>
      </c>
      <c r="H62" s="1">
        <f>مجموع!$C$24*('1401'!H62/'1401'!$N$127)</f>
        <v>0</v>
      </c>
      <c r="I62" s="1">
        <f>مجموع!$C$23*('1401'!I62/'1401'!$N$127)</f>
        <v>3287094.2663974655</v>
      </c>
      <c r="J62" s="1">
        <f>مجموع!$C$22*('1401'!J62/'1401'!$N$127)</f>
        <v>3144512.9956269679</v>
      </c>
      <c r="K62" s="1">
        <f>مجموع!$C$21*('1401'!K62/'1401'!$N$127)</f>
        <v>3126534.6986167002</v>
      </c>
      <c r="L62" s="1">
        <f>مجموع!$C$20*('1401'!L62/'1401'!$N$127)</f>
        <v>2508460.4382684547</v>
      </c>
      <c r="M62" s="1">
        <f>مجموع!$C$19*('1401'!M62/'1401'!$N$127)</f>
        <v>2329166.5889183218</v>
      </c>
      <c r="N62" s="1">
        <f>مجموع!$C$18*('1401'!N62/'1401'!$N$127)</f>
        <v>2131356.525117144</v>
      </c>
      <c r="O62" s="4">
        <v>300</v>
      </c>
      <c r="P62" s="54" t="s">
        <v>3</v>
      </c>
      <c r="Q62" s="54">
        <v>1041</v>
      </c>
      <c r="R62" s="54" t="s">
        <v>93</v>
      </c>
      <c r="S62" s="54">
        <f t="shared" si="1"/>
        <v>59</v>
      </c>
    </row>
    <row r="63" spans="1:19" ht="22.2" x14ac:dyDescent="0.3">
      <c r="A63" s="54"/>
      <c r="B63" s="6">
        <f t="shared" si="0"/>
        <v>8263562.756472528</v>
      </c>
      <c r="C63" s="1">
        <f>مجموع!$C$29*('1401'!C63/'1401'!$N$127)</f>
        <v>0</v>
      </c>
      <c r="D63" s="1">
        <f>مجموع!$C$28*('1401'!D63/'1401'!$N$127)</f>
        <v>0</v>
      </c>
      <c r="E63" s="1">
        <f>مجموع!$C$27*('1401'!E63/'1401'!$N$127)</f>
        <v>0</v>
      </c>
      <c r="F63" s="1">
        <f>مجموع!$C$26*('1401'!F63/'1401'!$N$127)</f>
        <v>0</v>
      </c>
      <c r="G63" s="1">
        <f>مجموع!$C$25*('1401'!G63/'1401'!$N$127)</f>
        <v>0</v>
      </c>
      <c r="H63" s="1">
        <f>مجموع!$C$24*('1401'!H63/'1401'!$N$127)</f>
        <v>0</v>
      </c>
      <c r="I63" s="1">
        <f>مجموع!$C$23*('1401'!I63/'1401'!$N$127)</f>
        <v>1643547.1331987327</v>
      </c>
      <c r="J63" s="1">
        <f>مجموع!$C$22*('1401'!J63/'1401'!$N$127)</f>
        <v>1572256.4978134839</v>
      </c>
      <c r="K63" s="1">
        <f>مجموع!$C$21*('1401'!K63/'1401'!$N$127)</f>
        <v>1563267.3493083501</v>
      </c>
      <c r="L63" s="1">
        <f>مجموع!$C$20*('1401'!L63/'1401'!$N$127)</f>
        <v>1254230.2191342274</v>
      </c>
      <c r="M63" s="1">
        <f>مجموع!$C$19*('1401'!M63/'1401'!$N$127)</f>
        <v>1164583.2944591609</v>
      </c>
      <c r="N63" s="1">
        <f>مجموع!$C$18*('1401'!N63/'1401'!$N$127)</f>
        <v>1065678.262558572</v>
      </c>
      <c r="O63" s="4">
        <v>150</v>
      </c>
      <c r="P63" s="54" t="s">
        <v>82</v>
      </c>
      <c r="Q63" s="54">
        <v>1053</v>
      </c>
      <c r="R63" s="54" t="s">
        <v>93</v>
      </c>
      <c r="S63" s="54">
        <f t="shared" si="1"/>
        <v>60</v>
      </c>
    </row>
    <row r="64" spans="1:19" ht="22.2" x14ac:dyDescent="0.3">
      <c r="A64" s="54"/>
      <c r="B64" s="6">
        <f t="shared" si="0"/>
        <v>8263562.756472528</v>
      </c>
      <c r="C64" s="1">
        <f>مجموع!$C$29*('1401'!C64/'1401'!$N$127)</f>
        <v>0</v>
      </c>
      <c r="D64" s="1">
        <f>مجموع!$C$28*('1401'!D64/'1401'!$N$127)</f>
        <v>0</v>
      </c>
      <c r="E64" s="1">
        <f>مجموع!$C$27*('1401'!E64/'1401'!$N$127)</f>
        <v>0</v>
      </c>
      <c r="F64" s="1">
        <f>مجموع!$C$26*('1401'!F64/'1401'!$N$127)</f>
        <v>0</v>
      </c>
      <c r="G64" s="1">
        <f>مجموع!$C$25*('1401'!G64/'1401'!$N$127)</f>
        <v>0</v>
      </c>
      <c r="H64" s="1">
        <f>مجموع!$C$24*('1401'!H64/'1401'!$N$127)</f>
        <v>0</v>
      </c>
      <c r="I64" s="1">
        <f>مجموع!$C$23*('1401'!I64/'1401'!$N$127)</f>
        <v>1643547.1331987327</v>
      </c>
      <c r="J64" s="1">
        <f>مجموع!$C$22*('1401'!J64/'1401'!$N$127)</f>
        <v>1572256.4978134839</v>
      </c>
      <c r="K64" s="1">
        <f>مجموع!$C$21*('1401'!K64/'1401'!$N$127)</f>
        <v>1563267.3493083501</v>
      </c>
      <c r="L64" s="1">
        <f>مجموع!$C$20*('1401'!L64/'1401'!$N$127)</f>
        <v>1254230.2191342274</v>
      </c>
      <c r="M64" s="1">
        <f>مجموع!$C$19*('1401'!M64/'1401'!$N$127)</f>
        <v>1164583.2944591609</v>
      </c>
      <c r="N64" s="1">
        <f>مجموع!$C$18*('1401'!N64/'1401'!$N$127)</f>
        <v>1065678.262558572</v>
      </c>
      <c r="O64" s="4">
        <v>150</v>
      </c>
      <c r="P64" s="54" t="s">
        <v>67</v>
      </c>
      <c r="Q64" s="54">
        <v>1054</v>
      </c>
      <c r="R64" s="54" t="s">
        <v>93</v>
      </c>
      <c r="S64" s="54">
        <f t="shared" si="1"/>
        <v>61</v>
      </c>
    </row>
    <row r="65" spans="1:19" ht="22.2" x14ac:dyDescent="0.3">
      <c r="A65" s="54"/>
      <c r="B65" s="6">
        <f t="shared" si="0"/>
        <v>8263562.756472528</v>
      </c>
      <c r="C65" s="1">
        <f>مجموع!$C$29*('1401'!C65/'1401'!$N$127)</f>
        <v>0</v>
      </c>
      <c r="D65" s="1">
        <f>مجموع!$C$28*('1401'!D65/'1401'!$N$127)</f>
        <v>0</v>
      </c>
      <c r="E65" s="1">
        <f>مجموع!$C$27*('1401'!E65/'1401'!$N$127)</f>
        <v>0</v>
      </c>
      <c r="F65" s="1">
        <f>مجموع!$C$26*('1401'!F65/'1401'!$N$127)</f>
        <v>0</v>
      </c>
      <c r="G65" s="1">
        <f>مجموع!$C$25*('1401'!G65/'1401'!$N$127)</f>
        <v>0</v>
      </c>
      <c r="H65" s="1">
        <f>مجموع!$C$24*('1401'!H65/'1401'!$N$127)</f>
        <v>0</v>
      </c>
      <c r="I65" s="1">
        <f>مجموع!$C$23*('1401'!I65/'1401'!$N$127)</f>
        <v>1643547.1331987327</v>
      </c>
      <c r="J65" s="1">
        <f>مجموع!$C$22*('1401'!J65/'1401'!$N$127)</f>
        <v>1572256.4978134839</v>
      </c>
      <c r="K65" s="1">
        <f>مجموع!$C$21*('1401'!K65/'1401'!$N$127)</f>
        <v>1563267.3493083501</v>
      </c>
      <c r="L65" s="1">
        <f>مجموع!$C$20*('1401'!L65/'1401'!$N$127)</f>
        <v>1254230.2191342274</v>
      </c>
      <c r="M65" s="1">
        <f>مجموع!$C$19*('1401'!M65/'1401'!$N$127)</f>
        <v>1164583.2944591609</v>
      </c>
      <c r="N65" s="1">
        <f>مجموع!$C$18*('1401'!N65/'1401'!$N$127)</f>
        <v>1065678.262558572</v>
      </c>
      <c r="O65" s="4">
        <v>150</v>
      </c>
      <c r="P65" s="54" t="s">
        <v>83</v>
      </c>
      <c r="Q65" s="54">
        <v>1079</v>
      </c>
      <c r="R65" s="54" t="s">
        <v>93</v>
      </c>
      <c r="S65" s="54">
        <f t="shared" si="1"/>
        <v>62</v>
      </c>
    </row>
    <row r="66" spans="1:19" ht="22.2" x14ac:dyDescent="0.3">
      <c r="A66" s="54"/>
      <c r="B66" s="6">
        <f t="shared" si="0"/>
        <v>4131781.378236264</v>
      </c>
      <c r="C66" s="1">
        <f>مجموع!$C$29*('1401'!C66/'1401'!$N$127)</f>
        <v>0</v>
      </c>
      <c r="D66" s="1">
        <f>مجموع!$C$28*('1401'!D66/'1401'!$N$127)</f>
        <v>0</v>
      </c>
      <c r="E66" s="1">
        <f>مجموع!$C$27*('1401'!E66/'1401'!$N$127)</f>
        <v>0</v>
      </c>
      <c r="F66" s="1">
        <f>مجموع!$C$26*('1401'!F66/'1401'!$N$127)</f>
        <v>0</v>
      </c>
      <c r="G66" s="1">
        <f>مجموع!$C$25*('1401'!G66/'1401'!$N$127)</f>
        <v>0</v>
      </c>
      <c r="H66" s="1">
        <f>مجموع!$C$24*('1401'!H66/'1401'!$N$127)</f>
        <v>0</v>
      </c>
      <c r="I66" s="1">
        <f>مجموع!$C$23*('1401'!I66/'1401'!$N$127)</f>
        <v>821773.56659936637</v>
      </c>
      <c r="J66" s="1">
        <f>مجموع!$C$22*('1401'!J66/'1401'!$N$127)</f>
        <v>786128.24890674197</v>
      </c>
      <c r="K66" s="1">
        <f>مجموع!$C$21*('1401'!K66/'1401'!$N$127)</f>
        <v>781633.67465417506</v>
      </c>
      <c r="L66" s="1">
        <f>مجموع!$C$20*('1401'!L66/'1401'!$N$127)</f>
        <v>627115.10956711369</v>
      </c>
      <c r="M66" s="1">
        <f>مجموع!$C$19*('1401'!M66/'1401'!$N$127)</f>
        <v>582291.64722958044</v>
      </c>
      <c r="N66" s="1">
        <f>مجموع!$C$18*('1401'!N66/'1401'!$N$127)</f>
        <v>532839.131279286</v>
      </c>
      <c r="O66" s="4">
        <v>75</v>
      </c>
      <c r="P66" s="54" t="s">
        <v>26</v>
      </c>
      <c r="Q66" s="54">
        <v>1042</v>
      </c>
      <c r="R66" s="54" t="s">
        <v>93</v>
      </c>
      <c r="S66" s="54">
        <f t="shared" si="1"/>
        <v>63</v>
      </c>
    </row>
    <row r="67" spans="1:19" ht="22.2" x14ac:dyDescent="0.3">
      <c r="A67" s="54"/>
      <c r="B67" s="6">
        <f t="shared" si="0"/>
        <v>4131781.378236264</v>
      </c>
      <c r="C67" s="1">
        <f>مجموع!$C$29*('1401'!C67/'1401'!$N$127)</f>
        <v>0</v>
      </c>
      <c r="D67" s="1">
        <f>مجموع!$C$28*('1401'!D67/'1401'!$N$127)</f>
        <v>0</v>
      </c>
      <c r="E67" s="1">
        <f>مجموع!$C$27*('1401'!E67/'1401'!$N$127)</f>
        <v>0</v>
      </c>
      <c r="F67" s="1">
        <f>مجموع!$C$26*('1401'!F67/'1401'!$N$127)</f>
        <v>0</v>
      </c>
      <c r="G67" s="1">
        <f>مجموع!$C$25*('1401'!G67/'1401'!$N$127)</f>
        <v>0</v>
      </c>
      <c r="H67" s="1">
        <f>مجموع!$C$24*('1401'!H67/'1401'!$N$127)</f>
        <v>0</v>
      </c>
      <c r="I67" s="1">
        <f>مجموع!$C$23*('1401'!I67/'1401'!$N$127)</f>
        <v>821773.56659936637</v>
      </c>
      <c r="J67" s="1">
        <f>مجموع!$C$22*('1401'!J67/'1401'!$N$127)</f>
        <v>786128.24890674197</v>
      </c>
      <c r="K67" s="1">
        <f>مجموع!$C$21*('1401'!K67/'1401'!$N$127)</f>
        <v>781633.67465417506</v>
      </c>
      <c r="L67" s="1">
        <f>مجموع!$C$20*('1401'!L67/'1401'!$N$127)</f>
        <v>627115.10956711369</v>
      </c>
      <c r="M67" s="1">
        <f>مجموع!$C$19*('1401'!M67/'1401'!$N$127)</f>
        <v>582291.64722958044</v>
      </c>
      <c r="N67" s="1">
        <f>مجموع!$C$18*('1401'!N67/'1401'!$N$127)</f>
        <v>532839.131279286</v>
      </c>
      <c r="O67" s="4">
        <v>75</v>
      </c>
      <c r="P67" s="54" t="s">
        <v>68</v>
      </c>
      <c r="Q67" s="54">
        <v>1064</v>
      </c>
      <c r="R67" s="54" t="s">
        <v>93</v>
      </c>
      <c r="S67" s="54">
        <f t="shared" si="1"/>
        <v>64</v>
      </c>
    </row>
    <row r="68" spans="1:19" ht="22.2" x14ac:dyDescent="0.3">
      <c r="A68" s="54"/>
      <c r="B68" s="6">
        <f t="shared" ref="B68:B114" si="2">SUM(C68:N68)</f>
        <v>4131781.378236264</v>
      </c>
      <c r="C68" s="1">
        <f>مجموع!$C$29*('1401'!C68/'1401'!$N$127)</f>
        <v>0</v>
      </c>
      <c r="D68" s="1">
        <f>مجموع!$C$28*('1401'!D68/'1401'!$N$127)</f>
        <v>0</v>
      </c>
      <c r="E68" s="1">
        <f>مجموع!$C$27*('1401'!E68/'1401'!$N$127)</f>
        <v>0</v>
      </c>
      <c r="F68" s="1">
        <f>مجموع!$C$26*('1401'!F68/'1401'!$N$127)</f>
        <v>0</v>
      </c>
      <c r="G68" s="1">
        <f>مجموع!$C$25*('1401'!G68/'1401'!$N$127)</f>
        <v>0</v>
      </c>
      <c r="H68" s="1">
        <f>مجموع!$C$24*('1401'!H68/'1401'!$N$127)</f>
        <v>0</v>
      </c>
      <c r="I68" s="1">
        <f>مجموع!$C$23*('1401'!I68/'1401'!$N$127)</f>
        <v>821773.56659936637</v>
      </c>
      <c r="J68" s="1">
        <f>مجموع!$C$22*('1401'!J68/'1401'!$N$127)</f>
        <v>786128.24890674197</v>
      </c>
      <c r="K68" s="1">
        <f>مجموع!$C$21*('1401'!K68/'1401'!$N$127)</f>
        <v>781633.67465417506</v>
      </c>
      <c r="L68" s="1">
        <f>مجموع!$C$20*('1401'!L68/'1401'!$N$127)</f>
        <v>627115.10956711369</v>
      </c>
      <c r="M68" s="1">
        <f>مجموع!$C$19*('1401'!M68/'1401'!$N$127)</f>
        <v>582291.64722958044</v>
      </c>
      <c r="N68" s="1">
        <f>مجموع!$C$18*('1401'!N68/'1401'!$N$127)</f>
        <v>532839.131279286</v>
      </c>
      <c r="O68" s="4">
        <v>75</v>
      </c>
      <c r="P68" s="54" t="s">
        <v>69</v>
      </c>
      <c r="Q68" s="54">
        <v>1065</v>
      </c>
      <c r="R68" s="54" t="s">
        <v>93</v>
      </c>
      <c r="S68" s="54">
        <f t="shared" si="1"/>
        <v>65</v>
      </c>
    </row>
    <row r="69" spans="1:19" ht="22.2" x14ac:dyDescent="0.3">
      <c r="A69" s="54"/>
      <c r="B69" s="6">
        <f t="shared" si="2"/>
        <v>4131781.378236264</v>
      </c>
      <c r="C69" s="1">
        <f>مجموع!$C$29*('1401'!C69/'1401'!$N$127)</f>
        <v>0</v>
      </c>
      <c r="D69" s="1">
        <f>مجموع!$C$28*('1401'!D69/'1401'!$N$127)</f>
        <v>0</v>
      </c>
      <c r="E69" s="1">
        <f>مجموع!$C$27*('1401'!E69/'1401'!$N$127)</f>
        <v>0</v>
      </c>
      <c r="F69" s="1">
        <f>مجموع!$C$26*('1401'!F69/'1401'!$N$127)</f>
        <v>0</v>
      </c>
      <c r="G69" s="1">
        <f>مجموع!$C$25*('1401'!G69/'1401'!$N$127)</f>
        <v>0</v>
      </c>
      <c r="H69" s="1">
        <f>مجموع!$C$24*('1401'!H69/'1401'!$N$127)</f>
        <v>0</v>
      </c>
      <c r="I69" s="1">
        <f>مجموع!$C$23*('1401'!I69/'1401'!$N$127)</f>
        <v>821773.56659936637</v>
      </c>
      <c r="J69" s="1">
        <f>مجموع!$C$22*('1401'!J69/'1401'!$N$127)</f>
        <v>786128.24890674197</v>
      </c>
      <c r="K69" s="1">
        <f>مجموع!$C$21*('1401'!K69/'1401'!$N$127)</f>
        <v>781633.67465417506</v>
      </c>
      <c r="L69" s="1">
        <f>مجموع!$C$20*('1401'!L69/'1401'!$N$127)</f>
        <v>627115.10956711369</v>
      </c>
      <c r="M69" s="1">
        <f>مجموع!$C$19*('1401'!M69/'1401'!$N$127)</f>
        <v>582291.64722958044</v>
      </c>
      <c r="N69" s="1">
        <f>مجموع!$C$18*('1401'!N69/'1401'!$N$127)</f>
        <v>532839.131279286</v>
      </c>
      <c r="O69" s="4">
        <v>75</v>
      </c>
      <c r="P69" s="54" t="s">
        <v>70</v>
      </c>
      <c r="Q69" s="54">
        <v>1066</v>
      </c>
      <c r="R69" s="54" t="s">
        <v>93</v>
      </c>
      <c r="S69" s="54">
        <f t="shared" si="1"/>
        <v>66</v>
      </c>
    </row>
    <row r="70" spans="1:19" ht="22.2" x14ac:dyDescent="0.3">
      <c r="A70" s="54"/>
      <c r="B70" s="6">
        <f t="shared" si="2"/>
        <v>2754520.9188241758</v>
      </c>
      <c r="C70" s="1">
        <f>مجموع!$C$29*('1401'!C70/'1401'!$N$127)</f>
        <v>0</v>
      </c>
      <c r="D70" s="1">
        <f>مجموع!$C$28*('1401'!D70/'1401'!$N$127)</f>
        <v>0</v>
      </c>
      <c r="E70" s="1">
        <f>مجموع!$C$27*('1401'!E70/'1401'!$N$127)</f>
        <v>0</v>
      </c>
      <c r="F70" s="1">
        <f>مجموع!$C$26*('1401'!F70/'1401'!$N$127)</f>
        <v>0</v>
      </c>
      <c r="G70" s="1">
        <f>مجموع!$C$25*('1401'!G70/'1401'!$N$127)</f>
        <v>0</v>
      </c>
      <c r="H70" s="1">
        <f>مجموع!$C$24*('1401'!H70/'1401'!$N$127)</f>
        <v>0</v>
      </c>
      <c r="I70" s="1">
        <f>مجموع!$C$23*('1401'!I70/'1401'!$N$127)</f>
        <v>547849.04439957754</v>
      </c>
      <c r="J70" s="1">
        <f>مجموع!$C$22*('1401'!J70/'1401'!$N$127)</f>
        <v>524085.49927116133</v>
      </c>
      <c r="K70" s="1">
        <f>مجموع!$C$21*('1401'!K70/'1401'!$N$127)</f>
        <v>521089.11643611675</v>
      </c>
      <c r="L70" s="1">
        <f>مجموع!$C$20*('1401'!L70/'1401'!$N$127)</f>
        <v>418076.73971140914</v>
      </c>
      <c r="M70" s="1">
        <f>مجموع!$C$19*('1401'!M70/'1401'!$N$127)</f>
        <v>388194.43148638692</v>
      </c>
      <c r="N70" s="1">
        <f>مجموع!$C$18*('1401'!N70/'1401'!$N$127)</f>
        <v>355226.08751952404</v>
      </c>
      <c r="O70" s="4">
        <v>50</v>
      </c>
      <c r="P70" s="54" t="s">
        <v>71</v>
      </c>
      <c r="Q70" s="54">
        <v>1067</v>
      </c>
      <c r="R70" s="54" t="s">
        <v>93</v>
      </c>
      <c r="S70" s="54">
        <f t="shared" si="1"/>
        <v>67</v>
      </c>
    </row>
    <row r="71" spans="1:19" ht="22.2" x14ac:dyDescent="0.3">
      <c r="A71" s="54"/>
      <c r="B71" s="6">
        <f t="shared" si="2"/>
        <v>2754520.9188241758</v>
      </c>
      <c r="C71" s="1">
        <f>مجموع!$C$29*('1401'!C71/'1401'!$N$127)</f>
        <v>0</v>
      </c>
      <c r="D71" s="1">
        <f>مجموع!$C$28*('1401'!D71/'1401'!$N$127)</f>
        <v>0</v>
      </c>
      <c r="E71" s="1">
        <f>مجموع!$C$27*('1401'!E71/'1401'!$N$127)</f>
        <v>0</v>
      </c>
      <c r="F71" s="1">
        <f>مجموع!$C$26*('1401'!F71/'1401'!$N$127)</f>
        <v>0</v>
      </c>
      <c r="G71" s="1">
        <f>مجموع!$C$25*('1401'!G71/'1401'!$N$127)</f>
        <v>0</v>
      </c>
      <c r="H71" s="1">
        <f>مجموع!$C$24*('1401'!H71/'1401'!$N$127)</f>
        <v>0</v>
      </c>
      <c r="I71" s="1">
        <f>مجموع!$C$23*('1401'!I71/'1401'!$N$127)</f>
        <v>547849.04439957754</v>
      </c>
      <c r="J71" s="1">
        <f>مجموع!$C$22*('1401'!J71/'1401'!$N$127)</f>
        <v>524085.49927116133</v>
      </c>
      <c r="K71" s="1">
        <f>مجموع!$C$21*('1401'!K71/'1401'!$N$127)</f>
        <v>521089.11643611675</v>
      </c>
      <c r="L71" s="1">
        <f>مجموع!$C$20*('1401'!L71/'1401'!$N$127)</f>
        <v>418076.73971140914</v>
      </c>
      <c r="M71" s="1">
        <f>مجموع!$C$19*('1401'!M71/'1401'!$N$127)</f>
        <v>388194.43148638692</v>
      </c>
      <c r="N71" s="1">
        <f>مجموع!$C$18*('1401'!N71/'1401'!$N$127)</f>
        <v>355226.08751952404</v>
      </c>
      <c r="O71" s="4">
        <v>50</v>
      </c>
      <c r="P71" s="54" t="s">
        <v>72</v>
      </c>
      <c r="Q71" s="54">
        <v>1068</v>
      </c>
      <c r="R71" s="54" t="s">
        <v>93</v>
      </c>
      <c r="S71" s="54">
        <f t="shared" si="1"/>
        <v>68</v>
      </c>
    </row>
    <row r="72" spans="1:19" ht="22.2" x14ac:dyDescent="0.3">
      <c r="A72" s="54"/>
      <c r="B72" s="6">
        <f t="shared" si="2"/>
        <v>2754520.9188241758</v>
      </c>
      <c r="C72" s="1">
        <f>مجموع!$C$29*('1401'!C72/'1401'!$N$127)</f>
        <v>0</v>
      </c>
      <c r="D72" s="1">
        <f>مجموع!$C$28*('1401'!D72/'1401'!$N$127)</f>
        <v>0</v>
      </c>
      <c r="E72" s="1">
        <f>مجموع!$C$27*('1401'!E72/'1401'!$N$127)</f>
        <v>0</v>
      </c>
      <c r="F72" s="1">
        <f>مجموع!$C$26*('1401'!F72/'1401'!$N$127)</f>
        <v>0</v>
      </c>
      <c r="G72" s="1">
        <f>مجموع!$C$25*('1401'!G72/'1401'!$N$127)</f>
        <v>0</v>
      </c>
      <c r="H72" s="1">
        <f>مجموع!$C$24*('1401'!H72/'1401'!$N$127)</f>
        <v>0</v>
      </c>
      <c r="I72" s="1">
        <f>مجموع!$C$23*('1401'!I72/'1401'!$N$127)</f>
        <v>547849.04439957754</v>
      </c>
      <c r="J72" s="1">
        <f>مجموع!$C$22*('1401'!J72/'1401'!$N$127)</f>
        <v>524085.49927116133</v>
      </c>
      <c r="K72" s="1">
        <f>مجموع!$C$21*('1401'!K72/'1401'!$N$127)</f>
        <v>521089.11643611675</v>
      </c>
      <c r="L72" s="1">
        <f>مجموع!$C$20*('1401'!L72/'1401'!$N$127)</f>
        <v>418076.73971140914</v>
      </c>
      <c r="M72" s="1">
        <f>مجموع!$C$19*('1401'!M72/'1401'!$N$127)</f>
        <v>388194.43148638692</v>
      </c>
      <c r="N72" s="1">
        <f>مجموع!$C$18*('1401'!N72/'1401'!$N$127)</f>
        <v>355226.08751952404</v>
      </c>
      <c r="O72" s="4">
        <v>50</v>
      </c>
      <c r="P72" s="54" t="s">
        <v>73</v>
      </c>
      <c r="Q72" s="54">
        <v>1069</v>
      </c>
      <c r="R72" s="54" t="s">
        <v>93</v>
      </c>
      <c r="S72" s="54">
        <f t="shared" si="1"/>
        <v>69</v>
      </c>
    </row>
    <row r="73" spans="1:19" ht="22.2" x14ac:dyDescent="0.3">
      <c r="A73" s="54"/>
      <c r="B73" s="6">
        <f t="shared" si="2"/>
        <v>2754520.9188241758</v>
      </c>
      <c r="C73" s="1">
        <f>مجموع!$C$29*('1401'!C73/'1401'!$N$127)</f>
        <v>0</v>
      </c>
      <c r="D73" s="1">
        <f>مجموع!$C$28*('1401'!D73/'1401'!$N$127)</f>
        <v>0</v>
      </c>
      <c r="E73" s="1">
        <f>مجموع!$C$27*('1401'!E73/'1401'!$N$127)</f>
        <v>0</v>
      </c>
      <c r="F73" s="1">
        <f>مجموع!$C$26*('1401'!F73/'1401'!$N$127)</f>
        <v>0</v>
      </c>
      <c r="G73" s="1">
        <f>مجموع!$C$25*('1401'!G73/'1401'!$N$127)</f>
        <v>0</v>
      </c>
      <c r="H73" s="1">
        <f>مجموع!$C$24*('1401'!H73/'1401'!$N$127)</f>
        <v>0</v>
      </c>
      <c r="I73" s="1">
        <f>مجموع!$C$23*('1401'!I73/'1401'!$N$127)</f>
        <v>547849.04439957754</v>
      </c>
      <c r="J73" s="1">
        <f>مجموع!$C$22*('1401'!J73/'1401'!$N$127)</f>
        <v>524085.49927116133</v>
      </c>
      <c r="K73" s="1">
        <f>مجموع!$C$21*('1401'!K73/'1401'!$N$127)</f>
        <v>521089.11643611675</v>
      </c>
      <c r="L73" s="1">
        <f>مجموع!$C$20*('1401'!L73/'1401'!$N$127)</f>
        <v>418076.73971140914</v>
      </c>
      <c r="M73" s="1">
        <f>مجموع!$C$19*('1401'!M73/'1401'!$N$127)</f>
        <v>388194.43148638692</v>
      </c>
      <c r="N73" s="1">
        <f>مجموع!$C$18*('1401'!N73/'1401'!$N$127)</f>
        <v>355226.08751952404</v>
      </c>
      <c r="O73" s="4">
        <v>50</v>
      </c>
      <c r="P73" s="54" t="s">
        <v>74</v>
      </c>
      <c r="Q73" s="54">
        <v>1070</v>
      </c>
      <c r="R73" s="54" t="s">
        <v>93</v>
      </c>
      <c r="S73" s="54">
        <f t="shared" si="1"/>
        <v>70</v>
      </c>
    </row>
    <row r="74" spans="1:19" ht="22.2" x14ac:dyDescent="0.3">
      <c r="A74" s="54"/>
      <c r="B74" s="6">
        <f t="shared" si="2"/>
        <v>2754520.9188241758</v>
      </c>
      <c r="C74" s="1">
        <f>مجموع!$C$29*('1401'!C74/'1401'!$N$127)</f>
        <v>0</v>
      </c>
      <c r="D74" s="1">
        <f>مجموع!$C$28*('1401'!D74/'1401'!$N$127)</f>
        <v>0</v>
      </c>
      <c r="E74" s="1">
        <f>مجموع!$C$27*('1401'!E74/'1401'!$N$127)</f>
        <v>0</v>
      </c>
      <c r="F74" s="1">
        <f>مجموع!$C$26*('1401'!F74/'1401'!$N$127)</f>
        <v>0</v>
      </c>
      <c r="G74" s="1">
        <f>مجموع!$C$25*('1401'!G74/'1401'!$N$127)</f>
        <v>0</v>
      </c>
      <c r="H74" s="1">
        <f>مجموع!$C$24*('1401'!H74/'1401'!$N$127)</f>
        <v>0</v>
      </c>
      <c r="I74" s="1">
        <f>مجموع!$C$23*('1401'!I74/'1401'!$N$127)</f>
        <v>547849.04439957754</v>
      </c>
      <c r="J74" s="1">
        <f>مجموع!$C$22*('1401'!J74/'1401'!$N$127)</f>
        <v>524085.49927116133</v>
      </c>
      <c r="K74" s="1">
        <f>مجموع!$C$21*('1401'!K74/'1401'!$N$127)</f>
        <v>521089.11643611675</v>
      </c>
      <c r="L74" s="1">
        <f>مجموع!$C$20*('1401'!L74/'1401'!$N$127)</f>
        <v>418076.73971140914</v>
      </c>
      <c r="M74" s="1">
        <f>مجموع!$C$19*('1401'!M74/'1401'!$N$127)</f>
        <v>388194.43148638692</v>
      </c>
      <c r="N74" s="1">
        <f>مجموع!$C$18*('1401'!N74/'1401'!$N$127)</f>
        <v>355226.08751952404</v>
      </c>
      <c r="O74" s="4">
        <v>50</v>
      </c>
      <c r="P74" s="54" t="s">
        <v>34</v>
      </c>
      <c r="Q74" s="54">
        <v>1060</v>
      </c>
      <c r="R74" s="54" t="s">
        <v>93</v>
      </c>
      <c r="S74" s="54">
        <f t="shared" si="1"/>
        <v>71</v>
      </c>
    </row>
    <row r="75" spans="1:19" ht="22.2" x14ac:dyDescent="0.3">
      <c r="A75" s="54"/>
      <c r="B75" s="6">
        <f t="shared" si="2"/>
        <v>2754520.9188241758</v>
      </c>
      <c r="C75" s="1">
        <f>مجموع!$C$29*('1401'!C75/'1401'!$N$127)</f>
        <v>0</v>
      </c>
      <c r="D75" s="1">
        <f>مجموع!$C$28*('1401'!D75/'1401'!$N$127)</f>
        <v>0</v>
      </c>
      <c r="E75" s="1">
        <f>مجموع!$C$27*('1401'!E75/'1401'!$N$127)</f>
        <v>0</v>
      </c>
      <c r="F75" s="1">
        <f>مجموع!$C$26*('1401'!F75/'1401'!$N$127)</f>
        <v>0</v>
      </c>
      <c r="G75" s="1">
        <f>مجموع!$C$25*('1401'!G75/'1401'!$N$127)</f>
        <v>0</v>
      </c>
      <c r="H75" s="1">
        <f>مجموع!$C$24*('1401'!H75/'1401'!$N$127)</f>
        <v>0</v>
      </c>
      <c r="I75" s="1">
        <f>مجموع!$C$23*('1401'!I75/'1401'!$N$127)</f>
        <v>547849.04439957754</v>
      </c>
      <c r="J75" s="1">
        <f>مجموع!$C$22*('1401'!J75/'1401'!$N$127)</f>
        <v>524085.49927116133</v>
      </c>
      <c r="K75" s="1">
        <f>مجموع!$C$21*('1401'!K75/'1401'!$N$127)</f>
        <v>521089.11643611675</v>
      </c>
      <c r="L75" s="1">
        <f>مجموع!$C$20*('1401'!L75/'1401'!$N$127)</f>
        <v>418076.73971140914</v>
      </c>
      <c r="M75" s="1">
        <f>مجموع!$C$19*('1401'!M75/'1401'!$N$127)</f>
        <v>388194.43148638692</v>
      </c>
      <c r="N75" s="1">
        <f>مجموع!$C$18*('1401'!N75/'1401'!$N$127)</f>
        <v>355226.08751952404</v>
      </c>
      <c r="O75" s="4">
        <v>50</v>
      </c>
      <c r="P75" s="54" t="s">
        <v>33</v>
      </c>
      <c r="Q75" s="54">
        <v>1061</v>
      </c>
      <c r="R75" s="54" t="s">
        <v>93</v>
      </c>
      <c r="S75" s="54">
        <f t="shared" si="1"/>
        <v>72</v>
      </c>
    </row>
    <row r="76" spans="1:19" ht="22.2" x14ac:dyDescent="0.3">
      <c r="A76" s="54"/>
      <c r="B76" s="6">
        <f t="shared" si="2"/>
        <v>7908336.6689530043</v>
      </c>
      <c r="C76" s="1">
        <f>مجموع!$C$29*('1401'!C76/'1401'!$N$127)</f>
        <v>0</v>
      </c>
      <c r="D76" s="1">
        <f>مجموع!$C$28*('1401'!D76/'1401'!$N$127)</f>
        <v>0</v>
      </c>
      <c r="E76" s="1">
        <f>مجموع!$C$27*('1401'!E76/'1401'!$N$127)</f>
        <v>0</v>
      </c>
      <c r="F76" s="1">
        <f>مجموع!$C$26*('1401'!F76/'1401'!$N$127)</f>
        <v>0</v>
      </c>
      <c r="G76" s="1">
        <f>مجموع!$C$25*('1401'!G76/'1401'!$N$127)</f>
        <v>0</v>
      </c>
      <c r="H76" s="1">
        <f>مجموع!$C$24*('1401'!H76/'1401'!$N$127)</f>
        <v>0</v>
      </c>
      <c r="I76" s="1">
        <f>مجموع!$C$23*('1401'!I76/'1401'!$N$127)</f>
        <v>1643547.1331987327</v>
      </c>
      <c r="J76" s="1">
        <f>مجموع!$C$22*('1401'!J76/'1401'!$N$127)</f>
        <v>1572256.4978134839</v>
      </c>
      <c r="K76" s="1">
        <f>مجموع!$C$21*('1401'!K76/'1401'!$N$127)</f>
        <v>1563267.3493083501</v>
      </c>
      <c r="L76" s="1">
        <f>مجموع!$C$20*('1401'!L76/'1401'!$N$127)</f>
        <v>1254230.2191342274</v>
      </c>
      <c r="M76" s="1">
        <f>مجموع!$C$19*('1401'!M76/'1401'!$N$127)</f>
        <v>1164583.2944591609</v>
      </c>
      <c r="N76" s="1">
        <f>مجموع!$C$18*('1401'!N76/'1401'!$N$127)</f>
        <v>710452.17503904807</v>
      </c>
      <c r="O76" s="4">
        <v>150</v>
      </c>
      <c r="P76" s="54" t="s">
        <v>81</v>
      </c>
      <c r="Q76" s="54">
        <v>1076</v>
      </c>
      <c r="R76" s="54" t="s">
        <v>93</v>
      </c>
      <c r="S76" s="54">
        <f t="shared" si="1"/>
        <v>73</v>
      </c>
    </row>
    <row r="77" spans="1:19" ht="22.2" x14ac:dyDescent="0.3">
      <c r="A77" s="54"/>
      <c r="B77" s="6">
        <f t="shared" si="2"/>
        <v>7908336.6689530043</v>
      </c>
      <c r="C77" s="1">
        <f>مجموع!$C$29*('1401'!C77/'1401'!$N$127)</f>
        <v>0</v>
      </c>
      <c r="D77" s="1">
        <f>مجموع!$C$28*('1401'!D77/'1401'!$N$127)</f>
        <v>0</v>
      </c>
      <c r="E77" s="1">
        <f>مجموع!$C$27*('1401'!E77/'1401'!$N$127)</f>
        <v>0</v>
      </c>
      <c r="F77" s="1">
        <f>مجموع!$C$26*('1401'!F77/'1401'!$N$127)</f>
        <v>0</v>
      </c>
      <c r="G77" s="1">
        <f>مجموع!$C$25*('1401'!G77/'1401'!$N$127)</f>
        <v>0</v>
      </c>
      <c r="H77" s="1">
        <f>مجموع!$C$24*('1401'!H77/'1401'!$N$127)</f>
        <v>0</v>
      </c>
      <c r="I77" s="1">
        <f>مجموع!$C$23*('1401'!I77/'1401'!$N$127)</f>
        <v>1643547.1331987327</v>
      </c>
      <c r="J77" s="1">
        <f>مجموع!$C$22*('1401'!J77/'1401'!$N$127)</f>
        <v>1572256.4978134839</v>
      </c>
      <c r="K77" s="1">
        <f>مجموع!$C$21*('1401'!K77/'1401'!$N$127)</f>
        <v>1563267.3493083501</v>
      </c>
      <c r="L77" s="1">
        <f>مجموع!$C$20*('1401'!L77/'1401'!$N$127)</f>
        <v>1254230.2191342274</v>
      </c>
      <c r="M77" s="1">
        <f>مجموع!$C$19*('1401'!M77/'1401'!$N$127)</f>
        <v>1164583.2944591609</v>
      </c>
      <c r="N77" s="1">
        <f>مجموع!$C$18*('1401'!N77/'1401'!$N$127)</f>
        <v>710452.17503904807</v>
      </c>
      <c r="O77" s="4">
        <v>150</v>
      </c>
      <c r="P77" s="54" t="s">
        <v>102</v>
      </c>
      <c r="Q77" s="54">
        <v>1077</v>
      </c>
      <c r="R77" s="54" t="s">
        <v>93</v>
      </c>
      <c r="S77" s="54">
        <f t="shared" si="1"/>
        <v>74</v>
      </c>
    </row>
    <row r="78" spans="1:19" ht="22.2" x14ac:dyDescent="0.3">
      <c r="A78" s="54"/>
      <c r="B78" s="6">
        <f t="shared" si="2"/>
        <v>7908336.6689530043</v>
      </c>
      <c r="C78" s="1">
        <f>مجموع!$C$29*('1401'!C78/'1401'!$N$127)</f>
        <v>0</v>
      </c>
      <c r="D78" s="1">
        <f>مجموع!$C$28*('1401'!D78/'1401'!$N$127)</f>
        <v>0</v>
      </c>
      <c r="E78" s="1">
        <f>مجموع!$C$27*('1401'!E78/'1401'!$N$127)</f>
        <v>0</v>
      </c>
      <c r="F78" s="1">
        <f>مجموع!$C$26*('1401'!F78/'1401'!$N$127)</f>
        <v>0</v>
      </c>
      <c r="G78" s="1">
        <f>مجموع!$C$25*('1401'!G78/'1401'!$N$127)</f>
        <v>0</v>
      </c>
      <c r="H78" s="1">
        <f>مجموع!$C$24*('1401'!H78/'1401'!$N$127)</f>
        <v>0</v>
      </c>
      <c r="I78" s="1">
        <f>مجموع!$C$23*('1401'!I78/'1401'!$N$127)</f>
        <v>1643547.1331987327</v>
      </c>
      <c r="J78" s="1">
        <f>مجموع!$C$22*('1401'!J78/'1401'!$N$127)</f>
        <v>1572256.4978134839</v>
      </c>
      <c r="K78" s="1">
        <f>مجموع!$C$21*('1401'!K78/'1401'!$N$127)</f>
        <v>1563267.3493083501</v>
      </c>
      <c r="L78" s="1">
        <f>مجموع!$C$20*('1401'!L78/'1401'!$N$127)</f>
        <v>1254230.2191342274</v>
      </c>
      <c r="M78" s="1">
        <f>مجموع!$C$19*('1401'!M78/'1401'!$N$127)</f>
        <v>1164583.2944591609</v>
      </c>
      <c r="N78" s="1">
        <f>مجموع!$C$18*('1401'!N78/'1401'!$N$127)</f>
        <v>710452.17503904807</v>
      </c>
      <c r="O78" s="4">
        <v>150</v>
      </c>
      <c r="P78" s="54" t="s">
        <v>80</v>
      </c>
      <c r="Q78" s="54">
        <v>1075</v>
      </c>
      <c r="R78" s="54" t="s">
        <v>93</v>
      </c>
      <c r="S78" s="54">
        <f t="shared" si="1"/>
        <v>75</v>
      </c>
    </row>
    <row r="79" spans="1:19" ht="22.2" x14ac:dyDescent="0.3">
      <c r="A79" s="54"/>
      <c r="B79" s="6">
        <f t="shared" si="2"/>
        <v>5509041.8376483517</v>
      </c>
      <c r="C79" s="1">
        <f>مجموع!$C$29*('1401'!C79/'1401'!$N$127)</f>
        <v>0</v>
      </c>
      <c r="D79" s="1">
        <f>مجموع!$C$28*('1401'!D79/'1401'!$N$127)</f>
        <v>0</v>
      </c>
      <c r="E79" s="1">
        <f>مجموع!$C$27*('1401'!E79/'1401'!$N$127)</f>
        <v>0</v>
      </c>
      <c r="F79" s="1">
        <f>مجموع!$C$26*('1401'!F79/'1401'!$N$127)</f>
        <v>0</v>
      </c>
      <c r="G79" s="1">
        <f>مجموع!$C$25*('1401'!G79/'1401'!$N$127)</f>
        <v>0</v>
      </c>
      <c r="H79" s="1">
        <f>مجموع!$C$24*('1401'!H79/'1401'!$N$127)</f>
        <v>0</v>
      </c>
      <c r="I79" s="1">
        <f>مجموع!$C$23*('1401'!I79/'1401'!$N$127)</f>
        <v>1095698.0887991551</v>
      </c>
      <c r="J79" s="1">
        <f>مجموع!$C$22*('1401'!J79/'1401'!$N$127)</f>
        <v>1048170.9985423227</v>
      </c>
      <c r="K79" s="1">
        <f>مجموع!$C$21*('1401'!K79/'1401'!$N$127)</f>
        <v>1042178.2328722335</v>
      </c>
      <c r="L79" s="1">
        <f>مجموع!$C$20*('1401'!L79/'1401'!$N$127)</f>
        <v>836153.47942281829</v>
      </c>
      <c r="M79" s="1">
        <f>مجموع!$C$19*('1401'!M79/'1401'!$N$127)</f>
        <v>776388.86297277384</v>
      </c>
      <c r="N79" s="1">
        <f>مجموع!$C$18*('1401'!N79/'1401'!$N$127)</f>
        <v>710452.17503904807</v>
      </c>
      <c r="O79" s="4">
        <v>100</v>
      </c>
      <c r="P79" s="54" t="s">
        <v>91</v>
      </c>
      <c r="Q79" s="54">
        <v>1085</v>
      </c>
      <c r="R79" s="54" t="s">
        <v>93</v>
      </c>
      <c r="S79" s="54">
        <f t="shared" si="1"/>
        <v>76</v>
      </c>
    </row>
    <row r="80" spans="1:19" ht="22.2" x14ac:dyDescent="0.3">
      <c r="A80" s="54"/>
      <c r="B80" s="6">
        <f t="shared" si="2"/>
        <v>5509041.8376483517</v>
      </c>
      <c r="C80" s="1">
        <f>مجموع!$C$29*('1401'!C80/'1401'!$N$127)</f>
        <v>0</v>
      </c>
      <c r="D80" s="1">
        <f>مجموع!$C$28*('1401'!D80/'1401'!$N$127)</f>
        <v>0</v>
      </c>
      <c r="E80" s="1">
        <f>مجموع!$C$27*('1401'!E80/'1401'!$N$127)</f>
        <v>0</v>
      </c>
      <c r="F80" s="1">
        <f>مجموع!$C$26*('1401'!F80/'1401'!$N$127)</f>
        <v>0</v>
      </c>
      <c r="G80" s="1">
        <f>مجموع!$C$25*('1401'!G80/'1401'!$N$127)</f>
        <v>0</v>
      </c>
      <c r="H80" s="1">
        <f>مجموع!$C$24*('1401'!H80/'1401'!$N$127)</f>
        <v>0</v>
      </c>
      <c r="I80" s="1">
        <f>مجموع!$C$23*('1401'!I80/'1401'!$N$127)</f>
        <v>1095698.0887991551</v>
      </c>
      <c r="J80" s="1">
        <f>مجموع!$C$22*('1401'!J80/'1401'!$N$127)</f>
        <v>1048170.9985423227</v>
      </c>
      <c r="K80" s="1">
        <f>مجموع!$C$21*('1401'!K80/'1401'!$N$127)</f>
        <v>1042178.2328722335</v>
      </c>
      <c r="L80" s="1">
        <f>مجموع!$C$20*('1401'!L80/'1401'!$N$127)</f>
        <v>836153.47942281829</v>
      </c>
      <c r="M80" s="1">
        <f>مجموع!$C$19*('1401'!M80/'1401'!$N$127)</f>
        <v>776388.86297277384</v>
      </c>
      <c r="N80" s="1">
        <f>مجموع!$C$18*('1401'!N80/'1401'!$N$127)</f>
        <v>710452.17503904807</v>
      </c>
      <c r="O80" s="4">
        <v>100</v>
      </c>
      <c r="P80" s="54" t="s">
        <v>92</v>
      </c>
      <c r="Q80" s="54">
        <v>1086</v>
      </c>
      <c r="R80" s="54" t="s">
        <v>93</v>
      </c>
      <c r="S80" s="54">
        <f t="shared" si="1"/>
        <v>77</v>
      </c>
    </row>
    <row r="81" spans="1:19" ht="22.2" x14ac:dyDescent="0.3">
      <c r="A81" s="54"/>
      <c r="B81" s="6">
        <f t="shared" si="2"/>
        <v>5509041.8376483517</v>
      </c>
      <c r="C81" s="1">
        <f>مجموع!$C$29*('1401'!C81/'1401'!$N$127)</f>
        <v>0</v>
      </c>
      <c r="D81" s="1">
        <f>مجموع!$C$28*('1401'!D81/'1401'!$N$127)</f>
        <v>0</v>
      </c>
      <c r="E81" s="1">
        <f>مجموع!$C$27*('1401'!E81/'1401'!$N$127)</f>
        <v>0</v>
      </c>
      <c r="F81" s="1">
        <f>مجموع!$C$26*('1401'!F81/'1401'!$N$127)</f>
        <v>0</v>
      </c>
      <c r="G81" s="1">
        <f>مجموع!$C$25*('1401'!G81/'1401'!$N$127)</f>
        <v>0</v>
      </c>
      <c r="H81" s="1">
        <f>مجموع!$C$24*('1401'!H81/'1401'!$N$127)</f>
        <v>0</v>
      </c>
      <c r="I81" s="1">
        <f>مجموع!$C$23*('1401'!I81/'1401'!$N$127)</f>
        <v>1095698.0887991551</v>
      </c>
      <c r="J81" s="1">
        <f>مجموع!$C$22*('1401'!J81/'1401'!$N$127)</f>
        <v>1048170.9985423227</v>
      </c>
      <c r="K81" s="1">
        <f>مجموع!$C$21*('1401'!K81/'1401'!$N$127)</f>
        <v>1042178.2328722335</v>
      </c>
      <c r="L81" s="1">
        <f>مجموع!$C$20*('1401'!L81/'1401'!$N$127)</f>
        <v>836153.47942281829</v>
      </c>
      <c r="M81" s="1">
        <f>مجموع!$C$19*('1401'!M81/'1401'!$N$127)</f>
        <v>776388.86297277384</v>
      </c>
      <c r="N81" s="1">
        <f>مجموع!$C$18*('1401'!N81/'1401'!$N$127)</f>
        <v>710452.17503904807</v>
      </c>
      <c r="O81" s="4">
        <v>100</v>
      </c>
      <c r="P81" s="54" t="s">
        <v>79</v>
      </c>
      <c r="Q81" s="54">
        <v>1074</v>
      </c>
      <c r="R81" s="54" t="s">
        <v>93</v>
      </c>
      <c r="S81" s="54">
        <f t="shared" si="1"/>
        <v>78</v>
      </c>
    </row>
    <row r="82" spans="1:19" ht="22.2" x14ac:dyDescent="0.3">
      <c r="A82" s="54"/>
      <c r="B82" s="6">
        <f t="shared" si="2"/>
        <v>5509041.8376483517</v>
      </c>
      <c r="C82" s="1">
        <f>مجموع!$C$29*('1401'!C82/'1401'!$N$127)</f>
        <v>0</v>
      </c>
      <c r="D82" s="1">
        <f>مجموع!$C$28*('1401'!D82/'1401'!$N$127)</f>
        <v>0</v>
      </c>
      <c r="E82" s="1">
        <f>مجموع!$C$27*('1401'!E82/'1401'!$N$127)</f>
        <v>0</v>
      </c>
      <c r="F82" s="1">
        <f>مجموع!$C$26*('1401'!F82/'1401'!$N$127)</f>
        <v>0</v>
      </c>
      <c r="G82" s="1">
        <f>مجموع!$C$25*('1401'!G82/'1401'!$N$127)</f>
        <v>0</v>
      </c>
      <c r="H82" s="1">
        <f>مجموع!$C$24*('1401'!H82/'1401'!$N$127)</f>
        <v>0</v>
      </c>
      <c r="I82" s="1">
        <f>مجموع!$C$23*('1401'!I82/'1401'!$N$127)</f>
        <v>1095698.0887991551</v>
      </c>
      <c r="J82" s="1">
        <f>مجموع!$C$22*('1401'!J82/'1401'!$N$127)</f>
        <v>1048170.9985423227</v>
      </c>
      <c r="K82" s="1">
        <f>مجموع!$C$21*('1401'!K82/'1401'!$N$127)</f>
        <v>1042178.2328722335</v>
      </c>
      <c r="L82" s="1">
        <f>مجموع!$C$20*('1401'!L82/'1401'!$N$127)</f>
        <v>836153.47942281829</v>
      </c>
      <c r="M82" s="1">
        <f>مجموع!$C$19*('1401'!M82/'1401'!$N$127)</f>
        <v>776388.86297277384</v>
      </c>
      <c r="N82" s="1">
        <f>مجموع!$C$18*('1401'!N82/'1401'!$N$127)</f>
        <v>710452.17503904807</v>
      </c>
      <c r="O82" s="4">
        <v>100</v>
      </c>
      <c r="P82" s="54" t="s">
        <v>85</v>
      </c>
      <c r="Q82" s="54">
        <v>1080</v>
      </c>
      <c r="R82" s="54" t="s">
        <v>93</v>
      </c>
      <c r="S82" s="54">
        <f t="shared" si="1"/>
        <v>79</v>
      </c>
    </row>
    <row r="83" spans="1:19" ht="22.2" x14ac:dyDescent="0.3">
      <c r="A83" s="54"/>
      <c r="B83" s="6">
        <f t="shared" si="2"/>
        <v>11018083.675296703</v>
      </c>
      <c r="C83" s="1">
        <f>مجموع!$C$29*('1401'!C83/'1401'!$N$127)</f>
        <v>0</v>
      </c>
      <c r="D83" s="1">
        <f>مجموع!$C$28*('1401'!D83/'1401'!$N$127)</f>
        <v>0</v>
      </c>
      <c r="E83" s="1">
        <f>مجموع!$C$27*('1401'!E83/'1401'!$N$127)</f>
        <v>0</v>
      </c>
      <c r="F83" s="1">
        <f>مجموع!$C$26*('1401'!F83/'1401'!$N$127)</f>
        <v>0</v>
      </c>
      <c r="G83" s="1">
        <f>مجموع!$C$25*('1401'!G83/'1401'!$N$127)</f>
        <v>0</v>
      </c>
      <c r="H83" s="1">
        <f>مجموع!$C$24*('1401'!H83/'1401'!$N$127)</f>
        <v>0</v>
      </c>
      <c r="I83" s="1">
        <f>مجموع!$C$23*('1401'!I83/'1401'!$N$127)</f>
        <v>2191396.1775983102</v>
      </c>
      <c r="J83" s="1">
        <f>مجموع!$C$22*('1401'!J83/'1401'!$N$127)</f>
        <v>2096341.9970846453</v>
      </c>
      <c r="K83" s="1">
        <f>مجموع!$C$21*('1401'!K83/'1401'!$N$127)</f>
        <v>2084356.465744467</v>
      </c>
      <c r="L83" s="1">
        <f>مجموع!$C$20*('1401'!L83/'1401'!$N$127)</f>
        <v>1672306.9588456366</v>
      </c>
      <c r="M83" s="1">
        <f>مجموع!$C$19*('1401'!M83/'1401'!$N$127)</f>
        <v>1552777.7259455477</v>
      </c>
      <c r="N83" s="1">
        <f>مجموع!$C$18*('1401'!N83/'1401'!$N$127)</f>
        <v>1420904.3500780961</v>
      </c>
      <c r="O83" s="4">
        <v>200</v>
      </c>
      <c r="P83" s="54" t="s">
        <v>94</v>
      </c>
      <c r="Q83" s="54">
        <v>1087</v>
      </c>
      <c r="R83" s="54" t="s">
        <v>93</v>
      </c>
      <c r="S83" s="54">
        <f t="shared" si="1"/>
        <v>80</v>
      </c>
    </row>
    <row r="84" spans="1:19" ht="22.2" x14ac:dyDescent="0.3">
      <c r="A84" s="54"/>
      <c r="B84" s="6">
        <f t="shared" si="2"/>
        <v>5509041.8376483517</v>
      </c>
      <c r="C84" s="1">
        <f>مجموع!$C$29*('1401'!C84/'1401'!$N$127)</f>
        <v>0</v>
      </c>
      <c r="D84" s="1">
        <f>مجموع!$C$28*('1401'!D84/'1401'!$N$127)</f>
        <v>0</v>
      </c>
      <c r="E84" s="1">
        <f>مجموع!$C$27*('1401'!E84/'1401'!$N$127)</f>
        <v>0</v>
      </c>
      <c r="F84" s="1">
        <f>مجموع!$C$26*('1401'!F84/'1401'!$N$127)</f>
        <v>0</v>
      </c>
      <c r="G84" s="1">
        <f>مجموع!$C$25*('1401'!G84/'1401'!$N$127)</f>
        <v>0</v>
      </c>
      <c r="H84" s="1">
        <f>مجموع!$C$24*('1401'!H84/'1401'!$N$127)</f>
        <v>0</v>
      </c>
      <c r="I84" s="1">
        <f>مجموع!$C$23*('1401'!I84/'1401'!$N$127)</f>
        <v>1095698.0887991551</v>
      </c>
      <c r="J84" s="1">
        <f>مجموع!$C$22*('1401'!J84/'1401'!$N$127)</f>
        <v>1048170.9985423227</v>
      </c>
      <c r="K84" s="1">
        <f>مجموع!$C$21*('1401'!K84/'1401'!$N$127)</f>
        <v>1042178.2328722335</v>
      </c>
      <c r="L84" s="1">
        <f>مجموع!$C$20*('1401'!L84/'1401'!$N$127)</f>
        <v>836153.47942281829</v>
      </c>
      <c r="M84" s="1">
        <f>مجموع!$C$19*('1401'!M84/'1401'!$N$127)</f>
        <v>776388.86297277384</v>
      </c>
      <c r="N84" s="1">
        <f>مجموع!$C$18*('1401'!N84/'1401'!$N$127)</f>
        <v>710452.17503904807</v>
      </c>
      <c r="O84" s="4">
        <v>100</v>
      </c>
      <c r="P84" s="54" t="s">
        <v>96</v>
      </c>
      <c r="Q84" s="54">
        <v>1089</v>
      </c>
      <c r="R84" s="54" t="s">
        <v>93</v>
      </c>
      <c r="S84" s="54">
        <f t="shared" si="1"/>
        <v>81</v>
      </c>
    </row>
    <row r="85" spans="1:19" ht="22.2" x14ac:dyDescent="0.3">
      <c r="A85" s="54"/>
      <c r="B85" s="6">
        <f t="shared" si="2"/>
        <v>5509041.8376483517</v>
      </c>
      <c r="C85" s="1">
        <f>مجموع!$C$29*('1401'!C85/'1401'!$N$127)</f>
        <v>0</v>
      </c>
      <c r="D85" s="1">
        <f>مجموع!$C$28*('1401'!D85/'1401'!$N$127)</f>
        <v>0</v>
      </c>
      <c r="E85" s="1">
        <f>مجموع!$C$27*('1401'!E85/'1401'!$N$127)</f>
        <v>0</v>
      </c>
      <c r="F85" s="1">
        <f>مجموع!$C$26*('1401'!F85/'1401'!$N$127)</f>
        <v>0</v>
      </c>
      <c r="G85" s="1">
        <f>مجموع!$C$25*('1401'!G85/'1401'!$N$127)</f>
        <v>0</v>
      </c>
      <c r="H85" s="1">
        <f>مجموع!$C$24*('1401'!H85/'1401'!$N$127)</f>
        <v>0</v>
      </c>
      <c r="I85" s="1">
        <f>مجموع!$C$23*('1401'!I85/'1401'!$N$127)</f>
        <v>1095698.0887991551</v>
      </c>
      <c r="J85" s="1">
        <f>مجموع!$C$22*('1401'!J85/'1401'!$N$127)</f>
        <v>1048170.9985423227</v>
      </c>
      <c r="K85" s="1">
        <f>مجموع!$C$21*('1401'!K85/'1401'!$N$127)</f>
        <v>1042178.2328722335</v>
      </c>
      <c r="L85" s="1">
        <f>مجموع!$C$20*('1401'!L85/'1401'!$N$127)</f>
        <v>836153.47942281829</v>
      </c>
      <c r="M85" s="1">
        <f>مجموع!$C$19*('1401'!M85/'1401'!$N$127)</f>
        <v>776388.86297277384</v>
      </c>
      <c r="N85" s="1">
        <f>مجموع!$C$18*('1401'!N85/'1401'!$N$127)</f>
        <v>710452.17503904807</v>
      </c>
      <c r="O85" s="4">
        <v>100</v>
      </c>
      <c r="P85" s="54" t="s">
        <v>95</v>
      </c>
      <c r="Q85" s="54">
        <v>1088</v>
      </c>
      <c r="R85" s="54" t="s">
        <v>93</v>
      </c>
      <c r="S85" s="54">
        <f t="shared" si="1"/>
        <v>82</v>
      </c>
    </row>
    <row r="86" spans="1:19" ht="22.2" x14ac:dyDescent="0.3">
      <c r="A86" s="54"/>
      <c r="B86" s="6">
        <f t="shared" si="2"/>
        <v>7908336.6689530043</v>
      </c>
      <c r="C86" s="1">
        <f>مجموع!$C$29*('1401'!C86/'1401'!$N$127)</f>
        <v>0</v>
      </c>
      <c r="D86" s="1">
        <f>مجموع!$C$28*('1401'!D86/'1401'!$N$127)</f>
        <v>0</v>
      </c>
      <c r="E86" s="1">
        <f>مجموع!$C$27*('1401'!E86/'1401'!$N$127)</f>
        <v>0</v>
      </c>
      <c r="F86" s="1">
        <f>مجموع!$C$26*('1401'!F86/'1401'!$N$127)</f>
        <v>0</v>
      </c>
      <c r="G86" s="1">
        <f>مجموع!$C$25*('1401'!G86/'1401'!$N$127)</f>
        <v>0</v>
      </c>
      <c r="H86" s="1">
        <f>مجموع!$C$24*('1401'!H86/'1401'!$N$127)</f>
        <v>0</v>
      </c>
      <c r="I86" s="1">
        <f>مجموع!$C$23*('1401'!I86/'1401'!$N$127)</f>
        <v>1643547.1331987327</v>
      </c>
      <c r="J86" s="1">
        <f>مجموع!$C$22*('1401'!J86/'1401'!$N$127)</f>
        <v>1572256.4978134839</v>
      </c>
      <c r="K86" s="1">
        <f>مجموع!$C$21*('1401'!K86/'1401'!$N$127)</f>
        <v>1563267.3493083501</v>
      </c>
      <c r="L86" s="1">
        <f>مجموع!$C$20*('1401'!L86/'1401'!$N$127)</f>
        <v>1254230.2191342274</v>
      </c>
      <c r="M86" s="1">
        <f>مجموع!$C$19*('1401'!M86/'1401'!$N$127)</f>
        <v>1164583.2944591609</v>
      </c>
      <c r="N86" s="1">
        <f>مجموع!$C$18*('1401'!N86/'1401'!$N$127)</f>
        <v>710452.17503904807</v>
      </c>
      <c r="O86" s="4">
        <v>100</v>
      </c>
      <c r="P86" s="54" t="s">
        <v>104</v>
      </c>
      <c r="Q86" s="54">
        <v>1095</v>
      </c>
      <c r="R86" s="54"/>
      <c r="S86" s="54">
        <f t="shared" si="1"/>
        <v>83</v>
      </c>
    </row>
    <row r="87" spans="1:19" ht="22.2" x14ac:dyDescent="0.3">
      <c r="A87" s="54"/>
      <c r="B87" s="6">
        <f t="shared" si="2"/>
        <v>5509041.8376483517</v>
      </c>
      <c r="C87" s="1">
        <f>مجموع!$C$29*('1401'!C87/'1401'!$N$127)</f>
        <v>0</v>
      </c>
      <c r="D87" s="1">
        <f>مجموع!$C$28*('1401'!D87/'1401'!$N$127)</f>
        <v>0</v>
      </c>
      <c r="E87" s="1">
        <f>مجموع!$C$27*('1401'!E87/'1401'!$N$127)</f>
        <v>0</v>
      </c>
      <c r="F87" s="1">
        <f>مجموع!$C$26*('1401'!F87/'1401'!$N$127)</f>
        <v>0</v>
      </c>
      <c r="G87" s="1">
        <f>مجموع!$C$25*('1401'!G87/'1401'!$N$127)</f>
        <v>0</v>
      </c>
      <c r="H87" s="1">
        <f>مجموع!$C$24*('1401'!H87/'1401'!$N$127)</f>
        <v>0</v>
      </c>
      <c r="I87" s="1">
        <f>مجموع!$C$23*('1401'!I87/'1401'!$N$127)</f>
        <v>1095698.0887991551</v>
      </c>
      <c r="J87" s="1">
        <f>مجموع!$C$22*('1401'!J87/'1401'!$N$127)</f>
        <v>1048170.9985423227</v>
      </c>
      <c r="K87" s="1">
        <f>مجموع!$C$21*('1401'!K87/'1401'!$N$127)</f>
        <v>1042178.2328722335</v>
      </c>
      <c r="L87" s="1">
        <f>مجموع!$C$20*('1401'!L87/'1401'!$N$127)</f>
        <v>836153.47942281829</v>
      </c>
      <c r="M87" s="1">
        <f>مجموع!$C$19*('1401'!M87/'1401'!$N$127)</f>
        <v>776388.86297277384</v>
      </c>
      <c r="N87" s="1">
        <f>مجموع!$C$18*('1401'!N87/'1401'!$N$127)</f>
        <v>710452.17503904807</v>
      </c>
      <c r="O87" s="4">
        <v>100</v>
      </c>
      <c r="P87" s="54" t="s">
        <v>106</v>
      </c>
      <c r="Q87" s="54">
        <v>1096</v>
      </c>
      <c r="R87" s="54"/>
      <c r="S87" s="54">
        <f t="shared" si="1"/>
        <v>84</v>
      </c>
    </row>
    <row r="88" spans="1:19" ht="22.2" x14ac:dyDescent="0.3">
      <c r="A88" s="54"/>
      <c r="B88" s="6">
        <f t="shared" si="2"/>
        <v>5509041.8376483517</v>
      </c>
      <c r="C88" s="1">
        <f>مجموع!$C$29*('1401'!C88/'1401'!$N$127)</f>
        <v>0</v>
      </c>
      <c r="D88" s="1">
        <f>مجموع!$C$28*('1401'!D88/'1401'!$N$127)</f>
        <v>0</v>
      </c>
      <c r="E88" s="1">
        <f>مجموع!$C$27*('1401'!E88/'1401'!$N$127)</f>
        <v>0</v>
      </c>
      <c r="F88" s="1">
        <f>مجموع!$C$26*('1401'!F88/'1401'!$N$127)</f>
        <v>0</v>
      </c>
      <c r="G88" s="1">
        <f>مجموع!$C$25*('1401'!G88/'1401'!$N$127)</f>
        <v>0</v>
      </c>
      <c r="H88" s="1">
        <f>مجموع!$C$24*('1401'!H88/'1401'!$N$127)</f>
        <v>0</v>
      </c>
      <c r="I88" s="1">
        <f>مجموع!$C$23*('1401'!I88/'1401'!$N$127)</f>
        <v>1095698.0887991551</v>
      </c>
      <c r="J88" s="1">
        <f>مجموع!$C$22*('1401'!J88/'1401'!$N$127)</f>
        <v>1048170.9985423227</v>
      </c>
      <c r="K88" s="1">
        <f>مجموع!$C$21*('1401'!K88/'1401'!$N$127)</f>
        <v>1042178.2328722335</v>
      </c>
      <c r="L88" s="1">
        <f>مجموع!$C$20*('1401'!L88/'1401'!$N$127)</f>
        <v>836153.47942281829</v>
      </c>
      <c r="M88" s="1">
        <f>مجموع!$C$19*('1401'!M88/'1401'!$N$127)</f>
        <v>776388.86297277384</v>
      </c>
      <c r="N88" s="1">
        <f>مجموع!$C$18*('1401'!N88/'1401'!$N$127)</f>
        <v>710452.17503904807</v>
      </c>
      <c r="O88" s="4">
        <v>100</v>
      </c>
      <c r="P88" s="54" t="s">
        <v>105</v>
      </c>
      <c r="Q88" s="54">
        <v>1097</v>
      </c>
      <c r="R88" s="54"/>
      <c r="S88" s="54">
        <f t="shared" si="1"/>
        <v>85</v>
      </c>
    </row>
    <row r="89" spans="1:19" ht="22.2" x14ac:dyDescent="0.3">
      <c r="A89" s="54"/>
      <c r="B89" s="6">
        <f t="shared" si="2"/>
        <v>5509041.8376483517</v>
      </c>
      <c r="C89" s="1">
        <f>مجموع!$C$29*('1401'!C89/'1401'!$N$127)</f>
        <v>0</v>
      </c>
      <c r="D89" s="1">
        <f>مجموع!$C$28*('1401'!D89/'1401'!$N$127)</f>
        <v>0</v>
      </c>
      <c r="E89" s="1">
        <f>مجموع!$C$27*('1401'!E89/'1401'!$N$127)</f>
        <v>0</v>
      </c>
      <c r="F89" s="1">
        <f>مجموع!$C$26*('1401'!F89/'1401'!$N$127)</f>
        <v>0</v>
      </c>
      <c r="G89" s="1">
        <f>مجموع!$C$25*('1401'!G89/'1401'!$N$127)</f>
        <v>0</v>
      </c>
      <c r="H89" s="1">
        <f>مجموع!$C$24*('1401'!H89/'1401'!$N$127)</f>
        <v>0</v>
      </c>
      <c r="I89" s="1">
        <f>مجموع!$C$23*('1401'!I89/'1401'!$N$127)</f>
        <v>1095698.0887991551</v>
      </c>
      <c r="J89" s="1">
        <f>مجموع!$C$22*('1401'!J89/'1401'!$N$127)</f>
        <v>1048170.9985423227</v>
      </c>
      <c r="K89" s="1">
        <f>مجموع!$C$21*('1401'!K89/'1401'!$N$127)</f>
        <v>1042178.2328722335</v>
      </c>
      <c r="L89" s="1">
        <f>مجموع!$C$20*('1401'!L89/'1401'!$N$127)</f>
        <v>836153.47942281829</v>
      </c>
      <c r="M89" s="1">
        <f>مجموع!$C$19*('1401'!M89/'1401'!$N$127)</f>
        <v>776388.86297277384</v>
      </c>
      <c r="N89" s="1">
        <f>مجموع!$C$18*('1401'!N89/'1401'!$N$127)</f>
        <v>710452.17503904807</v>
      </c>
      <c r="O89" s="4">
        <v>100</v>
      </c>
      <c r="P89" s="54" t="s">
        <v>26</v>
      </c>
      <c r="Q89" s="54">
        <v>1098</v>
      </c>
      <c r="R89" s="54"/>
      <c r="S89" s="54">
        <f t="shared" si="1"/>
        <v>86</v>
      </c>
    </row>
    <row r="90" spans="1:19" ht="22.2" x14ac:dyDescent="0.3">
      <c r="A90" s="54"/>
      <c r="B90" s="6">
        <f t="shared" si="2"/>
        <v>8263562.756472528</v>
      </c>
      <c r="C90" s="1">
        <f>مجموع!$C$29*('1401'!C90/'1401'!$N$127)</f>
        <v>0</v>
      </c>
      <c r="D90" s="1">
        <f>مجموع!$C$28*('1401'!D90/'1401'!$N$127)</f>
        <v>0</v>
      </c>
      <c r="E90" s="1">
        <f>مجموع!$C$27*('1401'!E90/'1401'!$N$127)</f>
        <v>0</v>
      </c>
      <c r="F90" s="1">
        <f>مجموع!$C$26*('1401'!F90/'1401'!$N$127)</f>
        <v>0</v>
      </c>
      <c r="G90" s="1">
        <f>مجموع!$C$25*('1401'!G90/'1401'!$N$127)</f>
        <v>0</v>
      </c>
      <c r="H90" s="1">
        <f>مجموع!$C$24*('1401'!H90/'1401'!$N$127)</f>
        <v>0</v>
      </c>
      <c r="I90" s="1">
        <f>مجموع!$C$23*('1401'!I90/'1401'!$N$127)</f>
        <v>1643547.1331987327</v>
      </c>
      <c r="J90" s="1">
        <f>مجموع!$C$22*('1401'!J90/'1401'!$N$127)</f>
        <v>1572256.4978134839</v>
      </c>
      <c r="K90" s="1">
        <f>مجموع!$C$21*('1401'!K90/'1401'!$N$127)</f>
        <v>1563267.3493083501</v>
      </c>
      <c r="L90" s="1">
        <f>مجموع!$C$20*('1401'!L90/'1401'!$N$127)</f>
        <v>1254230.2191342274</v>
      </c>
      <c r="M90" s="1">
        <f>مجموع!$C$19*('1401'!M90/'1401'!$N$127)</f>
        <v>1164583.2944591609</v>
      </c>
      <c r="N90" s="1">
        <f>مجموع!$C$18*('1401'!N90/'1401'!$N$127)</f>
        <v>1065678.262558572</v>
      </c>
      <c r="O90" s="4">
        <v>150</v>
      </c>
      <c r="P90" s="54" t="s">
        <v>113</v>
      </c>
      <c r="Q90" s="54">
        <v>1103</v>
      </c>
      <c r="R90" s="54"/>
      <c r="S90" s="54">
        <f t="shared" si="1"/>
        <v>87</v>
      </c>
    </row>
    <row r="91" spans="1:19" ht="22.2" x14ac:dyDescent="0.3">
      <c r="A91" s="54"/>
      <c r="B91" s="6">
        <f t="shared" si="2"/>
        <v>1620178.1733650551</v>
      </c>
      <c r="C91" s="1">
        <f>مجموع!$C$29*('1401'!C91/'1401'!$N$127)</f>
        <v>0</v>
      </c>
      <c r="D91" s="1">
        <f>مجموع!$C$28*('1401'!D91/'1401'!$N$127)</f>
        <v>0</v>
      </c>
      <c r="E91" s="1">
        <f>مجموع!$C$27*('1401'!E91/'1401'!$N$127)</f>
        <v>0</v>
      </c>
      <c r="F91" s="1">
        <f>مجموع!$C$26*('1401'!F91/'1401'!$N$127)</f>
        <v>0</v>
      </c>
      <c r="G91" s="1">
        <f>مجموع!$C$25*('1401'!G91/'1401'!$N$127)</f>
        <v>0</v>
      </c>
      <c r="H91" s="1">
        <f>مجموع!$C$24*('1401'!H91/'1401'!$N$127)</f>
        <v>0</v>
      </c>
      <c r="I91" s="1">
        <f>مجموع!$C$23*('1401'!I91/'1401'!$N$127)</f>
        <v>328709.42663974653</v>
      </c>
      <c r="J91" s="1">
        <f>مجموع!$C$22*('1401'!J91/'1401'!$N$127)</f>
        <v>314451.29956269677</v>
      </c>
      <c r="K91" s="1">
        <f>مجموع!$C$21*('1401'!K91/'1401'!$N$127)</f>
        <v>312653.46986167005</v>
      </c>
      <c r="L91" s="1">
        <f>مجموع!$C$20*('1401'!L91/'1401'!$N$127)</f>
        <v>292653.71779798641</v>
      </c>
      <c r="M91" s="1">
        <f>مجموع!$C$19*('1401'!M91/'1401'!$N$127)</f>
        <v>194097.21574319346</v>
      </c>
      <c r="N91" s="1">
        <f>مجموع!$C$18*('1401'!N91/'1401'!$N$127)</f>
        <v>177613.04375976202</v>
      </c>
      <c r="O91" s="4">
        <v>25</v>
      </c>
      <c r="P91" s="54" t="s">
        <v>109</v>
      </c>
      <c r="Q91" s="54">
        <v>1099</v>
      </c>
      <c r="R91" s="54"/>
      <c r="S91" s="54">
        <f t="shared" si="1"/>
        <v>88</v>
      </c>
    </row>
    <row r="92" spans="1:19" ht="22.2" x14ac:dyDescent="0.3">
      <c r="A92" s="54"/>
      <c r="B92" s="6">
        <f t="shared" si="2"/>
        <v>2382810.6593212201</v>
      </c>
      <c r="C92" s="1">
        <f>مجموع!$C$29*('1401'!C92/'1401'!$N$127)</f>
        <v>0</v>
      </c>
      <c r="D92" s="1">
        <f>مجموع!$C$28*('1401'!D92/'1401'!$N$127)</f>
        <v>0</v>
      </c>
      <c r="E92" s="1">
        <f>مجموع!$C$27*('1401'!E92/'1401'!$N$127)</f>
        <v>0</v>
      </c>
      <c r="F92" s="1">
        <f>مجموع!$C$26*('1401'!F92/'1401'!$N$127)</f>
        <v>0</v>
      </c>
      <c r="G92" s="1">
        <f>مجموع!$C$25*('1401'!G92/'1401'!$N$127)</f>
        <v>0</v>
      </c>
      <c r="H92" s="1">
        <f>مجموع!$C$24*('1401'!H92/'1401'!$N$127)</f>
        <v>0</v>
      </c>
      <c r="I92" s="1">
        <f>مجموع!$C$23*('1401'!I92/'1401'!$N$127)</f>
        <v>547849.04439957754</v>
      </c>
      <c r="J92" s="1">
        <f>مجموع!$C$22*('1401'!J92/'1401'!$N$127)</f>
        <v>524085.49927116133</v>
      </c>
      <c r="K92" s="1">
        <f>مجموع!$C$21*('1401'!K92/'1401'!$N$127)</f>
        <v>521089.11643611675</v>
      </c>
      <c r="L92" s="1">
        <f>مجموع!$C$20*('1401'!L92/'1401'!$N$127)</f>
        <v>418076.73971140914</v>
      </c>
      <c r="M92" s="1">
        <f>مجموع!$C$19*('1401'!M92/'1401'!$N$127)</f>
        <v>194097.21574319346</v>
      </c>
      <c r="N92" s="1">
        <f>مجموع!$C$18*('1401'!N92/'1401'!$N$127)</f>
        <v>177613.04375976202</v>
      </c>
      <c r="O92" s="4">
        <v>25</v>
      </c>
      <c r="P92" s="54" t="s">
        <v>110</v>
      </c>
      <c r="Q92" s="54">
        <v>1100</v>
      </c>
      <c r="R92" s="54"/>
      <c r="S92" s="54">
        <f t="shared" si="1"/>
        <v>89</v>
      </c>
    </row>
    <row r="93" spans="1:19" ht="22.2" x14ac:dyDescent="0.3">
      <c r="A93" s="54"/>
      <c r="B93" s="6">
        <f t="shared" si="2"/>
        <v>1620178.1733650551</v>
      </c>
      <c r="C93" s="1">
        <f>مجموع!$C$29*('1401'!C93/'1401'!$N$127)</f>
        <v>0</v>
      </c>
      <c r="D93" s="1">
        <f>مجموع!$C$28*('1401'!D93/'1401'!$N$127)</f>
        <v>0</v>
      </c>
      <c r="E93" s="1">
        <f>مجموع!$C$27*('1401'!E93/'1401'!$N$127)</f>
        <v>0</v>
      </c>
      <c r="F93" s="1">
        <f>مجموع!$C$26*('1401'!F93/'1401'!$N$127)</f>
        <v>0</v>
      </c>
      <c r="G93" s="1">
        <f>مجموع!$C$25*('1401'!G93/'1401'!$N$127)</f>
        <v>0</v>
      </c>
      <c r="H93" s="1">
        <f>مجموع!$C$24*('1401'!H93/'1401'!$N$127)</f>
        <v>0</v>
      </c>
      <c r="I93" s="1">
        <f>مجموع!$C$23*('1401'!I93/'1401'!$N$127)</f>
        <v>328709.42663974653</v>
      </c>
      <c r="J93" s="1">
        <f>مجموع!$C$22*('1401'!J93/'1401'!$N$127)</f>
        <v>314451.29956269677</v>
      </c>
      <c r="K93" s="1">
        <f>مجموع!$C$21*('1401'!K93/'1401'!$N$127)</f>
        <v>312653.46986167005</v>
      </c>
      <c r="L93" s="1">
        <f>مجموع!$C$20*('1401'!L93/'1401'!$N$127)</f>
        <v>292653.71779798641</v>
      </c>
      <c r="M93" s="1">
        <f>مجموع!$C$19*('1401'!M93/'1401'!$N$127)</f>
        <v>194097.21574319346</v>
      </c>
      <c r="N93" s="1">
        <f>مجموع!$C$18*('1401'!N93/'1401'!$N$127)</f>
        <v>177613.04375976202</v>
      </c>
      <c r="O93" s="4">
        <v>25</v>
      </c>
      <c r="P93" s="54" t="s">
        <v>111</v>
      </c>
      <c r="Q93" s="54">
        <v>1101</v>
      </c>
      <c r="R93" s="54"/>
      <c r="S93" s="54">
        <f t="shared" si="1"/>
        <v>90</v>
      </c>
    </row>
    <row r="94" spans="1:19" ht="22.2" x14ac:dyDescent="0.3">
      <c r="A94" s="54"/>
      <c r="B94" s="6">
        <f t="shared" si="2"/>
        <v>41317813.782362632</v>
      </c>
      <c r="C94" s="1">
        <f>مجموع!$C$29*('1401'!C94/'1401'!$N$127)</f>
        <v>0</v>
      </c>
      <c r="D94" s="1">
        <f>مجموع!$C$28*('1401'!D94/'1401'!$N$127)</f>
        <v>0</v>
      </c>
      <c r="E94" s="1">
        <f>مجموع!$C$27*('1401'!E94/'1401'!$N$127)</f>
        <v>0</v>
      </c>
      <c r="F94" s="1">
        <f>مجموع!$C$26*('1401'!F94/'1401'!$N$127)</f>
        <v>0</v>
      </c>
      <c r="G94" s="1">
        <f>مجموع!$C$25*('1401'!G94/'1401'!$N$127)</f>
        <v>0</v>
      </c>
      <c r="H94" s="1">
        <f>مجموع!$C$24*('1401'!H94/'1401'!$N$127)</f>
        <v>0</v>
      </c>
      <c r="I94" s="1">
        <f>مجموع!$C$23*('1401'!I94/'1401'!$N$127)</f>
        <v>8217735.6659936635</v>
      </c>
      <c r="J94" s="1">
        <f>مجموع!$C$22*('1401'!J94/'1401'!$N$127)</f>
        <v>7861282.4890674194</v>
      </c>
      <c r="K94" s="1">
        <f>مجموع!$C$21*('1401'!K94/'1401'!$N$127)</f>
        <v>7816336.7465417515</v>
      </c>
      <c r="L94" s="1">
        <f>مجموع!$C$20*('1401'!L94/'1401'!$N$127)</f>
        <v>6271151.0956711369</v>
      </c>
      <c r="M94" s="1">
        <f>مجموع!$C$19*('1401'!M94/'1401'!$N$127)</f>
        <v>5822916.4722958039</v>
      </c>
      <c r="N94" s="1">
        <f>مجموع!$C$18*('1401'!N94/'1401'!$N$127)</f>
        <v>5328391.31279286</v>
      </c>
      <c r="O94" s="4">
        <v>750</v>
      </c>
      <c r="P94" s="54" t="s">
        <v>40</v>
      </c>
      <c r="Q94" s="54">
        <v>1020</v>
      </c>
      <c r="R94" s="54" t="s">
        <v>93</v>
      </c>
      <c r="S94" s="54">
        <f t="shared" si="1"/>
        <v>91</v>
      </c>
    </row>
    <row r="95" spans="1:19" ht="22.2" x14ac:dyDescent="0.3">
      <c r="A95" s="54"/>
      <c r="B95" s="6">
        <f t="shared" si="2"/>
        <v>46454841.840218462</v>
      </c>
      <c r="C95" s="1">
        <f>مجموع!$C$29*('1401'!C95/'1401'!$N$127)</f>
        <v>0</v>
      </c>
      <c r="D95" s="1">
        <f>مجموع!$C$28*('1401'!D95/'1401'!$N$127)</f>
        <v>0</v>
      </c>
      <c r="E95" s="1">
        <f>مجموع!$C$27*('1401'!E95/'1401'!$N$127)</f>
        <v>0</v>
      </c>
      <c r="F95" s="1">
        <f>مجموع!$C$26*('1401'!F95/'1401'!$N$127)</f>
        <v>0</v>
      </c>
      <c r="G95" s="1">
        <f>مجموع!$C$25*('1401'!G95/'1401'!$N$127)</f>
        <v>0</v>
      </c>
      <c r="H95" s="1">
        <f>مجموع!$C$24*('1401'!H95/'1401'!$N$127)</f>
        <v>0</v>
      </c>
      <c r="I95" s="1">
        <f>مجموع!$C$23*('1401'!I95/'1401'!$N$127)</f>
        <v>9861282.7991923969</v>
      </c>
      <c r="J95" s="1">
        <f>مجموع!$C$22*('1401'!J95/'1401'!$N$127)</f>
        <v>9433538.9868809041</v>
      </c>
      <c r="K95" s="1">
        <f>مجموع!$C$21*('1401'!K95/'1401'!$N$127)</f>
        <v>6253069.3972334005</v>
      </c>
      <c r="L95" s="1">
        <f>مجموع!$C$20*('1401'!L95/'1401'!$N$127)</f>
        <v>7525381.3148053642</v>
      </c>
      <c r="M95" s="1">
        <f>مجموع!$C$19*('1401'!M95/'1401'!$N$127)</f>
        <v>6987499.7667549653</v>
      </c>
      <c r="N95" s="1">
        <f>مجموع!$C$18*('1401'!N95/'1401'!$N$127)</f>
        <v>6394069.575351432</v>
      </c>
      <c r="O95" s="4">
        <v>900</v>
      </c>
      <c r="P95" s="54" t="s">
        <v>27</v>
      </c>
      <c r="Q95" s="54">
        <v>1050</v>
      </c>
      <c r="R95" s="54" t="s">
        <v>93</v>
      </c>
      <c r="S95" s="54">
        <f t="shared" si="1"/>
        <v>92</v>
      </c>
    </row>
    <row r="96" spans="1:19" ht="22.2" x14ac:dyDescent="0.3">
      <c r="A96" s="54"/>
      <c r="B96" s="6">
        <f t="shared" si="2"/>
        <v>22217349.442860886</v>
      </c>
      <c r="C96" s="1">
        <f>مجموع!$C$29*('1401'!C96/'1401'!$N$127)</f>
        <v>0</v>
      </c>
      <c r="D96" s="1">
        <f>مجموع!$C$28*('1401'!D96/'1401'!$N$127)</f>
        <v>0</v>
      </c>
      <c r="E96" s="1">
        <f>مجموع!$C$27*('1401'!E96/'1401'!$N$127)</f>
        <v>0</v>
      </c>
      <c r="F96" s="1">
        <f>مجموع!$C$26*('1401'!F96/'1401'!$N$127)</f>
        <v>0</v>
      </c>
      <c r="G96" s="1">
        <f>مجموع!$C$25*('1401'!G96/'1401'!$N$127)</f>
        <v>0</v>
      </c>
      <c r="H96" s="1">
        <f>مجموع!$C$24*('1401'!H96/'1401'!$N$127)</f>
        <v>0</v>
      </c>
      <c r="I96" s="1">
        <f>مجموع!$C$23*('1401'!I96/'1401'!$N$127)</f>
        <v>0</v>
      </c>
      <c r="J96" s="1">
        <f>مجموع!$C$22*('1401'!J96/'1401'!$N$127)</f>
        <v>6289025.9912539357</v>
      </c>
      <c r="K96" s="1">
        <f>مجموع!$C$21*('1401'!K96/'1401'!$N$127)</f>
        <v>6253069.3972334005</v>
      </c>
      <c r="L96" s="1">
        <f>مجموع!$C$20*('1401'!L96/'1401'!$N$127)</f>
        <v>5016920.8765369095</v>
      </c>
      <c r="M96" s="1">
        <f>مجموع!$C$19*('1401'!M96/'1401'!$N$127)</f>
        <v>4658333.1778366435</v>
      </c>
      <c r="N96" s="1">
        <f>مجموع!$C$18*('1401'!N96/'1401'!$N$127)</f>
        <v>0</v>
      </c>
      <c r="O96" s="4">
        <v>500</v>
      </c>
      <c r="P96" s="54" t="s">
        <v>103</v>
      </c>
      <c r="Q96" s="54">
        <v>1094</v>
      </c>
      <c r="R96" s="54" t="s">
        <v>93</v>
      </c>
      <c r="S96" s="54">
        <f t="shared" si="1"/>
        <v>93</v>
      </c>
    </row>
    <row r="97" spans="1:19" ht="22.2" x14ac:dyDescent="0.3">
      <c r="A97" s="54"/>
      <c r="B97" s="6">
        <f t="shared" si="2"/>
        <v>12706926.331562305</v>
      </c>
      <c r="C97" s="1">
        <f>مجموع!$C$29*('1401'!C97/'1401'!$N$127)</f>
        <v>0</v>
      </c>
      <c r="D97" s="1">
        <f>مجموع!$C$28*('1401'!D97/'1401'!$N$127)</f>
        <v>0</v>
      </c>
      <c r="E97" s="1">
        <f>مجموع!$C$27*('1401'!E97/'1401'!$N$127)</f>
        <v>0</v>
      </c>
      <c r="F97" s="1">
        <f>مجموع!$C$26*('1401'!F97/'1401'!$N$127)</f>
        <v>0</v>
      </c>
      <c r="G97" s="1">
        <f>مجموع!$C$25*('1401'!G97/'1401'!$N$127)</f>
        <v>0</v>
      </c>
      <c r="H97" s="1">
        <f>مجموع!$C$24*('1401'!H97/'1401'!$N$127)</f>
        <v>0</v>
      </c>
      <c r="I97" s="1">
        <f>مجموع!$C$23*('1401'!I97/'1401'!$N$127)</f>
        <v>2739245.2219978878</v>
      </c>
      <c r="J97" s="1">
        <f>مجموع!$C$22*('1401'!J97/'1401'!$N$127)</f>
        <v>2620427.4963558065</v>
      </c>
      <c r="K97" s="1">
        <f>مجموع!$C$21*('1401'!K97/'1401'!$N$127)</f>
        <v>2605445.5821805838</v>
      </c>
      <c r="L97" s="1">
        <f>مجموع!$C$20*('1401'!L97/'1401'!$N$127)</f>
        <v>2090383.6985570455</v>
      </c>
      <c r="M97" s="1">
        <f>مجموع!$C$19*('1401'!M97/'1401'!$N$127)</f>
        <v>1940972.1574319347</v>
      </c>
      <c r="N97" s="1">
        <f>مجموع!$C$18*('1401'!N97/'1401'!$N$127)</f>
        <v>710452.17503904807</v>
      </c>
      <c r="O97" s="4">
        <v>250</v>
      </c>
      <c r="P97" s="54" t="s">
        <v>61</v>
      </c>
      <c r="Q97" s="54">
        <v>1021</v>
      </c>
      <c r="R97" s="54" t="s">
        <v>93</v>
      </c>
      <c r="S97" s="54">
        <f t="shared" si="1"/>
        <v>94</v>
      </c>
    </row>
    <row r="98" spans="1:19" ht="22.2" x14ac:dyDescent="0.3">
      <c r="A98" s="54"/>
      <c r="B98" s="6">
        <f t="shared" si="2"/>
        <v>16527125.512945056</v>
      </c>
      <c r="C98" s="1">
        <f>مجموع!$C$29*('1401'!C98/'1401'!$N$127)</f>
        <v>0</v>
      </c>
      <c r="D98" s="1">
        <f>مجموع!$C$28*('1401'!D98/'1401'!$N$127)</f>
        <v>0</v>
      </c>
      <c r="E98" s="1">
        <f>مجموع!$C$27*('1401'!E98/'1401'!$N$127)</f>
        <v>0</v>
      </c>
      <c r="F98" s="1">
        <f>مجموع!$C$26*('1401'!F98/'1401'!$N$127)</f>
        <v>0</v>
      </c>
      <c r="G98" s="1">
        <f>مجموع!$C$25*('1401'!G98/'1401'!$N$127)</f>
        <v>0</v>
      </c>
      <c r="H98" s="1">
        <f>مجموع!$C$24*('1401'!H98/'1401'!$N$127)</f>
        <v>0</v>
      </c>
      <c r="I98" s="1">
        <f>مجموع!$C$23*('1401'!I98/'1401'!$N$127)</f>
        <v>3287094.2663974655</v>
      </c>
      <c r="J98" s="1">
        <f>مجموع!$C$22*('1401'!J98/'1401'!$N$127)</f>
        <v>3144512.9956269679</v>
      </c>
      <c r="K98" s="1">
        <f>مجموع!$C$21*('1401'!K98/'1401'!$N$127)</f>
        <v>3126534.6986167002</v>
      </c>
      <c r="L98" s="1">
        <f>مجموع!$C$20*('1401'!L98/'1401'!$N$127)</f>
        <v>2508460.4382684547</v>
      </c>
      <c r="M98" s="1">
        <f>مجموع!$C$19*('1401'!M98/'1401'!$N$127)</f>
        <v>2329166.5889183218</v>
      </c>
      <c r="N98" s="1">
        <f>مجموع!$C$18*('1401'!N98/'1401'!$N$127)</f>
        <v>2131356.525117144</v>
      </c>
      <c r="O98" s="4">
        <v>300</v>
      </c>
      <c r="P98" s="54" t="s">
        <v>76</v>
      </c>
      <c r="Q98" s="54">
        <v>1026</v>
      </c>
      <c r="R98" s="54" t="s">
        <v>93</v>
      </c>
      <c r="S98" s="54">
        <f t="shared" si="1"/>
        <v>95</v>
      </c>
    </row>
    <row r="99" spans="1:19" ht="22.2" x14ac:dyDescent="0.3">
      <c r="A99" s="54"/>
      <c r="B99" s="6">
        <f t="shared" si="2"/>
        <v>5509041.8376483517</v>
      </c>
      <c r="C99" s="1">
        <f>مجموع!$C$29*('1401'!C99/'1401'!$N$127)</f>
        <v>0</v>
      </c>
      <c r="D99" s="1">
        <f>مجموع!$C$28*('1401'!D99/'1401'!$N$127)</f>
        <v>0</v>
      </c>
      <c r="E99" s="1">
        <f>مجموع!$C$27*('1401'!E99/'1401'!$N$127)</f>
        <v>0</v>
      </c>
      <c r="F99" s="1">
        <f>مجموع!$C$26*('1401'!F99/'1401'!$N$127)</f>
        <v>0</v>
      </c>
      <c r="G99" s="1">
        <f>مجموع!$C$25*('1401'!G99/'1401'!$N$127)</f>
        <v>0</v>
      </c>
      <c r="H99" s="1">
        <f>مجموع!$C$24*('1401'!H99/'1401'!$N$127)</f>
        <v>0</v>
      </c>
      <c r="I99" s="1">
        <f>مجموع!$C$23*('1401'!I99/'1401'!$N$127)</f>
        <v>1095698.0887991551</v>
      </c>
      <c r="J99" s="1">
        <f>مجموع!$C$22*('1401'!J99/'1401'!$N$127)</f>
        <v>1048170.9985423227</v>
      </c>
      <c r="K99" s="1">
        <f>مجموع!$C$21*('1401'!K99/'1401'!$N$127)</f>
        <v>1042178.2328722335</v>
      </c>
      <c r="L99" s="1">
        <f>مجموع!$C$20*('1401'!L99/'1401'!$N$127)</f>
        <v>836153.47942281829</v>
      </c>
      <c r="M99" s="1">
        <f>مجموع!$C$19*('1401'!M99/'1401'!$N$127)</f>
        <v>776388.86297277384</v>
      </c>
      <c r="N99" s="1">
        <f>مجموع!$C$18*('1401'!N99/'1401'!$N$127)</f>
        <v>710452.17503904807</v>
      </c>
      <c r="O99" s="4">
        <v>100</v>
      </c>
      <c r="P99" s="54" t="s">
        <v>64</v>
      </c>
      <c r="Q99" s="54">
        <v>1047</v>
      </c>
      <c r="R99" s="54" t="s">
        <v>93</v>
      </c>
      <c r="S99" s="54">
        <f t="shared" si="1"/>
        <v>96</v>
      </c>
    </row>
    <row r="100" spans="1:19" ht="22.2" x14ac:dyDescent="0.3">
      <c r="A100" s="54"/>
      <c r="B100" s="6">
        <f t="shared" si="2"/>
        <v>8263562.756472528</v>
      </c>
      <c r="C100" s="1">
        <f>مجموع!$C$29*('1401'!C100/'1401'!$N$127)</f>
        <v>0</v>
      </c>
      <c r="D100" s="1">
        <f>مجموع!$C$28*('1401'!D100/'1401'!$N$127)</f>
        <v>0</v>
      </c>
      <c r="E100" s="1">
        <f>مجموع!$C$27*('1401'!E100/'1401'!$N$127)</f>
        <v>0</v>
      </c>
      <c r="F100" s="1">
        <f>مجموع!$C$26*('1401'!F100/'1401'!$N$127)</f>
        <v>0</v>
      </c>
      <c r="G100" s="1">
        <f>مجموع!$C$25*('1401'!G100/'1401'!$N$127)</f>
        <v>0</v>
      </c>
      <c r="H100" s="1">
        <f>مجموع!$C$24*('1401'!H100/'1401'!$N$127)</f>
        <v>0</v>
      </c>
      <c r="I100" s="1">
        <f>مجموع!$C$23*('1401'!I100/'1401'!$N$127)</f>
        <v>1643547.1331987327</v>
      </c>
      <c r="J100" s="1">
        <f>مجموع!$C$22*('1401'!J100/'1401'!$N$127)</f>
        <v>1572256.4978134839</v>
      </c>
      <c r="K100" s="1">
        <f>مجموع!$C$21*('1401'!K100/'1401'!$N$127)</f>
        <v>1563267.3493083501</v>
      </c>
      <c r="L100" s="1">
        <f>مجموع!$C$20*('1401'!L100/'1401'!$N$127)</f>
        <v>1254230.2191342274</v>
      </c>
      <c r="M100" s="1">
        <f>مجموع!$C$19*('1401'!M100/'1401'!$N$127)</f>
        <v>1164583.2944591609</v>
      </c>
      <c r="N100" s="1">
        <f>مجموع!$C$18*('1401'!N100/'1401'!$N$127)</f>
        <v>1065678.262558572</v>
      </c>
      <c r="O100" s="4">
        <v>150</v>
      </c>
      <c r="P100" s="54" t="s">
        <v>75</v>
      </c>
      <c r="Q100" s="54">
        <v>1071</v>
      </c>
      <c r="R100" s="54" t="s">
        <v>93</v>
      </c>
      <c r="S100" s="54">
        <f t="shared" si="1"/>
        <v>97</v>
      </c>
    </row>
    <row r="101" spans="1:19" ht="22.2" x14ac:dyDescent="0.3">
      <c r="A101" s="54"/>
      <c r="B101" s="6">
        <f t="shared" si="2"/>
        <v>16527125.512945056</v>
      </c>
      <c r="C101" s="1">
        <f>مجموع!$C$29*('1401'!C101/'1401'!$N$127)</f>
        <v>0</v>
      </c>
      <c r="D101" s="1">
        <f>مجموع!$C$28*('1401'!D101/'1401'!$N$127)</f>
        <v>0</v>
      </c>
      <c r="E101" s="1">
        <f>مجموع!$C$27*('1401'!E101/'1401'!$N$127)</f>
        <v>0</v>
      </c>
      <c r="F101" s="1">
        <f>مجموع!$C$26*('1401'!F101/'1401'!$N$127)</f>
        <v>0</v>
      </c>
      <c r="G101" s="1">
        <f>مجموع!$C$25*('1401'!G101/'1401'!$N$127)</f>
        <v>0</v>
      </c>
      <c r="H101" s="1">
        <f>مجموع!$C$24*('1401'!H101/'1401'!$N$127)</f>
        <v>0</v>
      </c>
      <c r="I101" s="1">
        <f>مجموع!$C$23*('1401'!I101/'1401'!$N$127)</f>
        <v>3287094.2663974655</v>
      </c>
      <c r="J101" s="1">
        <f>مجموع!$C$22*('1401'!J101/'1401'!$N$127)</f>
        <v>3144512.9956269679</v>
      </c>
      <c r="K101" s="1">
        <f>مجموع!$C$21*('1401'!K101/'1401'!$N$127)</f>
        <v>3126534.6986167002</v>
      </c>
      <c r="L101" s="1">
        <f>مجموع!$C$20*('1401'!L101/'1401'!$N$127)</f>
        <v>2508460.4382684547</v>
      </c>
      <c r="M101" s="1">
        <f>مجموع!$C$19*('1401'!M101/'1401'!$N$127)</f>
        <v>2329166.5889183218</v>
      </c>
      <c r="N101" s="1">
        <f>مجموع!$C$18*('1401'!N101/'1401'!$N$127)</f>
        <v>2131356.525117144</v>
      </c>
      <c r="O101" s="4">
        <v>300</v>
      </c>
      <c r="P101" s="54" t="s">
        <v>62</v>
      </c>
      <c r="Q101" s="54">
        <v>1006</v>
      </c>
      <c r="R101" s="54" t="s">
        <v>93</v>
      </c>
      <c r="S101" s="54">
        <f t="shared" si="1"/>
        <v>98</v>
      </c>
    </row>
    <row r="102" spans="1:19" ht="22.2" x14ac:dyDescent="0.3">
      <c r="A102" s="54"/>
      <c r="B102" s="6">
        <f t="shared" si="2"/>
        <v>11018083.675296703</v>
      </c>
      <c r="C102" s="1">
        <f>مجموع!$C$29*('1401'!C102/'1401'!$N$127)</f>
        <v>0</v>
      </c>
      <c r="D102" s="1">
        <f>مجموع!$C$28*('1401'!D102/'1401'!$N$127)</f>
        <v>0</v>
      </c>
      <c r="E102" s="1">
        <f>مجموع!$C$27*('1401'!E102/'1401'!$N$127)</f>
        <v>0</v>
      </c>
      <c r="F102" s="1">
        <f>مجموع!$C$26*('1401'!F102/'1401'!$N$127)</f>
        <v>0</v>
      </c>
      <c r="G102" s="1">
        <f>مجموع!$C$25*('1401'!G102/'1401'!$N$127)</f>
        <v>0</v>
      </c>
      <c r="H102" s="1">
        <f>مجموع!$C$24*('1401'!H102/'1401'!$N$127)</f>
        <v>0</v>
      </c>
      <c r="I102" s="1">
        <f>مجموع!$C$23*('1401'!I102/'1401'!$N$127)</f>
        <v>2191396.1775983102</v>
      </c>
      <c r="J102" s="1">
        <f>مجموع!$C$22*('1401'!J102/'1401'!$N$127)</f>
        <v>2096341.9970846453</v>
      </c>
      <c r="K102" s="1">
        <f>مجموع!$C$21*('1401'!K102/'1401'!$N$127)</f>
        <v>2084356.465744467</v>
      </c>
      <c r="L102" s="1">
        <f>مجموع!$C$20*('1401'!L102/'1401'!$N$127)</f>
        <v>1672306.9588456366</v>
      </c>
      <c r="M102" s="1">
        <f>مجموع!$C$19*('1401'!M102/'1401'!$N$127)</f>
        <v>1552777.7259455477</v>
      </c>
      <c r="N102" s="1">
        <f>مجموع!$C$18*('1401'!N102/'1401'!$N$127)</f>
        <v>1420904.3500780961</v>
      </c>
      <c r="O102" s="4">
        <v>200</v>
      </c>
      <c r="P102" s="54" t="s">
        <v>98</v>
      </c>
      <c r="Q102" s="54">
        <v>1090</v>
      </c>
      <c r="R102" s="54"/>
      <c r="S102" s="54">
        <f t="shared" si="1"/>
        <v>99</v>
      </c>
    </row>
    <row r="103" spans="1:19" ht="22.2" x14ac:dyDescent="0.3">
      <c r="A103" s="54"/>
      <c r="B103" s="6">
        <f t="shared" si="2"/>
        <v>11018083.675296703</v>
      </c>
      <c r="C103" s="1">
        <f>مجموع!$C$29*('1401'!C103/'1401'!$N$127)</f>
        <v>0</v>
      </c>
      <c r="D103" s="1">
        <f>مجموع!$C$28*('1401'!D103/'1401'!$N$127)</f>
        <v>0</v>
      </c>
      <c r="E103" s="1">
        <f>مجموع!$C$27*('1401'!E103/'1401'!$N$127)</f>
        <v>0</v>
      </c>
      <c r="F103" s="1">
        <f>مجموع!$C$26*('1401'!F103/'1401'!$N$127)</f>
        <v>0</v>
      </c>
      <c r="G103" s="1">
        <f>مجموع!$C$25*('1401'!G103/'1401'!$N$127)</f>
        <v>0</v>
      </c>
      <c r="H103" s="1">
        <f>مجموع!$C$24*('1401'!H103/'1401'!$N$127)</f>
        <v>0</v>
      </c>
      <c r="I103" s="1">
        <f>مجموع!$C$23*('1401'!I103/'1401'!$N$127)</f>
        <v>2191396.1775983102</v>
      </c>
      <c r="J103" s="1">
        <f>مجموع!$C$22*('1401'!J103/'1401'!$N$127)</f>
        <v>2096341.9970846453</v>
      </c>
      <c r="K103" s="1">
        <f>مجموع!$C$21*('1401'!K103/'1401'!$N$127)</f>
        <v>2084356.465744467</v>
      </c>
      <c r="L103" s="1">
        <f>مجموع!$C$20*('1401'!L103/'1401'!$N$127)</f>
        <v>1672306.9588456366</v>
      </c>
      <c r="M103" s="1">
        <f>مجموع!$C$19*('1401'!M103/'1401'!$N$127)</f>
        <v>1552777.7259455477</v>
      </c>
      <c r="N103" s="1">
        <f>مجموع!$C$18*('1401'!N103/'1401'!$N$127)</f>
        <v>1420904.3500780961</v>
      </c>
      <c r="O103" s="4">
        <v>200</v>
      </c>
      <c r="P103" s="54" t="s">
        <v>100</v>
      </c>
      <c r="Q103" s="54">
        <v>1092</v>
      </c>
      <c r="R103" s="54"/>
      <c r="S103" s="54">
        <f t="shared" si="1"/>
        <v>100</v>
      </c>
    </row>
    <row r="104" spans="1:19" ht="22.2" x14ac:dyDescent="0.3">
      <c r="A104" s="54"/>
      <c r="B104" s="6">
        <f t="shared" si="2"/>
        <v>16527125.512945056</v>
      </c>
      <c r="C104" s="1">
        <f>مجموع!$C$29*('1401'!C104/'1401'!$N$127)</f>
        <v>0</v>
      </c>
      <c r="D104" s="1">
        <f>مجموع!$C$28*('1401'!D104/'1401'!$N$127)</f>
        <v>0</v>
      </c>
      <c r="E104" s="1">
        <f>مجموع!$C$27*('1401'!E104/'1401'!$N$127)</f>
        <v>0</v>
      </c>
      <c r="F104" s="1">
        <f>مجموع!$C$26*('1401'!F104/'1401'!$N$127)</f>
        <v>0</v>
      </c>
      <c r="G104" s="1">
        <f>مجموع!$C$25*('1401'!G104/'1401'!$N$127)</f>
        <v>0</v>
      </c>
      <c r="H104" s="1">
        <f>مجموع!$C$24*('1401'!H104/'1401'!$N$127)</f>
        <v>0</v>
      </c>
      <c r="I104" s="1">
        <f>مجموع!$C$23*('1401'!I104/'1401'!$N$127)</f>
        <v>3287094.2663974655</v>
      </c>
      <c r="J104" s="1">
        <f>مجموع!$C$22*('1401'!J104/'1401'!$N$127)</f>
        <v>3144512.9956269679</v>
      </c>
      <c r="K104" s="1">
        <f>مجموع!$C$21*('1401'!K104/'1401'!$N$127)</f>
        <v>3126534.6986167002</v>
      </c>
      <c r="L104" s="1">
        <f>مجموع!$C$20*('1401'!L104/'1401'!$N$127)</f>
        <v>2508460.4382684547</v>
      </c>
      <c r="M104" s="1">
        <f>مجموع!$C$19*('1401'!M104/'1401'!$N$127)</f>
        <v>2329166.5889183218</v>
      </c>
      <c r="N104" s="1">
        <f>مجموع!$C$18*('1401'!N104/'1401'!$N$127)</f>
        <v>2131356.525117144</v>
      </c>
      <c r="O104" s="4">
        <v>200</v>
      </c>
      <c r="P104" s="54" t="s">
        <v>101</v>
      </c>
      <c r="Q104" s="54">
        <v>1093</v>
      </c>
      <c r="R104" s="54"/>
      <c r="S104" s="54">
        <f t="shared" si="1"/>
        <v>101</v>
      </c>
    </row>
    <row r="105" spans="1:19" ht="22.2" x14ac:dyDescent="0.3">
      <c r="A105" s="54"/>
      <c r="B105" s="6">
        <f t="shared" si="2"/>
        <v>16527125.512945056</v>
      </c>
      <c r="C105" s="1">
        <f>مجموع!$C$29*('1401'!C105/'1401'!$N$127)</f>
        <v>0</v>
      </c>
      <c r="D105" s="1">
        <f>مجموع!$C$28*('1401'!D105/'1401'!$N$127)</f>
        <v>0</v>
      </c>
      <c r="E105" s="1">
        <f>مجموع!$C$27*('1401'!E105/'1401'!$N$127)</f>
        <v>0</v>
      </c>
      <c r="F105" s="1">
        <f>مجموع!$C$26*('1401'!F105/'1401'!$N$127)</f>
        <v>0</v>
      </c>
      <c r="G105" s="1">
        <f>مجموع!$C$25*('1401'!G105/'1401'!$N$127)</f>
        <v>0</v>
      </c>
      <c r="H105" s="1">
        <f>مجموع!$C$24*('1401'!H105/'1401'!$N$127)</f>
        <v>0</v>
      </c>
      <c r="I105" s="1">
        <f>مجموع!$C$23*('1401'!I105/'1401'!$N$127)</f>
        <v>3287094.2663974655</v>
      </c>
      <c r="J105" s="1">
        <f>مجموع!$C$22*('1401'!J105/'1401'!$N$127)</f>
        <v>3144512.9956269679</v>
      </c>
      <c r="K105" s="1">
        <f>مجموع!$C$21*('1401'!K105/'1401'!$N$127)</f>
        <v>3126534.6986167002</v>
      </c>
      <c r="L105" s="1">
        <f>مجموع!$C$20*('1401'!L105/'1401'!$N$127)</f>
        <v>2508460.4382684547</v>
      </c>
      <c r="M105" s="1">
        <f>مجموع!$C$19*('1401'!M105/'1401'!$N$127)</f>
        <v>2329166.5889183218</v>
      </c>
      <c r="N105" s="1">
        <f>مجموع!$C$18*('1401'!N105/'1401'!$N$127)</f>
        <v>2131356.525117144</v>
      </c>
      <c r="O105" s="4">
        <v>300</v>
      </c>
      <c r="P105" s="54" t="s">
        <v>99</v>
      </c>
      <c r="Q105" s="54">
        <v>1091</v>
      </c>
      <c r="R105" s="54"/>
      <c r="S105" s="54">
        <f t="shared" si="1"/>
        <v>102</v>
      </c>
    </row>
    <row r="106" spans="1:19" ht="22.2" x14ac:dyDescent="0.3">
      <c r="A106" s="54"/>
      <c r="B106" s="6">
        <f t="shared" si="2"/>
        <v>1095698.0887991551</v>
      </c>
      <c r="C106" s="1">
        <f>مجموع!$C$29*('1401'!C106/'1401'!$N$127)</f>
        <v>0</v>
      </c>
      <c r="D106" s="1">
        <f>مجموع!$C$28*('1401'!D106/'1401'!$N$127)</f>
        <v>0</v>
      </c>
      <c r="E106" s="1">
        <f>مجموع!$C$27*('1401'!E106/'1401'!$N$127)</f>
        <v>0</v>
      </c>
      <c r="F106" s="1">
        <f>مجموع!$C$26*('1401'!F106/'1401'!$N$127)</f>
        <v>0</v>
      </c>
      <c r="G106" s="1">
        <f>مجموع!$C$25*('1401'!G106/'1401'!$N$127)</f>
        <v>0</v>
      </c>
      <c r="H106" s="1">
        <f>مجموع!$C$24*('1401'!H106/'1401'!$N$127)</f>
        <v>0</v>
      </c>
      <c r="I106" s="1">
        <f>مجموع!$C$23*('1401'!I106/'1401'!$N$127)</f>
        <v>1095698.0887991551</v>
      </c>
      <c r="J106" s="1">
        <f>مجموع!$C$22*('1401'!J106/'1401'!$N$127)</f>
        <v>0</v>
      </c>
      <c r="K106" s="1">
        <f>مجموع!$C$21*('1401'!K106/'1401'!$N$127)</f>
        <v>0</v>
      </c>
      <c r="L106" s="1">
        <f>مجموع!$C$20*('1401'!L106/'1401'!$N$127)</f>
        <v>0</v>
      </c>
      <c r="M106" s="1">
        <f>مجموع!$C$19*('1401'!M106/'1401'!$N$127)</f>
        <v>0</v>
      </c>
      <c r="N106" s="1">
        <f>مجموع!$C$18*('1401'!N106/'1401'!$N$127)</f>
        <v>0</v>
      </c>
      <c r="O106" s="4">
        <v>100</v>
      </c>
      <c r="P106" s="54" t="s">
        <v>232</v>
      </c>
      <c r="Q106" s="54">
        <v>1072</v>
      </c>
      <c r="R106" s="54"/>
      <c r="S106" s="54">
        <f t="shared" si="1"/>
        <v>103</v>
      </c>
    </row>
    <row r="107" spans="1:19" ht="22.2" x14ac:dyDescent="0.3">
      <c r="A107" s="54"/>
      <c r="B107" s="6">
        <f t="shared" si="2"/>
        <v>0</v>
      </c>
      <c r="C107" s="1">
        <f>مجموع!$C$29*('1401'!C107/'1401'!$N$127)</f>
        <v>0</v>
      </c>
      <c r="D107" s="1">
        <f>مجموع!$C$28*('1401'!D107/'1401'!$N$127)</f>
        <v>0</v>
      </c>
      <c r="E107" s="1">
        <f>مجموع!$C$27*('1401'!E107/'1401'!$N$127)</f>
        <v>0</v>
      </c>
      <c r="F107" s="1">
        <f>مجموع!$C$26*('1401'!F107/'1401'!$N$127)</f>
        <v>0</v>
      </c>
      <c r="G107" s="1">
        <f>مجموع!$C$25*('1401'!G107/'1401'!$N$127)</f>
        <v>0</v>
      </c>
      <c r="H107" s="1">
        <f>مجموع!$C$24*('1401'!H107/'1401'!$N$127)</f>
        <v>0</v>
      </c>
      <c r="I107" s="1">
        <f>مجموع!$C$23*('1401'!I107/'1401'!$N$127)</f>
        <v>0</v>
      </c>
      <c r="J107" s="1">
        <f>مجموع!$C$22*('1401'!J107/'1401'!$N$127)</f>
        <v>0</v>
      </c>
      <c r="K107" s="1">
        <f>مجموع!$C$21*('1401'!K107/'1401'!$N$127)</f>
        <v>0</v>
      </c>
      <c r="L107" s="1">
        <f>مجموع!$C$20*('1401'!L107/'1401'!$N$127)</f>
        <v>0</v>
      </c>
      <c r="M107" s="1">
        <f>مجموع!$C$19*('1401'!M107/'1401'!$N$127)</f>
        <v>0</v>
      </c>
      <c r="N107" s="1">
        <f>مجموع!$C$18*('1401'!N107/'1401'!$N$127)</f>
        <v>0</v>
      </c>
      <c r="O107" s="4">
        <v>0</v>
      </c>
      <c r="Q107" s="54">
        <v>1073</v>
      </c>
      <c r="R107" s="54"/>
      <c r="S107" s="54">
        <f t="shared" si="1"/>
        <v>104</v>
      </c>
    </row>
    <row r="108" spans="1:19" ht="22.2" x14ac:dyDescent="0.3">
      <c r="A108" s="54"/>
      <c r="B108" s="6">
        <f t="shared" si="2"/>
        <v>1095698.0887991551</v>
      </c>
      <c r="C108" s="1">
        <f>مجموع!$C$29*('1401'!C108/'1401'!$N$127)</f>
        <v>0</v>
      </c>
      <c r="D108" s="1">
        <f>مجموع!$C$28*('1401'!D108/'1401'!$N$127)</f>
        <v>0</v>
      </c>
      <c r="E108" s="1">
        <f>مجموع!$C$27*('1401'!E108/'1401'!$N$127)</f>
        <v>0</v>
      </c>
      <c r="F108" s="1">
        <f>مجموع!$C$26*('1401'!F108/'1401'!$N$127)</f>
        <v>0</v>
      </c>
      <c r="G108" s="1">
        <f>مجموع!$C$25*('1401'!G108/'1401'!$N$127)</f>
        <v>0</v>
      </c>
      <c r="H108" s="1">
        <f>مجموع!$C$24*('1401'!H108/'1401'!$N$127)</f>
        <v>0</v>
      </c>
      <c r="I108" s="1">
        <f>مجموع!$C$23*('1401'!I108/'1401'!$N$127)</f>
        <v>1095698.0887991551</v>
      </c>
      <c r="J108" s="1">
        <f>مجموع!$C$22*('1401'!J108/'1401'!$N$127)</f>
        <v>0</v>
      </c>
      <c r="K108" s="1">
        <f>مجموع!$C$21*('1401'!K108/'1401'!$N$127)</f>
        <v>0</v>
      </c>
      <c r="L108" s="1">
        <f>مجموع!$C$20*('1401'!L108/'1401'!$N$127)</f>
        <v>0</v>
      </c>
      <c r="M108" s="1">
        <f>مجموع!$C$19*('1401'!M108/'1401'!$N$127)</f>
        <v>0</v>
      </c>
      <c r="N108" s="1">
        <f>مجموع!$C$18*('1401'!N108/'1401'!$N$127)</f>
        <v>0</v>
      </c>
      <c r="O108" s="4">
        <v>100</v>
      </c>
      <c r="P108" s="54" t="s">
        <v>231</v>
      </c>
      <c r="Q108" s="54">
        <v>1105</v>
      </c>
      <c r="R108" s="54"/>
      <c r="S108" s="54">
        <v>105</v>
      </c>
    </row>
    <row r="109" spans="1:19" ht="22.2" x14ac:dyDescent="0.3">
      <c r="A109" s="54"/>
      <c r="B109" s="6">
        <f t="shared" si="2"/>
        <v>2191396.1775983102</v>
      </c>
      <c r="C109" s="1">
        <f>مجموع!$C$29*('1401'!C109/'1401'!$N$127)</f>
        <v>0</v>
      </c>
      <c r="D109" s="1">
        <f>مجموع!$C$28*('1401'!D109/'1401'!$N$127)</f>
        <v>0</v>
      </c>
      <c r="E109" s="1">
        <f>مجموع!$C$27*('1401'!E109/'1401'!$N$127)</f>
        <v>0</v>
      </c>
      <c r="F109" s="1">
        <f>مجموع!$C$26*('1401'!F109/'1401'!$N$127)</f>
        <v>0</v>
      </c>
      <c r="G109" s="1">
        <f>مجموع!$C$25*('1401'!G109/'1401'!$N$127)</f>
        <v>0</v>
      </c>
      <c r="H109" s="1">
        <f>مجموع!$C$24*('1401'!H109/'1401'!$N$127)</f>
        <v>0</v>
      </c>
      <c r="I109" s="1">
        <f>مجموع!$C$23*('1401'!I109/'1401'!$N$127)</f>
        <v>2191396.1775983102</v>
      </c>
      <c r="J109" s="1">
        <f>مجموع!$C$22*('1401'!J109/'1401'!$N$127)</f>
        <v>0</v>
      </c>
      <c r="K109" s="1">
        <f>مجموع!$C$21*('1401'!K109/'1401'!$N$127)</f>
        <v>0</v>
      </c>
      <c r="L109" s="1">
        <f>مجموع!$C$20*('1401'!L109/'1401'!$N$127)</f>
        <v>0</v>
      </c>
      <c r="M109" s="1">
        <f>مجموع!$C$19*('1401'!M109/'1401'!$N$127)</f>
        <v>0</v>
      </c>
      <c r="N109" s="1">
        <f>مجموع!$C$18*('1401'!N109/'1401'!$N$127)</f>
        <v>0</v>
      </c>
      <c r="O109" s="4">
        <v>200</v>
      </c>
      <c r="P109" s="54" t="s">
        <v>230</v>
      </c>
      <c r="Q109" s="54">
        <v>1106</v>
      </c>
      <c r="R109" s="54"/>
      <c r="S109" s="54">
        <v>106</v>
      </c>
    </row>
    <row r="110" spans="1:19" ht="22.2" x14ac:dyDescent="0.3">
      <c r="A110" s="54"/>
      <c r="B110" s="6">
        <f t="shared" si="2"/>
        <v>0</v>
      </c>
      <c r="C110" s="1">
        <f>مجموع!$C$29*('1401'!C110/'1401'!$N$127)</f>
        <v>0</v>
      </c>
      <c r="D110" s="1">
        <f>مجموع!$C$28*('1401'!D110/'1401'!$N$127)</f>
        <v>0</v>
      </c>
      <c r="E110" s="1">
        <f>مجموع!$C$27*('1401'!E110/'1401'!$N$127)</f>
        <v>0</v>
      </c>
      <c r="F110" s="1">
        <f>مجموع!$C$26*('1401'!F110/'1401'!$N$127)</f>
        <v>0</v>
      </c>
      <c r="G110" s="1">
        <f>مجموع!$C$25*('1401'!G110/'1401'!$N$127)</f>
        <v>0</v>
      </c>
      <c r="H110" s="1">
        <f>مجموع!$C$24*('1401'!H110/'1401'!$N$127)</f>
        <v>0</v>
      </c>
      <c r="I110" s="1">
        <f>مجموع!$C$23*('1401'!I110/'1401'!$N$127)</f>
        <v>0</v>
      </c>
      <c r="J110" s="1">
        <f>مجموع!$C$22*('1401'!J110/'1401'!$N$127)</f>
        <v>0</v>
      </c>
      <c r="K110" s="1">
        <f>مجموع!$C$21*('1401'!K110/'1401'!$N$127)</f>
        <v>0</v>
      </c>
      <c r="L110" s="1">
        <f>مجموع!$C$20*('1401'!L110/'1401'!$N$127)</f>
        <v>0</v>
      </c>
      <c r="M110" s="1">
        <f>مجموع!$C$19*('1401'!M110/'1401'!$N$127)</f>
        <v>0</v>
      </c>
      <c r="N110" s="1">
        <f>مجموع!$C$18*('1401'!N110/'1401'!$N$127)</f>
        <v>0</v>
      </c>
      <c r="O110" s="4">
        <v>0</v>
      </c>
      <c r="P110" s="54" t="s">
        <v>229</v>
      </c>
      <c r="Q110" s="54">
        <v>1107</v>
      </c>
      <c r="R110" s="54"/>
    </row>
    <row r="111" spans="1:19" ht="22.2" x14ac:dyDescent="0.3">
      <c r="A111" s="54"/>
      <c r="B111" s="6">
        <f t="shared" si="2"/>
        <v>0</v>
      </c>
      <c r="C111" s="1">
        <f>مجموع!$C$29*('1401'!C111/'1401'!$N$127)</f>
        <v>0</v>
      </c>
      <c r="D111" s="1">
        <f>مجموع!$C$28*('1401'!D111/'1401'!$N$127)</f>
        <v>0</v>
      </c>
      <c r="E111" s="1">
        <f>مجموع!$C$27*('1401'!E111/'1401'!$N$127)</f>
        <v>0</v>
      </c>
      <c r="F111" s="1">
        <f>مجموع!$C$26*('1401'!F111/'1401'!$N$127)</f>
        <v>0</v>
      </c>
      <c r="G111" s="1">
        <f>مجموع!$C$25*('1401'!G111/'1401'!$N$127)</f>
        <v>0</v>
      </c>
      <c r="H111" s="1">
        <f>مجموع!$C$24*('1401'!H111/'1401'!$N$127)</f>
        <v>0</v>
      </c>
      <c r="I111" s="1">
        <f>مجموع!$C$23*('1401'!I111/'1401'!$N$127)</f>
        <v>0</v>
      </c>
      <c r="J111" s="1">
        <f>مجموع!$C$22*('1401'!J111/'1401'!$N$127)</f>
        <v>0</v>
      </c>
      <c r="K111" s="1">
        <f>مجموع!$C$21*('1401'!K111/'1401'!$N$127)</f>
        <v>0</v>
      </c>
      <c r="L111" s="1">
        <f>مجموع!$C$20*('1401'!L111/'1401'!$N$127)</f>
        <v>0</v>
      </c>
      <c r="M111" s="1">
        <f>مجموع!$C$19*('1401'!M111/'1401'!$N$127)</f>
        <v>0</v>
      </c>
      <c r="N111" s="1">
        <f>مجموع!$C$18*('1401'!N111/'1401'!$N$127)</f>
        <v>0</v>
      </c>
      <c r="O111" s="4">
        <v>0</v>
      </c>
      <c r="P111" s="54"/>
      <c r="Q111" s="54">
        <v>1108</v>
      </c>
      <c r="R111" s="54"/>
    </row>
    <row r="112" spans="1:19" ht="22.2" x14ac:dyDescent="0.3">
      <c r="A112" s="54"/>
      <c r="B112" s="6">
        <f t="shared" si="2"/>
        <v>0</v>
      </c>
      <c r="C112" s="1">
        <f>مجموع!$C$29*('1401'!C112/'1401'!$N$127)</f>
        <v>0</v>
      </c>
      <c r="D112" s="1">
        <f>مجموع!$C$28*('1401'!D112/'1401'!$N$127)</f>
        <v>0</v>
      </c>
      <c r="E112" s="1">
        <f>مجموع!$C$27*('1401'!E112/'1401'!$N$127)</f>
        <v>0</v>
      </c>
      <c r="F112" s="1">
        <f>مجموع!$C$26*('1401'!F112/'1401'!$N$127)</f>
        <v>0</v>
      </c>
      <c r="G112" s="1">
        <f>مجموع!$C$25*('1401'!G112/'1401'!$N$127)</f>
        <v>0</v>
      </c>
      <c r="H112" s="1">
        <f>مجموع!$C$24*('1401'!H112/'1401'!$N$127)</f>
        <v>0</v>
      </c>
      <c r="I112" s="1">
        <f>مجموع!$C$23*('1401'!I112/'1401'!$N$127)</f>
        <v>0</v>
      </c>
      <c r="J112" s="1">
        <f>مجموع!$C$22*('1401'!J112/'1401'!$N$127)</f>
        <v>0</v>
      </c>
      <c r="K112" s="1">
        <f>مجموع!$C$21*('1401'!K112/'1401'!$N$127)</f>
        <v>0</v>
      </c>
      <c r="L112" s="1">
        <f>مجموع!$C$20*('1401'!L112/'1401'!$N$127)</f>
        <v>0</v>
      </c>
      <c r="M112" s="1">
        <f>مجموع!$C$19*('1401'!M112/'1401'!$N$127)</f>
        <v>0</v>
      </c>
      <c r="N112" s="1">
        <f>مجموع!$C$18*('1401'!N112/'1401'!$N$127)</f>
        <v>0</v>
      </c>
      <c r="O112" s="4">
        <v>0</v>
      </c>
      <c r="P112" s="54"/>
      <c r="Q112" s="54">
        <v>1109</v>
      </c>
      <c r="R112" s="54"/>
    </row>
    <row r="113" spans="1:18" ht="22.2" x14ac:dyDescent="0.3">
      <c r="A113" s="54"/>
      <c r="B113" s="6">
        <f t="shared" si="2"/>
        <v>0</v>
      </c>
      <c r="C113" s="1">
        <f>مجموع!$C$29*('1401'!C113/'1401'!$N$127)</f>
        <v>0</v>
      </c>
      <c r="D113" s="1">
        <f>مجموع!$C$28*('1401'!D113/'1401'!$N$127)</f>
        <v>0</v>
      </c>
      <c r="E113" s="1">
        <f>مجموع!$C$27*('1401'!E113/'1401'!$N$127)</f>
        <v>0</v>
      </c>
      <c r="F113" s="1">
        <f>مجموع!$C$26*('1401'!F113/'1401'!$N$127)</f>
        <v>0</v>
      </c>
      <c r="G113" s="1">
        <f>مجموع!$C$25*('1401'!G113/'1401'!$N$127)</f>
        <v>0</v>
      </c>
      <c r="H113" s="1">
        <f>مجموع!$C$24*('1401'!H113/'1401'!$N$127)</f>
        <v>0</v>
      </c>
      <c r="I113" s="1">
        <f>مجموع!$C$23*('1401'!I113/'1401'!$N$127)</f>
        <v>0</v>
      </c>
      <c r="J113" s="1">
        <f>مجموع!$C$22*('1401'!J113/'1401'!$N$127)</f>
        <v>0</v>
      </c>
      <c r="K113" s="1">
        <f>مجموع!$C$21*('1401'!K113/'1401'!$N$127)</f>
        <v>0</v>
      </c>
      <c r="L113" s="1">
        <f>مجموع!$C$20*('1401'!L113/'1401'!$N$127)</f>
        <v>0</v>
      </c>
      <c r="M113" s="1">
        <f>مجموع!$C$19*('1401'!M113/'1401'!$N$127)</f>
        <v>0</v>
      </c>
      <c r="N113" s="1">
        <f>مجموع!$C$18*('1401'!N113/'1401'!$N$127)</f>
        <v>0</v>
      </c>
      <c r="O113" s="4">
        <v>0</v>
      </c>
      <c r="P113" s="54"/>
      <c r="Q113" s="54">
        <v>1110</v>
      </c>
      <c r="R113" s="54"/>
    </row>
    <row r="114" spans="1:18" ht="22.2" x14ac:dyDescent="0.3">
      <c r="A114" s="54"/>
      <c r="B114" s="6">
        <f t="shared" si="2"/>
        <v>0</v>
      </c>
      <c r="C114" s="1">
        <f>مجموع!$C$29*('1401'!C114/'1401'!$N$127)</f>
        <v>0</v>
      </c>
      <c r="D114" s="1">
        <f>مجموع!$C$28*('1401'!D114/'1401'!$N$127)</f>
        <v>0</v>
      </c>
      <c r="E114" s="1">
        <f>مجموع!$C$27*('1401'!E114/'1401'!$N$127)</f>
        <v>0</v>
      </c>
      <c r="F114" s="1">
        <f>مجموع!$C$26*('1401'!F114/'1401'!$N$127)</f>
        <v>0</v>
      </c>
      <c r="G114" s="1">
        <f>مجموع!$C$25*('1401'!G114/'1401'!$N$127)</f>
        <v>0</v>
      </c>
      <c r="H114" s="1">
        <f>مجموع!$C$24*('1401'!H114/'1401'!$N$127)</f>
        <v>0</v>
      </c>
      <c r="I114" s="1">
        <f>مجموع!$C$23*('1401'!I114/'1401'!$N$127)</f>
        <v>0</v>
      </c>
      <c r="J114" s="1">
        <f>مجموع!$C$22*('1401'!J114/'1401'!$N$127)</f>
        <v>0</v>
      </c>
      <c r="K114" s="1">
        <f>مجموع!$C$21*('1401'!K114/'1401'!$N$127)</f>
        <v>0</v>
      </c>
      <c r="L114" s="1">
        <f>مجموع!$C$20*('1401'!L114/'1401'!$N$127)</f>
        <v>0</v>
      </c>
      <c r="M114" s="1">
        <f>مجموع!$C$19*('1401'!M114/'1401'!$N$127)</f>
        <v>0</v>
      </c>
      <c r="N114" s="1">
        <f>مجموع!$C$18*('1401'!N114/'1401'!$N$127)</f>
        <v>0</v>
      </c>
      <c r="O114" s="4">
        <v>0</v>
      </c>
      <c r="P114" s="54"/>
      <c r="Q114" s="54">
        <v>1111</v>
      </c>
      <c r="R114" s="54"/>
    </row>
    <row r="115" spans="1:18" ht="25.8" x14ac:dyDescent="0.3">
      <c r="A115" s="54"/>
      <c r="B115" s="8" t="e">
        <f>SUM(B4:B107)</f>
        <v>#REF!</v>
      </c>
      <c r="C115" s="1">
        <f t="shared" ref="C115:N115" si="3">SUM(C4:C114)</f>
        <v>0</v>
      </c>
      <c r="D115" s="1">
        <f t="shared" si="3"/>
        <v>0</v>
      </c>
      <c r="E115" s="1">
        <f t="shared" si="3"/>
        <v>0</v>
      </c>
      <c r="F115" s="1">
        <f t="shared" si="3"/>
        <v>0</v>
      </c>
      <c r="G115" s="1" t="e">
        <f t="shared" si="3"/>
        <v>#REF!</v>
      </c>
      <c r="H115" s="1">
        <f t="shared" si="3"/>
        <v>0</v>
      </c>
      <c r="I115" s="1">
        <f>SUM(I4:I114)</f>
        <v>155589128.60947996</v>
      </c>
      <c r="J115" s="1">
        <f>SUM(J4:J114)</f>
        <v>154081136.78572136</v>
      </c>
      <c r="K115" s="1">
        <f>SUM(K4:K114)</f>
        <v>145904952.60211277</v>
      </c>
      <c r="L115" s="1">
        <f>SUM(L4:L114)</f>
        <v>117061487.11919455</v>
      </c>
      <c r="M115" s="1">
        <f t="shared" si="3"/>
        <v>106365274.22727016</v>
      </c>
      <c r="N115" s="1">
        <f t="shared" si="3"/>
        <v>90227426.229959086</v>
      </c>
      <c r="O115" s="7">
        <f>SUM(O4:O110)</f>
        <v>14050</v>
      </c>
      <c r="P115" s="8" t="s">
        <v>228</v>
      </c>
      <c r="R115" s="54"/>
    </row>
    <row r="116" spans="1:18" ht="25.8" x14ac:dyDescent="0.3">
      <c r="A116" s="54"/>
      <c r="B116" s="62">
        <f>مجموع!C32</f>
        <v>1055514851.780737</v>
      </c>
      <c r="C116" s="1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P116" s="62" t="s">
        <v>227</v>
      </c>
      <c r="R116" s="54"/>
    </row>
    <row r="117" spans="1:18" ht="25.8" x14ac:dyDescent="0.3">
      <c r="A117" s="54"/>
      <c r="B117" s="61" t="e">
        <f>B115+B116</f>
        <v>#REF!</v>
      </c>
      <c r="C117" s="54"/>
      <c r="D117" s="1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P117" s="61" t="s">
        <v>226</v>
      </c>
      <c r="R117" s="54"/>
    </row>
    <row r="118" spans="1:18" ht="25.8" x14ac:dyDescent="0.3">
      <c r="A118" s="54"/>
      <c r="B118" s="60" t="e">
        <f>SUM(C115:H115)-750</f>
        <v>#REF!</v>
      </c>
      <c r="C118" s="54"/>
      <c r="E118" s="54"/>
      <c r="F118" s="54"/>
      <c r="G118" s="1"/>
      <c r="H118" s="1"/>
      <c r="I118" s="1"/>
      <c r="J118" s="54"/>
      <c r="K118" s="54"/>
      <c r="L118" s="54"/>
      <c r="M118" s="54"/>
      <c r="N118" s="54"/>
      <c r="P118" s="60" t="s">
        <v>225</v>
      </c>
      <c r="R118" s="54"/>
    </row>
    <row r="119" spans="1:18" ht="14.4" customHeight="1" x14ac:dyDescent="0.3">
      <c r="A119" s="54"/>
      <c r="B119" s="74" t="e">
        <f>100*(B115-B116)/B116</f>
        <v>#REF!</v>
      </c>
      <c r="C119" s="54"/>
      <c r="D119" s="54"/>
      <c r="E119" s="54"/>
      <c r="F119" s="54"/>
      <c r="G119" s="54" t="s">
        <v>224</v>
      </c>
      <c r="H119" s="54"/>
      <c r="I119" s="54"/>
      <c r="J119" s="1"/>
      <c r="K119" s="54"/>
      <c r="L119" s="54"/>
      <c r="M119" s="54"/>
      <c r="N119" s="54"/>
      <c r="P119" s="73" t="s">
        <v>223</v>
      </c>
      <c r="R119" s="54"/>
    </row>
    <row r="120" spans="1:18" ht="18" customHeight="1" x14ac:dyDescent="0.3">
      <c r="A120" s="54"/>
      <c r="B120" s="74"/>
      <c r="C120" s="54"/>
      <c r="D120" s="54"/>
      <c r="E120" s="9"/>
      <c r="F120" s="54"/>
      <c r="G120" s="54"/>
      <c r="H120" s="1"/>
      <c r="I120" s="1"/>
      <c r="J120" s="1"/>
      <c r="K120" s="54"/>
      <c r="L120" s="1"/>
      <c r="M120" s="1"/>
      <c r="N120" s="54"/>
      <c r="P120" s="73"/>
      <c r="R120" s="54"/>
    </row>
    <row r="121" spans="1:18" ht="14.4" customHeight="1" x14ac:dyDescent="0.3">
      <c r="A121" s="54"/>
      <c r="B121" s="74"/>
      <c r="C121" s="54"/>
      <c r="D121" s="54"/>
      <c r="E121" s="54"/>
      <c r="F121" s="54"/>
      <c r="G121" s="54"/>
      <c r="H121" s="54"/>
      <c r="I121" s="59"/>
      <c r="J121" s="54"/>
      <c r="K121" s="54"/>
      <c r="L121" s="54"/>
      <c r="M121" s="54"/>
      <c r="N121" s="54"/>
      <c r="P121" s="73"/>
      <c r="R121" s="54"/>
    </row>
    <row r="122" spans="1:18" x14ac:dyDescent="0.3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P122" s="54"/>
      <c r="R122" s="54"/>
    </row>
    <row r="123" spans="1:18" x14ac:dyDescent="0.3">
      <c r="A123" s="54"/>
      <c r="B123" s="54"/>
      <c r="C123" s="54"/>
      <c r="D123" s="54"/>
      <c r="E123" s="54"/>
      <c r="F123" s="54"/>
      <c r="G123" s="54"/>
      <c r="H123" s="54"/>
      <c r="I123" s="58"/>
      <c r="J123" s="54"/>
      <c r="K123" s="54"/>
      <c r="L123" s="54"/>
      <c r="M123" s="54"/>
      <c r="N123" s="54"/>
      <c r="P123" s="54"/>
      <c r="R123" s="54"/>
    </row>
    <row r="124" spans="1:18" x14ac:dyDescent="0.3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P124" s="54"/>
      <c r="R124" s="54"/>
    </row>
    <row r="125" spans="1:18" x14ac:dyDescent="0.3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1"/>
      <c r="N125" s="54"/>
      <c r="P125" s="54"/>
      <c r="R125" s="54"/>
    </row>
    <row r="126" spans="1:18" x14ac:dyDescent="0.3">
      <c r="A126" s="54"/>
      <c r="B126" s="54"/>
      <c r="C126" s="54"/>
      <c r="D126" s="54"/>
      <c r="E126" s="54"/>
      <c r="F126" s="54"/>
      <c r="G126" s="54"/>
      <c r="H126" s="54"/>
      <c r="I126" s="57"/>
      <c r="J126" s="54"/>
      <c r="K126" s="54"/>
      <c r="L126" s="54"/>
      <c r="M126" s="54"/>
      <c r="N126" s="54"/>
      <c r="P126" s="54"/>
      <c r="R126" s="54"/>
    </row>
    <row r="127" spans="1:18" x14ac:dyDescent="0.3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P127" s="54"/>
      <c r="R127" s="54"/>
    </row>
    <row r="128" spans="1:18" x14ac:dyDescent="0.3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P128" s="54"/>
      <c r="R128" s="54"/>
    </row>
    <row r="129" spans="1:18" x14ac:dyDescent="0.3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P129" s="54"/>
      <c r="R129" s="54"/>
    </row>
    <row r="130" spans="1:18" x14ac:dyDescent="0.3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P130" s="54"/>
      <c r="R130" s="54"/>
    </row>
    <row r="131" spans="1:18" x14ac:dyDescent="0.3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P131" s="54"/>
      <c r="R131" s="54"/>
    </row>
    <row r="132" spans="1:18" x14ac:dyDescent="0.3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P132" s="54"/>
      <c r="R132" s="54"/>
    </row>
    <row r="133" spans="1:18" x14ac:dyDescent="0.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P133" s="54"/>
      <c r="R133" s="54"/>
    </row>
    <row r="134" spans="1:18" x14ac:dyDescent="0.3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P134" s="54"/>
      <c r="R134" s="54"/>
    </row>
    <row r="135" spans="1:18" x14ac:dyDescent="0.3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P135" s="54"/>
      <c r="R135" s="54"/>
    </row>
    <row r="136" spans="1:18" x14ac:dyDescent="0.3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P136" s="54"/>
      <c r="R136" s="54"/>
    </row>
    <row r="137" spans="1:18" x14ac:dyDescent="0.3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P137" s="54"/>
      <c r="R137" s="54"/>
    </row>
    <row r="138" spans="1:18" x14ac:dyDescent="0.3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P138" s="54"/>
      <c r="R138" s="54"/>
    </row>
    <row r="139" spans="1:18" x14ac:dyDescent="0.3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P139" s="54"/>
      <c r="R139" s="54"/>
    </row>
    <row r="140" spans="1:18" x14ac:dyDescent="0.3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P140" s="54"/>
      <c r="R140" s="54"/>
    </row>
    <row r="141" spans="1:18" x14ac:dyDescent="0.3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P141" s="54"/>
      <c r="R141" s="54"/>
    </row>
    <row r="142" spans="1:18" x14ac:dyDescent="0.3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P142" s="54"/>
      <c r="R142" s="54"/>
    </row>
    <row r="143" spans="1:18" x14ac:dyDescent="0.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P143" s="54"/>
      <c r="R143" s="54"/>
    </row>
    <row r="144" spans="1:18" x14ac:dyDescent="0.3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P144" s="54"/>
      <c r="R144" s="54"/>
    </row>
    <row r="145" spans="1:18" x14ac:dyDescent="0.3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P145" s="54"/>
      <c r="R145" s="54"/>
    </row>
    <row r="146" spans="1:18" x14ac:dyDescent="0.3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P146" s="54"/>
      <c r="R146" s="54"/>
    </row>
    <row r="147" spans="1:18" x14ac:dyDescent="0.3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P147" s="54"/>
      <c r="R147" s="54"/>
    </row>
    <row r="148" spans="1:18" x14ac:dyDescent="0.3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P148" s="54"/>
      <c r="R148" s="54"/>
    </row>
    <row r="149" spans="1:18" x14ac:dyDescent="0.3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P149" s="54"/>
      <c r="R149" s="54"/>
    </row>
    <row r="150" spans="1:18" x14ac:dyDescent="0.3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P150" s="54"/>
      <c r="R150" s="54"/>
    </row>
    <row r="151" spans="1:18" x14ac:dyDescent="0.3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P151" s="54"/>
      <c r="R151" s="54"/>
    </row>
    <row r="152" spans="1:18" x14ac:dyDescent="0.3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P152" s="54"/>
      <c r="R152" s="54"/>
    </row>
    <row r="153" spans="1:18" x14ac:dyDescent="0.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P153" s="54"/>
      <c r="R153" s="54"/>
    </row>
    <row r="154" spans="1:18" x14ac:dyDescent="0.3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P154" s="54"/>
      <c r="R154" s="54"/>
    </row>
    <row r="155" spans="1:18" x14ac:dyDescent="0.3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P155" s="54"/>
      <c r="R155" s="54"/>
    </row>
    <row r="156" spans="1:18" x14ac:dyDescent="0.3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P156" s="54"/>
      <c r="R156" s="54"/>
    </row>
    <row r="157" spans="1:18" x14ac:dyDescent="0.3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P157" s="54"/>
      <c r="R157" s="54"/>
    </row>
    <row r="158" spans="1:18" x14ac:dyDescent="0.3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P158" s="54"/>
      <c r="R158" s="54"/>
    </row>
    <row r="159" spans="1:18" x14ac:dyDescent="0.3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P159" s="54"/>
      <c r="R159" s="54"/>
    </row>
    <row r="160" spans="1:18" x14ac:dyDescent="0.3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P160" s="54"/>
      <c r="R160" s="54"/>
    </row>
    <row r="161" spans="1:18" x14ac:dyDescent="0.3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P161" s="54"/>
      <c r="R161" s="54"/>
    </row>
    <row r="162" spans="1:18" x14ac:dyDescent="0.3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P162" s="54"/>
      <c r="R162" s="54"/>
    </row>
    <row r="163" spans="1:18" x14ac:dyDescent="0.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P163" s="54"/>
      <c r="R163" s="54"/>
    </row>
    <row r="164" spans="1:18" x14ac:dyDescent="0.3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P164" s="54"/>
      <c r="R164" s="54"/>
    </row>
    <row r="165" spans="1:18" x14ac:dyDescent="0.3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P165" s="54"/>
      <c r="R165" s="54"/>
    </row>
    <row r="166" spans="1:18" x14ac:dyDescent="0.3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P166" s="54"/>
      <c r="R166" s="54"/>
    </row>
    <row r="167" spans="1:18" x14ac:dyDescent="0.3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P167" s="54"/>
      <c r="R167" s="54"/>
    </row>
    <row r="168" spans="1:18" x14ac:dyDescent="0.3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P168" s="54"/>
      <c r="R168" s="54"/>
    </row>
    <row r="169" spans="1:18" x14ac:dyDescent="0.3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P169" s="54"/>
      <c r="R169" s="54"/>
    </row>
    <row r="170" spans="1:18" x14ac:dyDescent="0.3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P170" s="54"/>
      <c r="R170" s="54"/>
    </row>
    <row r="171" spans="1:18" x14ac:dyDescent="0.3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P171" s="54"/>
      <c r="R171" s="54"/>
    </row>
    <row r="172" spans="1:18" x14ac:dyDescent="0.3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P172" s="54"/>
      <c r="R172" s="54"/>
    </row>
    <row r="173" spans="1:18" x14ac:dyDescent="0.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P173" s="54"/>
      <c r="R173" s="54"/>
    </row>
    <row r="174" spans="1:18" x14ac:dyDescent="0.3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P174" s="54"/>
      <c r="R174" s="54"/>
    </row>
    <row r="175" spans="1:18" x14ac:dyDescent="0.3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P175" s="54"/>
      <c r="R175" s="54"/>
    </row>
    <row r="176" spans="1:18" x14ac:dyDescent="0.3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P176" s="54"/>
      <c r="R176" s="54"/>
    </row>
    <row r="177" spans="1:18" x14ac:dyDescent="0.3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P177" s="54"/>
      <c r="R177" s="54"/>
    </row>
    <row r="178" spans="1:18" x14ac:dyDescent="0.3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P178" s="54"/>
      <c r="R178" s="54"/>
    </row>
    <row r="179" spans="1:18" x14ac:dyDescent="0.3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P179" s="54"/>
      <c r="R179" s="54"/>
    </row>
    <row r="180" spans="1:18" x14ac:dyDescent="0.3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P180" s="54"/>
      <c r="R180" s="54"/>
    </row>
    <row r="181" spans="1:18" x14ac:dyDescent="0.3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P181" s="54"/>
      <c r="R181" s="54"/>
    </row>
    <row r="182" spans="1:18" x14ac:dyDescent="0.3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P182" s="54"/>
      <c r="R182" s="54"/>
    </row>
    <row r="183" spans="1:18" x14ac:dyDescent="0.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P183" s="54"/>
      <c r="R183" s="54"/>
    </row>
    <row r="184" spans="1:18" x14ac:dyDescent="0.3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P184" s="54"/>
      <c r="R184" s="54"/>
    </row>
    <row r="185" spans="1:18" x14ac:dyDescent="0.3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P185" s="54"/>
      <c r="R185" s="54"/>
    </row>
    <row r="186" spans="1:18" x14ac:dyDescent="0.3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P186" s="54"/>
      <c r="R186" s="54"/>
    </row>
    <row r="187" spans="1:18" x14ac:dyDescent="0.3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P187" s="54"/>
      <c r="R187" s="54"/>
    </row>
    <row r="188" spans="1:18" x14ac:dyDescent="0.3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P188" s="54"/>
      <c r="R188" s="54"/>
    </row>
    <row r="189" spans="1:18" x14ac:dyDescent="0.3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P189" s="54"/>
      <c r="R189" s="54"/>
    </row>
    <row r="190" spans="1:18" x14ac:dyDescent="0.3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P190" s="54"/>
      <c r="R190" s="54"/>
    </row>
    <row r="191" spans="1:18" x14ac:dyDescent="0.3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P191" s="54"/>
      <c r="R191" s="54"/>
    </row>
    <row r="192" spans="1:18" x14ac:dyDescent="0.3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P192" s="54"/>
      <c r="R192" s="54"/>
    </row>
    <row r="193" spans="1:18" x14ac:dyDescent="0.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P193" s="54"/>
      <c r="R193" s="54"/>
    </row>
    <row r="194" spans="1:18" x14ac:dyDescent="0.3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P194" s="54"/>
      <c r="R194" s="54"/>
    </row>
    <row r="195" spans="1:18" x14ac:dyDescent="0.3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P195" s="54"/>
      <c r="R195" s="54"/>
    </row>
    <row r="196" spans="1:18" x14ac:dyDescent="0.3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P196" s="54"/>
      <c r="R196" s="54"/>
    </row>
    <row r="197" spans="1:18" x14ac:dyDescent="0.3">
      <c r="A197" s="54"/>
      <c r="B197" s="54"/>
      <c r="P197" s="54"/>
      <c r="R197" s="54"/>
    </row>
  </sheetData>
  <mergeCells count="2">
    <mergeCell ref="B119:B121"/>
    <mergeCell ref="P119:P1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"/>
  <sheetViews>
    <sheetView topLeftCell="A117" zoomScaleNormal="100" workbookViewId="0">
      <selection activeCell="B129" sqref="B129"/>
    </sheetView>
  </sheetViews>
  <sheetFormatPr defaultRowHeight="14.4" x14ac:dyDescent="0.3"/>
  <cols>
    <col min="2" max="2" width="12.77734375" bestFit="1" customWidth="1"/>
    <col min="7" max="7" width="10.88671875" bestFit="1" customWidth="1"/>
    <col min="8" max="8" width="11.21875" bestFit="1" customWidth="1"/>
    <col min="13" max="13" width="10.33203125" bestFit="1" customWidth="1"/>
    <col min="14" max="14" width="8.88671875" style="2" customWidth="1"/>
    <col min="15" max="15" width="22.6640625" style="54" customWidth="1"/>
    <col min="16" max="16" width="20.21875" customWidth="1"/>
    <col min="18" max="18" width="15.77734375" customWidth="1"/>
  </cols>
  <sheetData>
    <row r="1" spans="1:19" x14ac:dyDescent="0.3">
      <c r="C1">
        <f t="shared" ref="C1:L1" si="0">1+D1</f>
        <v>23</v>
      </c>
      <c r="D1">
        <f t="shared" si="0"/>
        <v>22</v>
      </c>
      <c r="E1">
        <f t="shared" si="0"/>
        <v>21</v>
      </c>
      <c r="F1">
        <f t="shared" si="0"/>
        <v>20</v>
      </c>
      <c r="G1">
        <f t="shared" si="0"/>
        <v>19</v>
      </c>
      <c r="H1">
        <f t="shared" si="0"/>
        <v>18</v>
      </c>
      <c r="I1">
        <f t="shared" si="0"/>
        <v>17</v>
      </c>
      <c r="J1">
        <f t="shared" si="0"/>
        <v>16</v>
      </c>
      <c r="K1">
        <f t="shared" si="0"/>
        <v>15</v>
      </c>
      <c r="L1">
        <f t="shared" si="0"/>
        <v>14</v>
      </c>
      <c r="M1">
        <f>1+N1</f>
        <v>13</v>
      </c>
      <c r="N1" s="2">
        <v>12</v>
      </c>
    </row>
    <row r="2" spans="1:19" x14ac:dyDescent="0.3">
      <c r="C2" s="2">
        <f t="shared" ref="C2:M2" si="1">0.2/12</f>
        <v>1.6666666666666666E-2</v>
      </c>
      <c r="D2" s="2">
        <f t="shared" si="1"/>
        <v>1.6666666666666666E-2</v>
      </c>
      <c r="E2" s="2">
        <f t="shared" si="1"/>
        <v>1.6666666666666666E-2</v>
      </c>
      <c r="F2" s="2">
        <f t="shared" si="1"/>
        <v>1.6666666666666666E-2</v>
      </c>
      <c r="G2" s="2">
        <f t="shared" si="1"/>
        <v>1.6666666666666666E-2</v>
      </c>
      <c r="H2" s="2">
        <f t="shared" si="1"/>
        <v>1.6666666666666666E-2</v>
      </c>
      <c r="I2" s="2">
        <f t="shared" si="1"/>
        <v>1.6666666666666666E-2</v>
      </c>
      <c r="J2" s="2">
        <f t="shared" si="1"/>
        <v>1.6666666666666666E-2</v>
      </c>
      <c r="K2" s="2">
        <f t="shared" si="1"/>
        <v>1.6666666666666666E-2</v>
      </c>
      <c r="L2" s="2">
        <f t="shared" si="1"/>
        <v>1.6666666666666666E-2</v>
      </c>
      <c r="M2" s="2">
        <f t="shared" si="1"/>
        <v>1.6666666666666666E-2</v>
      </c>
      <c r="N2" s="2">
        <f>0.2/12</f>
        <v>1.6666666666666666E-2</v>
      </c>
    </row>
    <row r="3" spans="1:19" ht="22.2" x14ac:dyDescent="0.3">
      <c r="A3" s="54"/>
      <c r="B3" s="5" t="s">
        <v>117</v>
      </c>
      <c r="C3" s="54" t="s">
        <v>47</v>
      </c>
      <c r="D3" s="54" t="s">
        <v>48</v>
      </c>
      <c r="E3" s="54" t="s">
        <v>49</v>
      </c>
      <c r="F3" s="54" t="s">
        <v>58</v>
      </c>
      <c r="G3" s="54" t="s">
        <v>57</v>
      </c>
      <c r="H3" s="54" t="s">
        <v>56</v>
      </c>
      <c r="I3" s="54" t="s">
        <v>55</v>
      </c>
      <c r="J3" s="54" t="s">
        <v>54</v>
      </c>
      <c r="K3" s="54" t="s">
        <v>53</v>
      </c>
      <c r="L3" s="54" t="s">
        <v>52</v>
      </c>
      <c r="M3" s="54" t="s">
        <v>51</v>
      </c>
      <c r="N3" s="54" t="s">
        <v>50</v>
      </c>
      <c r="O3" s="54" t="s">
        <v>59</v>
      </c>
      <c r="P3" s="54" t="s">
        <v>88</v>
      </c>
      <c r="Q3" s="54" t="s">
        <v>46</v>
      </c>
    </row>
    <row r="4" spans="1:19" ht="22.2" x14ac:dyDescent="0.3">
      <c r="A4" s="54"/>
      <c r="B4" s="6">
        <f t="shared" ref="B4:B67" si="2">SUM(C4:N4)</f>
        <v>1639.7506521648979</v>
      </c>
      <c r="C4" s="1">
        <f>'[1]1401'!C4/((1+C$2)^C$1)</f>
        <v>0</v>
      </c>
      <c r="D4" s="1">
        <f>'[1]1401'!D4/((1+D$2)^D$1)</f>
        <v>0</v>
      </c>
      <c r="E4" s="1">
        <f>'[1]1401'!E4/((1+E$2)^E$1)</f>
        <v>0</v>
      </c>
      <c r="F4" s="1">
        <f>'[1]1401'!F4/((1+F$2)^F$1)</f>
        <v>0</v>
      </c>
      <c r="G4" s="1">
        <f>'[1]1401'!G4/((1+G$2)^G$1)</f>
        <v>0</v>
      </c>
      <c r="H4" s="1">
        <f>'[2]1401'!H4/((1+H$2)^H$1)</f>
        <v>222.7956624562527</v>
      </c>
      <c r="I4" s="1">
        <f>'[1]1401'!I4/((1+I$2)^I$1)</f>
        <v>226.50892349719024</v>
      </c>
      <c r="J4" s="1">
        <f>'[1]1401'!J4/((1+J$2)^J$1)</f>
        <v>230.28407222214341</v>
      </c>
      <c r="K4" s="1">
        <f>'[1]1401'!K4/((1+K$2)^K$1)</f>
        <v>234.12214009251247</v>
      </c>
      <c r="L4" s="1">
        <f>'[1]1401'!L4/((1+L$2)^L$1)</f>
        <v>238.02417576072091</v>
      </c>
      <c r="M4" s="1">
        <f>'[1]1401'!M4/((1+M$2)^M$1)</f>
        <v>241.99124535673295</v>
      </c>
      <c r="N4" s="1">
        <f>'[1]1401'!N4/((1+N$2)^N$1)</f>
        <v>246.02443277934518</v>
      </c>
      <c r="O4" s="4">
        <v>300</v>
      </c>
      <c r="P4" s="54" t="s">
        <v>60</v>
      </c>
      <c r="Q4" s="54">
        <v>1001</v>
      </c>
      <c r="R4" s="54" t="s">
        <v>93</v>
      </c>
      <c r="S4" s="54">
        <v>1</v>
      </c>
    </row>
    <row r="5" spans="1:19" ht="22.2" x14ac:dyDescent="0.3">
      <c r="A5" s="54"/>
      <c r="B5" s="6">
        <f t="shared" si="2"/>
        <v>814.64008324177973</v>
      </c>
      <c r="C5" s="1">
        <f>'[1]1401'!C5/((1+C$2)^C$1)</f>
        <v>0</v>
      </c>
      <c r="D5" s="1">
        <f>'[1]1401'!D5/((1+D$2)^D$1)</f>
        <v>0</v>
      </c>
      <c r="E5" s="1">
        <f>'[1]1401'!E5/((1+E$2)^E$1)</f>
        <v>0</v>
      </c>
      <c r="F5" s="1">
        <f>'[1]1401'!F5/((1+F$2)^F$1)</f>
        <v>0</v>
      </c>
      <c r="G5" s="1">
        <f>'[1]1401'!G5/((1+G$2)^G$1)</f>
        <v>0</v>
      </c>
      <c r="H5" s="1">
        <f>'[2]1401'!H5/((1+H$2)^H$1)</f>
        <v>74.265220818750905</v>
      </c>
      <c r="I5" s="1">
        <f>'[1]1401'!I5/((1+I$2)^I$1)</f>
        <v>188.75743624765852</v>
      </c>
      <c r="J5" s="1">
        <f>'[1]1401'!J5/((1+J$2)^J$1)</f>
        <v>153.52271481476225</v>
      </c>
      <c r="K5" s="1">
        <f>'[1]1401'!K5/((1+K$2)^K$1)</f>
        <v>156.08142672834165</v>
      </c>
      <c r="L5" s="1">
        <f>'[1]1401'!L5/((1+L$2)^L$1)</f>
        <v>79.341391920240312</v>
      </c>
      <c r="M5" s="1">
        <f>'[1]1401'!M5/((1+M$2)^M$1)</f>
        <v>80.663748452244306</v>
      </c>
      <c r="N5" s="1">
        <f>'[1]1401'!N5/((1+N$2)^N$1)</f>
        <v>82.00814425978173</v>
      </c>
      <c r="O5" s="4">
        <v>100</v>
      </c>
      <c r="P5" s="54" t="s">
        <v>9</v>
      </c>
      <c r="Q5" s="54">
        <v>1009</v>
      </c>
      <c r="R5" s="54" t="s">
        <v>93</v>
      </c>
      <c r="S5" s="54">
        <v>2</v>
      </c>
    </row>
    <row r="6" spans="1:19" ht="22.2" x14ac:dyDescent="0.3">
      <c r="A6" s="54"/>
      <c r="B6" s="6">
        <f t="shared" si="2"/>
        <v>546.58355072163261</v>
      </c>
      <c r="C6" s="1">
        <f>'[1]1401'!C6/((1+C$2)^C$1)</f>
        <v>0</v>
      </c>
      <c r="D6" s="1">
        <f>'[1]1401'!D6/((1+D$2)^D$1)</f>
        <v>0</v>
      </c>
      <c r="E6" s="1">
        <f>'[1]1401'!E6/((1+E$2)^E$1)</f>
        <v>0</v>
      </c>
      <c r="F6" s="1">
        <f>'[1]1401'!F6/((1+F$2)^F$1)</f>
        <v>0</v>
      </c>
      <c r="G6" s="1">
        <f>'[1]1401'!G6/((1+G$2)^G$1)</f>
        <v>0</v>
      </c>
      <c r="H6" s="1">
        <f>'[2]1401'!H6/((1+H$2)^H$1)</f>
        <v>74.265220818750905</v>
      </c>
      <c r="I6" s="1">
        <f>'[1]1401'!I6/((1+I$2)^I$1)</f>
        <v>75.502974499063413</v>
      </c>
      <c r="J6" s="1">
        <f>'[1]1401'!J6/((1+J$2)^J$1)</f>
        <v>76.761357407381126</v>
      </c>
      <c r="K6" s="1">
        <f>'[1]1401'!K6/((1+K$2)^K$1)</f>
        <v>78.040713364170827</v>
      </c>
      <c r="L6" s="1">
        <f>'[1]1401'!L6/((1+L$2)^L$1)</f>
        <v>79.341391920240312</v>
      </c>
      <c r="M6" s="1">
        <f>'[1]1401'!M6/((1+M$2)^M$1)</f>
        <v>80.663748452244306</v>
      </c>
      <c r="N6" s="1">
        <f>'[1]1401'!N6/((1+N$2)^N$1)</f>
        <v>82.00814425978173</v>
      </c>
      <c r="O6" s="4">
        <v>100</v>
      </c>
      <c r="P6" s="54" t="s">
        <v>8</v>
      </c>
      <c r="Q6" s="54">
        <v>1018</v>
      </c>
      <c r="R6" s="54" t="s">
        <v>93</v>
      </c>
      <c r="S6" s="54">
        <v>3</v>
      </c>
    </row>
    <row r="7" spans="1:19" ht="22.2" x14ac:dyDescent="0.3">
      <c r="A7" s="54"/>
      <c r="B7" s="6">
        <f t="shared" si="2"/>
        <v>546.58355072163261</v>
      </c>
      <c r="C7" s="1">
        <f>'[1]1401'!C7/((1+C$2)^C$1)</f>
        <v>0</v>
      </c>
      <c r="D7" s="1">
        <f>'[1]1401'!D7/((1+D$2)^D$1)</f>
        <v>0</v>
      </c>
      <c r="E7" s="1">
        <f>'[1]1401'!E7/((1+E$2)^E$1)</f>
        <v>0</v>
      </c>
      <c r="F7" s="1">
        <f>'[1]1401'!F7/((1+F$2)^F$1)</f>
        <v>0</v>
      </c>
      <c r="G7" s="1">
        <f>'[1]1401'!G7/((1+G$2)^G$1)</f>
        <v>0</v>
      </c>
      <c r="H7" s="1">
        <f>'[2]1401'!H7/((1+H$2)^H$1)</f>
        <v>74.265220818750905</v>
      </c>
      <c r="I7" s="1">
        <f>'[1]1401'!I7/((1+I$2)^I$1)</f>
        <v>75.502974499063413</v>
      </c>
      <c r="J7" s="1">
        <f>'[1]1401'!J7/((1+J$2)^J$1)</f>
        <v>76.761357407381126</v>
      </c>
      <c r="K7" s="1">
        <f>'[1]1401'!K7/((1+K$2)^K$1)</f>
        <v>78.040713364170827</v>
      </c>
      <c r="L7" s="1">
        <f>'[1]1401'!L7/((1+L$2)^L$1)</f>
        <v>79.341391920240312</v>
      </c>
      <c r="M7" s="1">
        <f>'[1]1401'!M7/((1+M$2)^M$1)</f>
        <v>80.663748452244306</v>
      </c>
      <c r="N7" s="1">
        <f>'[1]1401'!N7/((1+N$2)^N$1)</f>
        <v>82.00814425978173</v>
      </c>
      <c r="O7" s="4">
        <v>100</v>
      </c>
      <c r="P7" s="54" t="s">
        <v>7</v>
      </c>
      <c r="Q7" s="54">
        <v>1057</v>
      </c>
      <c r="R7" s="54" t="s">
        <v>93</v>
      </c>
      <c r="S7" s="54">
        <v>4</v>
      </c>
    </row>
    <row r="8" spans="1:19" ht="22.2" x14ac:dyDescent="0.3">
      <c r="A8" s="54"/>
      <c r="B8" s="6">
        <f t="shared" si="2"/>
        <v>624.62426408580347</v>
      </c>
      <c r="C8" s="1">
        <f>'[1]1401'!C8/((1+C$2)^C$1)</f>
        <v>0</v>
      </c>
      <c r="D8" s="1">
        <f>'[1]1401'!D8/((1+D$2)^D$1)</f>
        <v>0</v>
      </c>
      <c r="E8" s="1">
        <f>'[1]1401'!E8/((1+E$2)^E$1)</f>
        <v>0</v>
      </c>
      <c r="F8" s="1">
        <f>'[1]1401'!F8/((1+F$2)^F$1)</f>
        <v>0</v>
      </c>
      <c r="G8" s="1">
        <f>'[1]1401'!G8/((1+G$2)^G$1)</f>
        <v>0</v>
      </c>
      <c r="H8" s="1">
        <f>'[2]1401'!H8/((1+H$2)^H$1)</f>
        <v>74.265220818750905</v>
      </c>
      <c r="I8" s="1">
        <f>'[1]1401'!I8/((1+I$2)^I$1)</f>
        <v>75.502974499063413</v>
      </c>
      <c r="J8" s="1">
        <f>'[1]1401'!J8/((1+J$2)^J$1)</f>
        <v>76.761357407381126</v>
      </c>
      <c r="K8" s="1">
        <f>'[1]1401'!K8/((1+K$2)^K$1)</f>
        <v>156.08142672834165</v>
      </c>
      <c r="L8" s="1">
        <f>'[1]1401'!L8/((1+L$2)^L$1)</f>
        <v>79.341391920240312</v>
      </c>
      <c r="M8" s="1">
        <f>'[1]1401'!M8/((1+M$2)^M$1)</f>
        <v>80.663748452244306</v>
      </c>
      <c r="N8" s="1">
        <f>'[1]1401'!N8/((1+N$2)^N$1)</f>
        <v>82.00814425978173</v>
      </c>
      <c r="O8" s="4">
        <v>100</v>
      </c>
      <c r="P8" s="54" t="s">
        <v>15</v>
      </c>
      <c r="Q8" s="54">
        <v>1022</v>
      </c>
      <c r="R8" s="54" t="s">
        <v>93</v>
      </c>
      <c r="S8" s="54">
        <v>5</v>
      </c>
    </row>
    <row r="9" spans="1:19" ht="22.2" x14ac:dyDescent="0.3">
      <c r="A9" s="54"/>
      <c r="B9" s="6">
        <f t="shared" si="2"/>
        <v>1015.1263880790945</v>
      </c>
      <c r="C9" s="1">
        <f>'[1]1401'!C9/((1+C$2)^C$1)</f>
        <v>0</v>
      </c>
      <c r="D9" s="1">
        <f>'[1]1401'!D9/((1+D$2)^D$1)</f>
        <v>0</v>
      </c>
      <c r="E9" s="1">
        <f>'[1]1401'!E9/((1+E$2)^E$1)</f>
        <v>0</v>
      </c>
      <c r="F9" s="1">
        <f>'[1]1401'!F9/((1+F$2)^F$1)</f>
        <v>0</v>
      </c>
      <c r="G9" s="1">
        <f>'[1]1401'!G9/((1+G$2)^G$1)</f>
        <v>0</v>
      </c>
      <c r="H9" s="1">
        <f>'[2]1401'!H9/((1+H$2)^H$1)</f>
        <v>148.53044163750181</v>
      </c>
      <c r="I9" s="1">
        <f>'[1]1401'!I9/((1+I$2)^I$1)</f>
        <v>151.00594899812683</v>
      </c>
      <c r="J9" s="1">
        <f>'[1]1401'!J9/((1+J$2)^J$1)</f>
        <v>153.52271481476225</v>
      </c>
      <c r="K9" s="1">
        <f>'[1]1401'!K9/((1+K$2)^K$1)</f>
        <v>78.040713364170827</v>
      </c>
      <c r="L9" s="1">
        <f>'[1]1401'!L9/((1+L$2)^L$1)</f>
        <v>158.68278384048062</v>
      </c>
      <c r="M9" s="1">
        <f>'[1]1401'!M9/((1+M$2)^M$1)</f>
        <v>161.32749690448861</v>
      </c>
      <c r="N9" s="1">
        <f>'[1]1401'!N9/((1+N$2)^N$1)</f>
        <v>164.01628851956346</v>
      </c>
      <c r="O9" s="4">
        <v>200</v>
      </c>
      <c r="P9" s="54" t="s">
        <v>78</v>
      </c>
      <c r="Q9" s="54">
        <v>1011</v>
      </c>
      <c r="R9" s="54" t="s">
        <v>93</v>
      </c>
      <c r="S9" s="54">
        <v>6</v>
      </c>
    </row>
    <row r="10" spans="1:19" ht="22.2" x14ac:dyDescent="0.3">
      <c r="A10" s="54"/>
      <c r="B10" s="6">
        <f t="shared" si="2"/>
        <v>546.58355072163261</v>
      </c>
      <c r="C10" s="1">
        <f>'[1]1401'!C10/((1+C$2)^C$1)</f>
        <v>0</v>
      </c>
      <c r="D10" s="1">
        <f>'[1]1401'!D10/((1+D$2)^D$1)</f>
        <v>0</v>
      </c>
      <c r="E10" s="1">
        <f>'[1]1401'!E10/((1+E$2)^E$1)</f>
        <v>0</v>
      </c>
      <c r="F10" s="1">
        <f>'[1]1401'!F10/((1+F$2)^F$1)</f>
        <v>0</v>
      </c>
      <c r="G10" s="1">
        <f>'[1]1401'!G10/((1+G$2)^G$1)</f>
        <v>0</v>
      </c>
      <c r="H10" s="1">
        <f>'[2]1401'!H10/((1+H$2)^H$1)</f>
        <v>74.265220818750905</v>
      </c>
      <c r="I10" s="1">
        <f>'[1]1401'!I10/((1+I$2)^I$1)</f>
        <v>75.502974499063413</v>
      </c>
      <c r="J10" s="1">
        <f>'[1]1401'!J10/((1+J$2)^J$1)</f>
        <v>76.761357407381126</v>
      </c>
      <c r="K10" s="1">
        <f>'[1]1401'!K10/((1+K$2)^K$1)</f>
        <v>78.040713364170827</v>
      </c>
      <c r="L10" s="1">
        <f>'[1]1401'!L10/((1+L$2)^L$1)</f>
        <v>79.341391920240312</v>
      </c>
      <c r="M10" s="1">
        <f>'[1]1401'!M10/((1+M$2)^M$1)</f>
        <v>80.663748452244306</v>
      </c>
      <c r="N10" s="1">
        <f>'[1]1401'!N10/((1+N$2)^N$1)</f>
        <v>82.00814425978173</v>
      </c>
      <c r="O10" s="4">
        <v>100</v>
      </c>
      <c r="P10" s="54" t="s">
        <v>107</v>
      </c>
      <c r="Q10" s="54">
        <v>1002</v>
      </c>
      <c r="R10" s="54" t="s">
        <v>93</v>
      </c>
      <c r="S10" s="54">
        <v>7</v>
      </c>
    </row>
    <row r="11" spans="1:19" ht="22.2" x14ac:dyDescent="0.3">
      <c r="A11" s="54"/>
      <c r="B11" s="6">
        <f t="shared" si="2"/>
        <v>273.2917753608163</v>
      </c>
      <c r="C11" s="1">
        <f>'[1]1401'!C11/((1+C$2)^C$1)</f>
        <v>0</v>
      </c>
      <c r="D11" s="1">
        <f>'[1]1401'!D11/((1+D$2)^D$1)</f>
        <v>0</v>
      </c>
      <c r="E11" s="1">
        <f>'[1]1401'!E11/((1+E$2)^E$1)</f>
        <v>0</v>
      </c>
      <c r="F11" s="1">
        <f>'[1]1401'!F11/((1+F$2)^F$1)</f>
        <v>0</v>
      </c>
      <c r="G11" s="1">
        <f>'[1]1401'!G11/((1+G$2)^G$1)</f>
        <v>0</v>
      </c>
      <c r="H11" s="1">
        <f>'[2]1401'!H11/((1+H$2)^H$1)</f>
        <v>37.132610409375452</v>
      </c>
      <c r="I11" s="1">
        <f>'[1]1401'!I11/((1+I$2)^I$1)</f>
        <v>37.751487249531706</v>
      </c>
      <c r="J11" s="1">
        <f>'[1]1401'!J11/((1+J$2)^J$1)</f>
        <v>38.380678703690563</v>
      </c>
      <c r="K11" s="1">
        <f>'[1]1401'!K11/((1+K$2)^K$1)</f>
        <v>39.020356682085414</v>
      </c>
      <c r="L11" s="1">
        <f>'[1]1401'!L11/((1+L$2)^L$1)</f>
        <v>39.670695960120156</v>
      </c>
      <c r="M11" s="1">
        <f>'[1]1401'!M11/((1+M$2)^M$1)</f>
        <v>40.331874226122153</v>
      </c>
      <c r="N11" s="1">
        <f>'[1]1401'!N11/((1+N$2)^N$1)</f>
        <v>41.004072129890865</v>
      </c>
      <c r="O11" s="4">
        <v>50</v>
      </c>
      <c r="P11" s="54" t="s">
        <v>16</v>
      </c>
      <c r="Q11" s="54">
        <v>1043</v>
      </c>
      <c r="R11" s="54" t="s">
        <v>93</v>
      </c>
      <c r="S11" s="54">
        <v>8</v>
      </c>
    </row>
    <row r="12" spans="1:19" ht="22.2" x14ac:dyDescent="0.3">
      <c r="A12" s="54"/>
      <c r="B12" s="6">
        <f t="shared" si="2"/>
        <v>1093.1671014432652</v>
      </c>
      <c r="C12" s="1">
        <f>'[1]1401'!C12/((1+C$2)^C$1)</f>
        <v>0</v>
      </c>
      <c r="D12" s="1">
        <f>'[1]1401'!D12/((1+D$2)^D$1)</f>
        <v>0</v>
      </c>
      <c r="E12" s="1">
        <f>'[1]1401'!E12/((1+E$2)^E$1)</f>
        <v>0</v>
      </c>
      <c r="F12" s="1">
        <f>'[1]1401'!F12/((1+F$2)^F$1)</f>
        <v>0</v>
      </c>
      <c r="G12" s="1">
        <f>'[1]1401'!G12/((1+G$2)^G$1)</f>
        <v>0</v>
      </c>
      <c r="H12" s="1">
        <f>'[2]1401'!H12/((1+H$2)^H$1)</f>
        <v>148.53044163750181</v>
      </c>
      <c r="I12" s="1">
        <f>'[1]1401'!I12/((1+I$2)^I$1)</f>
        <v>151.00594899812683</v>
      </c>
      <c r="J12" s="1">
        <f>'[1]1401'!J12/((1+J$2)^J$1)</f>
        <v>153.52271481476225</v>
      </c>
      <c r="K12" s="1">
        <f>'[1]1401'!K12/((1+K$2)^K$1)</f>
        <v>156.08142672834165</v>
      </c>
      <c r="L12" s="1">
        <f>'[1]1401'!L12/((1+L$2)^L$1)</f>
        <v>158.68278384048062</v>
      </c>
      <c r="M12" s="1">
        <f>'[1]1401'!M12/((1+M$2)^M$1)</f>
        <v>161.32749690448861</v>
      </c>
      <c r="N12" s="1">
        <f>'[1]1401'!N12/((1+N$2)^N$1)</f>
        <v>164.01628851956346</v>
      </c>
      <c r="O12" s="4">
        <v>200</v>
      </c>
      <c r="P12" s="54" t="s">
        <v>25</v>
      </c>
      <c r="Q12" s="54">
        <v>1023</v>
      </c>
      <c r="R12" s="54"/>
      <c r="S12" s="54">
        <v>9</v>
      </c>
    </row>
    <row r="13" spans="1:19" ht="22.2" x14ac:dyDescent="0.3">
      <c r="A13" s="54"/>
      <c r="B13" s="6">
        <f t="shared" si="2"/>
        <v>273.2917753608163</v>
      </c>
      <c r="C13" s="1">
        <f>'[1]1401'!C13/((1+C$2)^C$1)</f>
        <v>0</v>
      </c>
      <c r="D13" s="1">
        <f>'[1]1401'!D13/((1+D$2)^D$1)</f>
        <v>0</v>
      </c>
      <c r="E13" s="1">
        <f>'[1]1401'!E13/((1+E$2)^E$1)</f>
        <v>0</v>
      </c>
      <c r="F13" s="1">
        <f>'[1]1401'!F13/((1+F$2)^F$1)</f>
        <v>0</v>
      </c>
      <c r="G13" s="1">
        <f>'[1]1401'!G13/((1+G$2)^G$1)</f>
        <v>0</v>
      </c>
      <c r="H13" s="1">
        <f>'[2]1401'!H13/((1+H$2)^H$1)</f>
        <v>37.132610409375452</v>
      </c>
      <c r="I13" s="1">
        <f>'[1]1401'!I13/((1+I$2)^I$1)</f>
        <v>37.751487249531706</v>
      </c>
      <c r="J13" s="1">
        <f>'[1]1401'!J13/((1+J$2)^J$1)</f>
        <v>38.380678703690563</v>
      </c>
      <c r="K13" s="1">
        <f>'[1]1401'!K13/((1+K$2)^K$1)</f>
        <v>39.020356682085414</v>
      </c>
      <c r="L13" s="1">
        <f>'[1]1401'!L13/((1+L$2)^L$1)</f>
        <v>39.670695960120156</v>
      </c>
      <c r="M13" s="1">
        <f>'[1]1401'!M13/((1+M$2)^M$1)</f>
        <v>40.331874226122153</v>
      </c>
      <c r="N13" s="1">
        <f>'[1]1401'!N13/((1+N$2)^N$1)</f>
        <v>41.004072129890865</v>
      </c>
      <c r="O13" s="4">
        <v>50</v>
      </c>
      <c r="P13" s="54" t="s">
        <v>84</v>
      </c>
      <c r="Q13" s="54">
        <v>1032</v>
      </c>
      <c r="R13" s="54" t="s">
        <v>93</v>
      </c>
      <c r="S13" s="54">
        <v>10</v>
      </c>
    </row>
    <row r="14" spans="1:19" ht="22.2" x14ac:dyDescent="0.3">
      <c r="A14" s="54"/>
      <c r="B14" s="6">
        <f t="shared" si="2"/>
        <v>273.2917753608163</v>
      </c>
      <c r="C14" s="1">
        <f>'[1]1401'!C14/((1+C$2)^C$1)</f>
        <v>0</v>
      </c>
      <c r="D14" s="1">
        <f>'[1]1401'!D14/((1+D$2)^D$1)</f>
        <v>0</v>
      </c>
      <c r="E14" s="1">
        <f>'[1]1401'!E14/((1+E$2)^E$1)</f>
        <v>0</v>
      </c>
      <c r="F14" s="1">
        <f>'[1]1401'!F14/((1+F$2)^F$1)</f>
        <v>0</v>
      </c>
      <c r="G14" s="1">
        <f>'[1]1401'!G14/((1+G$2)^G$1)</f>
        <v>0</v>
      </c>
      <c r="H14" s="1">
        <f>'[2]1401'!H14/((1+H$2)^H$1)</f>
        <v>37.132610409375452</v>
      </c>
      <c r="I14" s="1">
        <f>'[1]1401'!I14/((1+I$2)^I$1)</f>
        <v>37.751487249531706</v>
      </c>
      <c r="J14" s="1">
        <f>'[1]1401'!J14/((1+J$2)^J$1)</f>
        <v>38.380678703690563</v>
      </c>
      <c r="K14" s="1">
        <f>'[1]1401'!K14/((1+K$2)^K$1)</f>
        <v>39.020356682085414</v>
      </c>
      <c r="L14" s="1">
        <f>'[1]1401'!L14/((1+L$2)^L$1)</f>
        <v>39.670695960120156</v>
      </c>
      <c r="M14" s="1">
        <f>'[1]1401'!M14/((1+M$2)^M$1)</f>
        <v>40.331874226122153</v>
      </c>
      <c r="N14" s="1">
        <f>'[1]1401'!N14/((1+N$2)^N$1)</f>
        <v>41.004072129890865</v>
      </c>
      <c r="O14" s="4">
        <v>50</v>
      </c>
      <c r="P14" s="54" t="s">
        <v>66</v>
      </c>
      <c r="Q14" s="54">
        <v>1036</v>
      </c>
      <c r="R14" s="54" t="s">
        <v>93</v>
      </c>
      <c r="S14" s="54">
        <v>11</v>
      </c>
    </row>
    <row r="15" spans="1:19" ht="22.2" x14ac:dyDescent="0.3">
      <c r="A15" s="54"/>
      <c r="B15" s="6">
        <f t="shared" si="2"/>
        <v>273.2917753608163</v>
      </c>
      <c r="C15" s="1">
        <f>'[1]1401'!C15/((1+C$2)^C$1)</f>
        <v>0</v>
      </c>
      <c r="D15" s="1">
        <f>'[1]1401'!D15/((1+D$2)^D$1)</f>
        <v>0</v>
      </c>
      <c r="E15" s="1">
        <f>'[1]1401'!E15/((1+E$2)^E$1)</f>
        <v>0</v>
      </c>
      <c r="F15" s="1">
        <f>'[1]1401'!F15/((1+F$2)^F$1)</f>
        <v>0</v>
      </c>
      <c r="G15" s="1">
        <f>'[1]1401'!G15/((1+G$2)^G$1)</f>
        <v>0</v>
      </c>
      <c r="H15" s="1">
        <f>'[2]1401'!H15/((1+H$2)^H$1)</f>
        <v>37.132610409375452</v>
      </c>
      <c r="I15" s="1">
        <f>'[1]1401'!I15/((1+I$2)^I$1)</f>
        <v>37.751487249531706</v>
      </c>
      <c r="J15" s="1">
        <f>'[1]1401'!J15/((1+J$2)^J$1)</f>
        <v>38.380678703690563</v>
      </c>
      <c r="K15" s="1">
        <f>'[1]1401'!K15/((1+K$2)^K$1)</f>
        <v>39.020356682085414</v>
      </c>
      <c r="L15" s="1">
        <f>'[1]1401'!L15/((1+L$2)^L$1)</f>
        <v>39.670695960120156</v>
      </c>
      <c r="M15" s="1">
        <f>'[1]1401'!M15/((1+M$2)^M$1)</f>
        <v>40.331874226122153</v>
      </c>
      <c r="N15" s="1">
        <f>'[1]1401'!N15/((1+N$2)^N$1)</f>
        <v>41.004072129890865</v>
      </c>
      <c r="O15" s="4">
        <v>50</v>
      </c>
      <c r="P15" s="54" t="s">
        <v>108</v>
      </c>
      <c r="Q15" s="54">
        <v>1003</v>
      </c>
      <c r="R15" s="54" t="s">
        <v>93</v>
      </c>
      <c r="S15" s="54">
        <v>12</v>
      </c>
    </row>
    <row r="16" spans="1:19" ht="22.2" x14ac:dyDescent="0.3">
      <c r="A16" s="54"/>
      <c r="B16" s="6">
        <f t="shared" si="2"/>
        <v>273.2917753608163</v>
      </c>
      <c r="C16" s="1">
        <f>'[1]1401'!C16/((1+C$2)^C$1)</f>
        <v>0</v>
      </c>
      <c r="D16" s="1">
        <f>'[1]1401'!D16/((1+D$2)^D$1)</f>
        <v>0</v>
      </c>
      <c r="E16" s="1">
        <f>'[1]1401'!E16/((1+E$2)^E$1)</f>
        <v>0</v>
      </c>
      <c r="F16" s="1">
        <f>'[1]1401'!F16/((1+F$2)^F$1)</f>
        <v>0</v>
      </c>
      <c r="G16" s="1">
        <f>'[1]1401'!G16/((1+G$2)^G$1)</f>
        <v>0</v>
      </c>
      <c r="H16" s="1">
        <f>'[2]1401'!H16/((1+H$2)^H$1)</f>
        <v>37.132610409375452</v>
      </c>
      <c r="I16" s="1">
        <f>'[1]1401'!I16/((1+I$2)^I$1)</f>
        <v>37.751487249531706</v>
      </c>
      <c r="J16" s="1">
        <f>'[1]1401'!J16/((1+J$2)^J$1)</f>
        <v>38.380678703690563</v>
      </c>
      <c r="K16" s="1">
        <f>'[1]1401'!K16/((1+K$2)^K$1)</f>
        <v>39.020356682085414</v>
      </c>
      <c r="L16" s="1">
        <f>'[1]1401'!L16/((1+L$2)^L$1)</f>
        <v>39.670695960120156</v>
      </c>
      <c r="M16" s="1">
        <f>'[1]1401'!M16/((1+M$2)^M$1)</f>
        <v>40.331874226122153</v>
      </c>
      <c r="N16" s="1">
        <f>'[1]1401'!N16/((1+N$2)^N$1)</f>
        <v>41.004072129890865</v>
      </c>
      <c r="O16" s="4">
        <v>50</v>
      </c>
      <c r="P16" s="54" t="s">
        <v>21</v>
      </c>
      <c r="Q16" s="54">
        <v>1062</v>
      </c>
      <c r="R16" s="54" t="s">
        <v>93</v>
      </c>
      <c r="S16" s="54">
        <v>13</v>
      </c>
    </row>
    <row r="17" spans="1:19" ht="22.2" x14ac:dyDescent="0.3">
      <c r="A17" s="54"/>
      <c r="B17" s="6">
        <f t="shared" si="2"/>
        <v>369.26968986321793</v>
      </c>
      <c r="C17" s="1">
        <f>'[1]1401'!C17/((1+C$2)^C$1)</f>
        <v>0</v>
      </c>
      <c r="D17" s="1">
        <f>'[1]1401'!D17/((1+D$2)^D$1)</f>
        <v>0</v>
      </c>
      <c r="E17" s="1">
        <f>'[1]1401'!E17/((1+E$2)^E$1)</f>
        <v>0</v>
      </c>
      <c r="F17" s="1">
        <f>'[1]1401'!F17/((1+F$2)^F$1)</f>
        <v>0</v>
      </c>
      <c r="G17" s="1">
        <f>'[1]1401'!G17/((1+G$2)^G$1)</f>
        <v>0</v>
      </c>
      <c r="H17" s="1">
        <f>'[2]1401'!H17/((1+H$2)^H$1)</f>
        <v>55.698915614063175</v>
      </c>
      <c r="I17" s="1">
        <f>'[1]1401'!I17/((1+I$2)^I$1)</f>
        <v>56.62723087429756</v>
      </c>
      <c r="J17" s="1">
        <f>'[1]1401'!J17/((1+J$2)^J$1)</f>
        <v>57.571018055535852</v>
      </c>
      <c r="K17" s="1">
        <f>'[1]1401'!K17/((1+K$2)^K$1)</f>
        <v>58.530535023128117</v>
      </c>
      <c r="L17" s="1">
        <f>'[1]1401'!L17/((1+L$2)^L$1)</f>
        <v>59.506043940180227</v>
      </c>
      <c r="M17" s="1">
        <f>'[1]1401'!M17/((1+M$2)^M$1)</f>
        <v>40.331874226122153</v>
      </c>
      <c r="N17" s="1">
        <f>'[1]1401'!N17/((1+N$2)^N$1)</f>
        <v>41.004072129890865</v>
      </c>
      <c r="O17" s="4">
        <v>50</v>
      </c>
      <c r="P17" s="54" t="s">
        <v>36</v>
      </c>
      <c r="Q17" s="54">
        <v>1027</v>
      </c>
      <c r="R17" s="54"/>
      <c r="S17" s="54">
        <v>14</v>
      </c>
    </row>
    <row r="18" spans="1:19" ht="22.2" x14ac:dyDescent="0.3">
      <c r="A18" s="54"/>
      <c r="B18" s="6">
        <f t="shared" si="2"/>
        <v>1007.2565661386203</v>
      </c>
      <c r="C18" s="1">
        <f>'[1]1401'!C18/((1+C$2)^C$1)</f>
        <v>0</v>
      </c>
      <c r="D18" s="1">
        <f>'[1]1401'!D18/((1+D$2)^D$1)</f>
        <v>0</v>
      </c>
      <c r="E18" s="1">
        <f>'[1]1401'!E18/((1+E$2)^E$1)</f>
        <v>0</v>
      </c>
      <c r="F18" s="1">
        <f>'[1]1401'!F18/((1+F$2)^F$1)</f>
        <v>0</v>
      </c>
      <c r="G18" s="1">
        <f>'[1]1401'!G18/((1+G$2)^G$1)</f>
        <v>0</v>
      </c>
      <c r="H18" s="1">
        <f>'[2]1401'!H18/((1+H$2)^H$1)</f>
        <v>148.53044163750181</v>
      </c>
      <c r="I18" s="1">
        <f>'[1]1401'!I18/((1+I$2)^I$1)</f>
        <v>151.00594899812683</v>
      </c>
      <c r="J18" s="1">
        <f>'[1]1401'!J18/((1+J$2)^J$1)</f>
        <v>230.28407222214341</v>
      </c>
      <c r="K18" s="1">
        <f>'[1]1401'!K18/((1+K$2)^K$1)</f>
        <v>156.08142672834165</v>
      </c>
      <c r="L18" s="1">
        <f>'[1]1401'!L18/((1+L$2)^L$1)</f>
        <v>158.68278384048062</v>
      </c>
      <c r="M18" s="1">
        <f>'[1]1401'!M18/((1+M$2)^M$1)</f>
        <v>80.663748452244306</v>
      </c>
      <c r="N18" s="1">
        <f>'[1]1401'!N18/((1+N$2)^N$1)</f>
        <v>82.00814425978173</v>
      </c>
      <c r="O18" s="4">
        <v>200</v>
      </c>
      <c r="P18" s="54" t="s">
        <v>18</v>
      </c>
      <c r="Q18" s="54">
        <v>1033</v>
      </c>
      <c r="R18" s="54" t="s">
        <v>93</v>
      </c>
      <c r="S18" s="54">
        <v>15</v>
      </c>
    </row>
    <row r="19" spans="1:19" ht="22.2" x14ac:dyDescent="0.3">
      <c r="A19" s="54"/>
      <c r="B19" s="6">
        <f t="shared" si="2"/>
        <v>930.49520873123913</v>
      </c>
      <c r="C19" s="1">
        <f>'[1]1401'!C19/((1+C$2)^C$1)</f>
        <v>0</v>
      </c>
      <c r="D19" s="1">
        <f>'[1]1401'!D19/((1+D$2)^D$1)</f>
        <v>0</v>
      </c>
      <c r="E19" s="1">
        <f>'[1]1401'!E19/((1+E$2)^E$1)</f>
        <v>0</v>
      </c>
      <c r="F19" s="1">
        <f>'[1]1401'!F19/((1+F$2)^F$1)</f>
        <v>0</v>
      </c>
      <c r="G19" s="1">
        <f>'[1]1401'!G19/((1+G$2)^G$1)</f>
        <v>0</v>
      </c>
      <c r="H19" s="1">
        <f>'[2]1401'!H19/((1+H$2)^H$1)</f>
        <v>148.53044163750181</v>
      </c>
      <c r="I19" s="1">
        <f>'[1]1401'!I19/((1+I$2)^I$1)</f>
        <v>151.00594899812683</v>
      </c>
      <c r="J19" s="1">
        <f>'[1]1401'!J19/((1+J$2)^J$1)</f>
        <v>153.52271481476225</v>
      </c>
      <c r="K19" s="1">
        <f>'[1]1401'!K19/((1+K$2)^K$1)</f>
        <v>156.08142672834165</v>
      </c>
      <c r="L19" s="1">
        <f>'[1]1401'!L19/((1+L$2)^L$1)</f>
        <v>158.68278384048062</v>
      </c>
      <c r="M19" s="1">
        <f>'[1]1401'!M19/((1+M$2)^M$1)</f>
        <v>80.663748452244306</v>
      </c>
      <c r="N19" s="1">
        <f>'[1]1401'!N19/((1+N$2)^N$1)</f>
        <v>82.00814425978173</v>
      </c>
      <c r="O19" s="4">
        <v>200</v>
      </c>
      <c r="P19" s="54" t="s">
        <v>17</v>
      </c>
      <c r="Q19" s="54">
        <v>1005</v>
      </c>
      <c r="R19" s="54" t="s">
        <v>93</v>
      </c>
      <c r="S19" s="54">
        <v>16</v>
      </c>
    </row>
    <row r="20" spans="1:19" ht="22.2" x14ac:dyDescent="0.3">
      <c r="A20" s="54"/>
      <c r="B20" s="6">
        <f t="shared" si="2"/>
        <v>503.62828306931016</v>
      </c>
      <c r="C20" s="1">
        <f>'[1]1401'!C20/((1+C$2)^C$1)</f>
        <v>0</v>
      </c>
      <c r="D20" s="1">
        <f>'[1]1401'!D20/((1+D$2)^D$1)</f>
        <v>0</v>
      </c>
      <c r="E20" s="1">
        <f>'[1]1401'!E20/((1+E$2)^E$1)</f>
        <v>0</v>
      </c>
      <c r="F20" s="1">
        <f>'[1]1401'!F20/((1+F$2)^F$1)</f>
        <v>0</v>
      </c>
      <c r="G20" s="1">
        <f>'[1]1401'!G20/((1+G$2)^G$1)</f>
        <v>0</v>
      </c>
      <c r="H20" s="1">
        <f>'[2]1401'!H20/((1+H$2)^H$1)</f>
        <v>74.265220818750905</v>
      </c>
      <c r="I20" s="1">
        <f>'[1]1401'!I20/((1+I$2)^I$1)</f>
        <v>75.502974499063413</v>
      </c>
      <c r="J20" s="1">
        <f>'[1]1401'!J20/((1+J$2)^J$1)</f>
        <v>115.1420361110717</v>
      </c>
      <c r="K20" s="1">
        <f>'[1]1401'!K20/((1+K$2)^K$1)</f>
        <v>78.040713364170827</v>
      </c>
      <c r="L20" s="1">
        <f>'[1]1401'!L20/((1+L$2)^L$1)</f>
        <v>79.341391920240312</v>
      </c>
      <c r="M20" s="1">
        <f>'[1]1401'!M20/((1+M$2)^M$1)</f>
        <v>40.331874226122153</v>
      </c>
      <c r="N20" s="1">
        <f>'[1]1401'!N20/((1+N$2)^N$1)</f>
        <v>41.004072129890865</v>
      </c>
      <c r="O20" s="4">
        <v>100</v>
      </c>
      <c r="P20" s="54" t="s">
        <v>45</v>
      </c>
      <c r="Q20" s="54">
        <v>1017</v>
      </c>
      <c r="R20" s="54" t="s">
        <v>93</v>
      </c>
      <c r="S20" s="54">
        <v>17</v>
      </c>
    </row>
    <row r="21" spans="1:19" ht="22.2" x14ac:dyDescent="0.3">
      <c r="A21" s="54"/>
      <c r="B21" s="6">
        <f t="shared" si="2"/>
        <v>398.74505063864274</v>
      </c>
      <c r="C21" s="1">
        <f>'[1]1401'!C21/((1+C$2)^C$1)</f>
        <v>0</v>
      </c>
      <c r="D21" s="1">
        <f>'[1]1401'!D21/((1+D$2)^D$1)</f>
        <v>0</v>
      </c>
      <c r="E21" s="1">
        <f>'[1]1401'!E21/((1+E$2)^E$1)</f>
        <v>0</v>
      </c>
      <c r="F21" s="1">
        <f>'[1]1401'!F21/((1+F$2)^F$1)</f>
        <v>0</v>
      </c>
      <c r="G21" s="1">
        <f>'[1]1401'!G21/((1+G$2)^G$1)</f>
        <v>0</v>
      </c>
      <c r="H21" s="1">
        <f>'[2]1401'!H21/((1+H$2)^H$1)</f>
        <v>0</v>
      </c>
      <c r="I21" s="1">
        <f>'[1]1401'!I21/((1+I$2)^I$1)</f>
        <v>0</v>
      </c>
      <c r="J21" s="1">
        <f>'[1]1401'!J21/((1+J$2)^J$1)</f>
        <v>0</v>
      </c>
      <c r="K21" s="1">
        <f>'[1]1401'!K21/((1+K$2)^K$1)</f>
        <v>117.06107004625623</v>
      </c>
      <c r="L21" s="1">
        <f>'[1]1401'!L21/((1+L$2)^L$1)</f>
        <v>119.01208788036045</v>
      </c>
      <c r="M21" s="1">
        <f>'[1]1401'!M21/((1+M$2)^M$1)</f>
        <v>80.663748452244306</v>
      </c>
      <c r="N21" s="1">
        <f>'[1]1401'!N21/((1+N$2)^N$1)</f>
        <v>82.00814425978173</v>
      </c>
      <c r="O21" s="4">
        <v>100</v>
      </c>
      <c r="P21" s="54" t="s">
        <v>114</v>
      </c>
      <c r="Q21" s="54">
        <v>1078</v>
      </c>
      <c r="R21" s="54" t="s">
        <v>93</v>
      </c>
      <c r="S21" s="54">
        <v>18</v>
      </c>
    </row>
    <row r="22" spans="1:19" ht="22.2" x14ac:dyDescent="0.3">
      <c r="A22" s="54"/>
      <c r="B22" s="6">
        <f t="shared" si="2"/>
        <v>546.58355072163261</v>
      </c>
      <c r="C22" s="1">
        <f>'[1]1401'!C22/((1+C$2)^C$1)</f>
        <v>0</v>
      </c>
      <c r="D22" s="1">
        <f>'[1]1401'!D22/((1+D$2)^D$1)</f>
        <v>0</v>
      </c>
      <c r="E22" s="1">
        <f>'[1]1401'!E22/((1+E$2)^E$1)</f>
        <v>0</v>
      </c>
      <c r="F22" s="1">
        <f>'[1]1401'!F22/((1+F$2)^F$1)</f>
        <v>0</v>
      </c>
      <c r="G22" s="1">
        <f>'[1]1401'!G22/((1+G$2)^G$1)</f>
        <v>0</v>
      </c>
      <c r="H22" s="1">
        <f>'[2]1401'!H22/((1+H$2)^H$1)</f>
        <v>74.265220818750905</v>
      </c>
      <c r="I22" s="1">
        <f>'[1]1401'!I22/((1+I$2)^I$1)</f>
        <v>75.502974499063413</v>
      </c>
      <c r="J22" s="1">
        <f>'[1]1401'!J22/((1+J$2)^J$1)</f>
        <v>76.761357407381126</v>
      </c>
      <c r="K22" s="1">
        <f>'[1]1401'!K22/((1+K$2)^K$1)</f>
        <v>78.040713364170827</v>
      </c>
      <c r="L22" s="1">
        <f>'[1]1401'!L22/((1+L$2)^L$1)</f>
        <v>79.341391920240312</v>
      </c>
      <c r="M22" s="1">
        <f>'[1]1401'!M22/((1+M$2)^M$1)</f>
        <v>80.663748452244306</v>
      </c>
      <c r="N22" s="1">
        <f>'[1]1401'!N22/((1+N$2)^N$1)</f>
        <v>82.00814425978173</v>
      </c>
      <c r="O22" s="4">
        <v>100</v>
      </c>
      <c r="P22" s="54" t="s">
        <v>11</v>
      </c>
      <c r="Q22" s="54">
        <v>1024</v>
      </c>
      <c r="R22" s="54" t="s">
        <v>93</v>
      </c>
      <c r="S22" s="54">
        <v>19</v>
      </c>
    </row>
    <row r="23" spans="1:19" ht="22.2" x14ac:dyDescent="0.3">
      <c r="A23" s="54"/>
      <c r="B23" s="6">
        <f t="shared" si="2"/>
        <v>546.58355072163261</v>
      </c>
      <c r="C23" s="1">
        <f>'[1]1401'!C23/((1+C$2)^C$1)</f>
        <v>0</v>
      </c>
      <c r="D23" s="1">
        <f>'[1]1401'!D23/((1+D$2)^D$1)</f>
        <v>0</v>
      </c>
      <c r="E23" s="1">
        <f>'[1]1401'!E23/((1+E$2)^E$1)</f>
        <v>0</v>
      </c>
      <c r="F23" s="1">
        <f>'[1]1401'!F23/((1+F$2)^F$1)</f>
        <v>0</v>
      </c>
      <c r="G23" s="1">
        <f>'[1]1401'!G23/((1+G$2)^G$1)</f>
        <v>0</v>
      </c>
      <c r="H23" s="1">
        <f>'[2]1401'!H23/((1+H$2)^H$1)</f>
        <v>74.265220818750905</v>
      </c>
      <c r="I23" s="1">
        <f>'[1]1401'!I23/((1+I$2)^I$1)</f>
        <v>75.502974499063413</v>
      </c>
      <c r="J23" s="1">
        <f>'[1]1401'!J23/((1+J$2)^J$1)</f>
        <v>76.761357407381126</v>
      </c>
      <c r="K23" s="1">
        <f>'[1]1401'!K23/((1+K$2)^K$1)</f>
        <v>78.040713364170827</v>
      </c>
      <c r="L23" s="1">
        <f>'[1]1401'!L23/((1+L$2)^L$1)</f>
        <v>79.341391920240312</v>
      </c>
      <c r="M23" s="1">
        <f>'[1]1401'!M23/((1+M$2)^M$1)</f>
        <v>80.663748452244306</v>
      </c>
      <c r="N23" s="1">
        <f>'[1]1401'!N23/((1+N$2)^N$1)</f>
        <v>82.00814425978173</v>
      </c>
      <c r="O23" s="4">
        <v>100</v>
      </c>
      <c r="P23" s="54" t="s">
        <v>10</v>
      </c>
      <c r="Q23" s="54">
        <v>1040</v>
      </c>
      <c r="R23" s="54" t="s">
        <v>93</v>
      </c>
      <c r="S23" s="54">
        <v>20</v>
      </c>
    </row>
    <row r="24" spans="1:19" ht="22.2" x14ac:dyDescent="0.3">
      <c r="A24" s="54"/>
      <c r="B24" s="6">
        <f t="shared" si="2"/>
        <v>546.58355072163261</v>
      </c>
      <c r="C24" s="1">
        <f>'[1]1401'!C24/((1+C$2)^C$1)</f>
        <v>0</v>
      </c>
      <c r="D24" s="1">
        <f>'[1]1401'!D24/((1+D$2)^D$1)</f>
        <v>0</v>
      </c>
      <c r="E24" s="1">
        <f>'[1]1401'!E24/((1+E$2)^E$1)</f>
        <v>0</v>
      </c>
      <c r="F24" s="1">
        <f>'[1]1401'!F24/((1+F$2)^F$1)</f>
        <v>0</v>
      </c>
      <c r="G24" s="1">
        <f>'[1]1401'!G24/((1+G$2)^G$1)</f>
        <v>0</v>
      </c>
      <c r="H24" s="1">
        <f>'[2]1401'!H24/((1+H$2)^H$1)</f>
        <v>74.265220818750905</v>
      </c>
      <c r="I24" s="1">
        <f>'[1]1401'!I24/((1+I$2)^I$1)</f>
        <v>75.502974499063413</v>
      </c>
      <c r="J24" s="1">
        <f>'[1]1401'!J24/((1+J$2)^J$1)</f>
        <v>76.761357407381126</v>
      </c>
      <c r="K24" s="1">
        <f>'[1]1401'!K24/((1+K$2)^K$1)</f>
        <v>78.040713364170827</v>
      </c>
      <c r="L24" s="1">
        <f>'[1]1401'!L24/((1+L$2)^L$1)</f>
        <v>79.341391920240312</v>
      </c>
      <c r="M24" s="1">
        <f>'[1]1401'!M24/((1+M$2)^M$1)</f>
        <v>80.663748452244306</v>
      </c>
      <c r="N24" s="1">
        <f>'[1]1401'!N24/((1+N$2)^N$1)</f>
        <v>82.00814425978173</v>
      </c>
      <c r="O24" s="4">
        <v>100</v>
      </c>
      <c r="P24" s="54" t="s">
        <v>12</v>
      </c>
      <c r="Q24" s="54">
        <v>1035</v>
      </c>
      <c r="R24" s="54" t="s">
        <v>93</v>
      </c>
      <c r="S24" s="54">
        <v>21</v>
      </c>
    </row>
    <row r="25" spans="1:19" ht="22.2" x14ac:dyDescent="0.3">
      <c r="A25" s="54"/>
      <c r="B25" s="6">
        <f t="shared" si="2"/>
        <v>778.87125395255805</v>
      </c>
      <c r="C25" s="1">
        <f>'[1]1401'!C25/((1+C$2)^C$1)</f>
        <v>0</v>
      </c>
      <c r="D25" s="1">
        <f>'[1]1401'!D25/((1+D$2)^D$1)</f>
        <v>0</v>
      </c>
      <c r="E25" s="1">
        <f>'[1]1401'!E25/((1+E$2)^E$1)</f>
        <v>0</v>
      </c>
      <c r="F25" s="1">
        <f>'[1]1401'!F25/((1+F$2)^F$1)</f>
        <v>0</v>
      </c>
      <c r="G25" s="1">
        <f>'[1]1401'!G25/((1+G$2)^G$1)</f>
        <v>0</v>
      </c>
      <c r="H25" s="1">
        <f>'[2]1401'!H25/((1+H$2)^H$1)</f>
        <v>111.39783122812635</v>
      </c>
      <c r="I25" s="1">
        <f>'[1]1401'!I25/((1+I$2)^I$1)</f>
        <v>113.25446174859512</v>
      </c>
      <c r="J25" s="1">
        <f>'[1]1401'!J25/((1+J$2)^J$1)</f>
        <v>115.1420361110717</v>
      </c>
      <c r="K25" s="1">
        <f>'[1]1401'!K25/((1+K$2)^K$1)</f>
        <v>117.06107004625623</v>
      </c>
      <c r="L25" s="1">
        <f>'[1]1401'!L25/((1+L$2)^L$1)</f>
        <v>119.01208788036045</v>
      </c>
      <c r="M25" s="1">
        <f>'[1]1401'!M25/((1+M$2)^M$1)</f>
        <v>120.99562267836647</v>
      </c>
      <c r="N25" s="1">
        <f>'[1]1401'!N25/((1+N$2)^N$1)</f>
        <v>82.00814425978173</v>
      </c>
      <c r="O25" s="4">
        <v>100</v>
      </c>
      <c r="P25" s="54" t="s">
        <v>14</v>
      </c>
      <c r="Q25" s="54">
        <v>1055</v>
      </c>
      <c r="R25" s="54" t="s">
        <v>93</v>
      </c>
      <c r="S25" s="54">
        <v>22</v>
      </c>
    </row>
    <row r="26" spans="1:19" ht="22.2" x14ac:dyDescent="0.3">
      <c r="A26" s="54"/>
      <c r="B26" s="6">
        <f t="shared" si="2"/>
        <v>778.87125395255805</v>
      </c>
      <c r="C26" s="1">
        <f>'[1]1401'!C26/((1+C$2)^C$1)</f>
        <v>0</v>
      </c>
      <c r="D26" s="1">
        <f>'[1]1401'!D26/((1+D$2)^D$1)</f>
        <v>0</v>
      </c>
      <c r="E26" s="1">
        <f>'[1]1401'!E26/((1+E$2)^E$1)</f>
        <v>0</v>
      </c>
      <c r="F26" s="1">
        <f>'[1]1401'!F26/((1+F$2)^F$1)</f>
        <v>0</v>
      </c>
      <c r="G26" s="1">
        <f>'[1]1401'!G26/((1+G$2)^G$1)</f>
        <v>0</v>
      </c>
      <c r="H26" s="1">
        <f>'[2]1401'!H26/((1+H$2)^H$1)</f>
        <v>111.39783122812635</v>
      </c>
      <c r="I26" s="1">
        <f>'[1]1401'!I26/((1+I$2)^I$1)</f>
        <v>113.25446174859512</v>
      </c>
      <c r="J26" s="1">
        <f>'[1]1401'!J26/((1+J$2)^J$1)</f>
        <v>115.1420361110717</v>
      </c>
      <c r="K26" s="1">
        <f>'[1]1401'!K26/((1+K$2)^K$1)</f>
        <v>117.06107004625623</v>
      </c>
      <c r="L26" s="1">
        <f>'[1]1401'!L26/((1+L$2)^L$1)</f>
        <v>119.01208788036045</v>
      </c>
      <c r="M26" s="1">
        <f>'[1]1401'!M26/((1+M$2)^M$1)</f>
        <v>120.99562267836647</v>
      </c>
      <c r="N26" s="1">
        <f>'[1]1401'!N26/((1+N$2)^N$1)</f>
        <v>82.00814425978173</v>
      </c>
      <c r="O26" s="4">
        <v>100</v>
      </c>
      <c r="P26" s="1" t="s">
        <v>13</v>
      </c>
      <c r="Q26" s="54">
        <v>1007</v>
      </c>
      <c r="R26" s="54" t="s">
        <v>93</v>
      </c>
      <c r="S26" s="54">
        <v>23</v>
      </c>
    </row>
    <row r="27" spans="1:19" ht="22.2" x14ac:dyDescent="0.3">
      <c r="A27" s="54"/>
      <c r="B27" s="6">
        <f t="shared" si="2"/>
        <v>354.23874742716129</v>
      </c>
      <c r="C27" s="1">
        <f>'[1]1401'!C27/((1+C$2)^C$1)</f>
        <v>0</v>
      </c>
      <c r="D27" s="1">
        <f>'[1]1401'!D27/((1+D$2)^D$1)</f>
        <v>0</v>
      </c>
      <c r="E27" s="1">
        <f>'[1]1401'!E27/((1+E$2)^E$1)</f>
        <v>0</v>
      </c>
      <c r="F27" s="1">
        <f>'[1]1401'!F27/((1+F$2)^F$1)</f>
        <v>0</v>
      </c>
      <c r="G27" s="1">
        <f>'[1]1401'!G27/((1+G$2)^G$1)</f>
        <v>0</v>
      </c>
      <c r="H27" s="1">
        <f>'[2]1401'!H27/((1+H$2)^H$1)</f>
        <v>0</v>
      </c>
      <c r="I27" s="1">
        <f>'[1]1401'!I27/((1+I$2)^I$1)</f>
        <v>56.62723087429756</v>
      </c>
      <c r="J27" s="1">
        <f>'[1]1401'!J27/((1+J$2)^J$1)</f>
        <v>57.571018055535852</v>
      </c>
      <c r="K27" s="1">
        <f>'[1]1401'!K27/((1+K$2)^K$1)</f>
        <v>58.530535023128117</v>
      </c>
      <c r="L27" s="1">
        <f>'[1]1401'!L27/((1+L$2)^L$1)</f>
        <v>59.506043940180227</v>
      </c>
      <c r="M27" s="1">
        <f>'[1]1401'!M27/((1+M$2)^M$1)</f>
        <v>60.497811339183237</v>
      </c>
      <c r="N27" s="1">
        <f>'[1]1401'!N27/((1+N$2)^N$1)</f>
        <v>61.506108194836294</v>
      </c>
      <c r="O27" s="4">
        <v>75</v>
      </c>
      <c r="P27" s="54" t="s">
        <v>30</v>
      </c>
      <c r="Q27" s="54">
        <v>1045</v>
      </c>
      <c r="R27" s="54" t="s">
        <v>93</v>
      </c>
      <c r="S27" s="54">
        <v>24</v>
      </c>
    </row>
    <row r="28" spans="1:19" ht="22.2" x14ac:dyDescent="0.3">
      <c r="A28" s="54"/>
      <c r="B28" s="6">
        <f t="shared" si="2"/>
        <v>354.23874742716129</v>
      </c>
      <c r="C28" s="1">
        <f>'[1]1401'!C28/((1+C$2)^C$1)</f>
        <v>0</v>
      </c>
      <c r="D28" s="1">
        <f>'[1]1401'!D28/((1+D$2)^D$1)</f>
        <v>0</v>
      </c>
      <c r="E28" s="1">
        <f>'[1]1401'!E28/((1+E$2)^E$1)</f>
        <v>0</v>
      </c>
      <c r="F28" s="1">
        <f>'[1]1401'!F28/((1+F$2)^F$1)</f>
        <v>0</v>
      </c>
      <c r="G28" s="1">
        <f>'[1]1401'!G28/((1+G$2)^G$1)</f>
        <v>0</v>
      </c>
      <c r="H28" s="1">
        <f>'[2]1401'!H28/((1+H$2)^H$1)</f>
        <v>0</v>
      </c>
      <c r="I28" s="1">
        <f>'[1]1401'!I28/((1+I$2)^I$1)</f>
        <v>56.62723087429756</v>
      </c>
      <c r="J28" s="1">
        <f>'[1]1401'!J28/((1+J$2)^J$1)</f>
        <v>57.571018055535852</v>
      </c>
      <c r="K28" s="1">
        <f>'[1]1401'!K28/((1+K$2)^K$1)</f>
        <v>58.530535023128117</v>
      </c>
      <c r="L28" s="1">
        <f>'[1]1401'!L28/((1+L$2)^L$1)</f>
        <v>59.506043940180227</v>
      </c>
      <c r="M28" s="1">
        <f>'[1]1401'!M28/((1+M$2)^M$1)</f>
        <v>60.497811339183237</v>
      </c>
      <c r="N28" s="1">
        <f>'[1]1401'!N28/((1+N$2)^N$1)</f>
        <v>61.506108194836294</v>
      </c>
      <c r="O28" s="4">
        <v>75</v>
      </c>
      <c r="P28" s="54" t="s">
        <v>31</v>
      </c>
      <c r="Q28" s="54">
        <v>1059</v>
      </c>
      <c r="R28" s="54" t="s">
        <v>93</v>
      </c>
      <c r="S28" s="54">
        <v>25</v>
      </c>
    </row>
    <row r="29" spans="1:19" ht="22.2" x14ac:dyDescent="0.3">
      <c r="A29" s="54"/>
      <c r="B29" s="6">
        <f t="shared" si="2"/>
        <v>354.23874742716129</v>
      </c>
      <c r="C29" s="1">
        <f>'[1]1401'!C29/((1+C$2)^C$1)</f>
        <v>0</v>
      </c>
      <c r="D29" s="1">
        <f>'[1]1401'!D29/((1+D$2)^D$1)</f>
        <v>0</v>
      </c>
      <c r="E29" s="1">
        <f>'[1]1401'!E29/((1+E$2)^E$1)</f>
        <v>0</v>
      </c>
      <c r="F29" s="1">
        <f>'[1]1401'!F29/((1+F$2)^F$1)</f>
        <v>0</v>
      </c>
      <c r="G29" s="1">
        <f>'[1]1401'!G29/((1+G$2)^G$1)</f>
        <v>0</v>
      </c>
      <c r="H29" s="1">
        <f>'[2]1401'!H29/((1+H$2)^H$1)</f>
        <v>0</v>
      </c>
      <c r="I29" s="1">
        <f>'[1]1401'!I29/((1+I$2)^I$1)</f>
        <v>56.62723087429756</v>
      </c>
      <c r="J29" s="1">
        <f>'[1]1401'!J29/((1+J$2)^J$1)</f>
        <v>57.571018055535852</v>
      </c>
      <c r="K29" s="1">
        <f>'[1]1401'!K29/((1+K$2)^K$1)</f>
        <v>58.530535023128117</v>
      </c>
      <c r="L29" s="1">
        <f>'[1]1401'!L29/((1+L$2)^L$1)</f>
        <v>59.506043940180227</v>
      </c>
      <c r="M29" s="1">
        <f>'[1]1401'!M29/((1+M$2)^M$1)</f>
        <v>60.497811339183237</v>
      </c>
      <c r="N29" s="1">
        <f>'[1]1401'!N29/((1+N$2)^N$1)</f>
        <v>61.506108194836294</v>
      </c>
      <c r="O29" s="4">
        <v>75</v>
      </c>
      <c r="P29" s="54" t="s">
        <v>32</v>
      </c>
      <c r="Q29" s="54">
        <v>1051</v>
      </c>
      <c r="R29" s="54" t="s">
        <v>93</v>
      </c>
      <c r="S29" s="54">
        <v>26</v>
      </c>
    </row>
    <row r="30" spans="1:19" ht="22.2" x14ac:dyDescent="0.3">
      <c r="A30" s="54"/>
      <c r="B30" s="6">
        <f t="shared" si="2"/>
        <v>132.77495470364045</v>
      </c>
      <c r="C30" s="1">
        <f>'[1]1401'!C30/((1+C$2)^C$1)</f>
        <v>0</v>
      </c>
      <c r="D30" s="1">
        <f>'[1]1401'!D30/((1+D$2)^D$1)</f>
        <v>0</v>
      </c>
      <c r="E30" s="1">
        <f>'[1]1401'!E30/((1+E$2)^E$1)</f>
        <v>0</v>
      </c>
      <c r="F30" s="1">
        <f>'[1]1401'!F30/((1+F$2)^F$1)</f>
        <v>0</v>
      </c>
      <c r="G30" s="1">
        <f>'[1]1401'!G30/((1+G$2)^G$1)</f>
        <v>0</v>
      </c>
      <c r="H30" s="1">
        <f>'[2]1401'!H30/((1+H$2)^H$1)</f>
        <v>37.132610409375452</v>
      </c>
      <c r="I30" s="1">
        <f>'[1]1401'!I30/((1+I$2)^I$1)</f>
        <v>37.751487249531706</v>
      </c>
      <c r="J30" s="1">
        <f>'[1]1401'!J30/((1+J$2)^J$1)</f>
        <v>38.380678703690563</v>
      </c>
      <c r="K30" s="1">
        <f>'[1]1401'!K30/((1+K$2)^K$1)</f>
        <v>19.510178341042707</v>
      </c>
      <c r="L30" s="1">
        <f>'[1]1401'!L30/((1+L$2)^L$1)</f>
        <v>0</v>
      </c>
      <c r="M30" s="1">
        <f>'[1]1401'!M30/((1+M$2)^M$1)</f>
        <v>0</v>
      </c>
      <c r="N30" s="1">
        <f>'[1]1401'!N30/((1+N$2)^N$1)</f>
        <v>0</v>
      </c>
      <c r="O30" s="4">
        <v>0</v>
      </c>
      <c r="P30" s="54" t="s">
        <v>29</v>
      </c>
      <c r="Q30" s="54">
        <v>1019</v>
      </c>
      <c r="R30" s="54" t="s">
        <v>93</v>
      </c>
      <c r="S30" s="54">
        <v>27</v>
      </c>
    </row>
    <row r="31" spans="1:19" ht="22.2" x14ac:dyDescent="0.3">
      <c r="A31" s="54"/>
      <c r="B31" s="6">
        <f t="shared" si="2"/>
        <v>1093.1671014432652</v>
      </c>
      <c r="C31" s="1">
        <f>'[1]1401'!C31/((1+C$2)^C$1)</f>
        <v>0</v>
      </c>
      <c r="D31" s="1">
        <f>'[1]1401'!D31/((1+D$2)^D$1)</f>
        <v>0</v>
      </c>
      <c r="E31" s="1">
        <f>'[1]1401'!E31/((1+E$2)^E$1)</f>
        <v>0</v>
      </c>
      <c r="F31" s="1">
        <f>'[1]1401'!F31/((1+F$2)^F$1)</f>
        <v>0</v>
      </c>
      <c r="G31" s="1">
        <f>'[1]1401'!G31/((1+G$2)^G$1)</f>
        <v>0</v>
      </c>
      <c r="H31" s="1">
        <f>'[2]1401'!H31/((1+H$2)^H$1)</f>
        <v>148.53044163750181</v>
      </c>
      <c r="I31" s="1">
        <f>'[1]1401'!I31/((1+I$2)^I$1)</f>
        <v>151.00594899812683</v>
      </c>
      <c r="J31" s="1">
        <f>'[1]1401'!J31/((1+J$2)^J$1)</f>
        <v>153.52271481476225</v>
      </c>
      <c r="K31" s="1">
        <f>'[1]1401'!K31/((1+K$2)^K$1)</f>
        <v>156.08142672834165</v>
      </c>
      <c r="L31" s="1">
        <f>'[1]1401'!L31/((1+L$2)^L$1)</f>
        <v>158.68278384048062</v>
      </c>
      <c r="M31" s="1">
        <f>'[1]1401'!M31/((1+M$2)^M$1)</f>
        <v>161.32749690448861</v>
      </c>
      <c r="N31" s="1">
        <f>'[1]1401'!N31/((1+N$2)^N$1)</f>
        <v>164.01628851956346</v>
      </c>
      <c r="O31" s="4">
        <v>200</v>
      </c>
      <c r="P31" s="54" t="s">
        <v>4</v>
      </c>
      <c r="Q31" s="54">
        <v>1008</v>
      </c>
      <c r="R31" s="54" t="s">
        <v>93</v>
      </c>
      <c r="S31" s="54">
        <v>28</v>
      </c>
    </row>
    <row r="32" spans="1:19" ht="22.2" x14ac:dyDescent="0.3">
      <c r="A32" s="54"/>
      <c r="B32" s="6">
        <f t="shared" si="2"/>
        <v>304.57026608936627</v>
      </c>
      <c r="C32" s="1">
        <f>'[1]1401'!C32/((1+C$2)^C$1)</f>
        <v>0</v>
      </c>
      <c r="D32" s="1">
        <f>'[1]1401'!D32/((1+D$2)^D$1)</f>
        <v>0</v>
      </c>
      <c r="E32" s="1">
        <f>'[1]1401'!E32/((1+E$2)^E$1)</f>
        <v>0</v>
      </c>
      <c r="F32" s="1">
        <f>'[1]1401'!F32/((1+F$2)^F$1)</f>
        <v>0</v>
      </c>
      <c r="G32" s="1">
        <f>'[1]1401'!G32/((1+G$2)^G$1)</f>
        <v>0</v>
      </c>
      <c r="H32" s="1">
        <f>'[2]1401'!H32/((1+H$2)^H$1)</f>
        <v>74.265220818750905</v>
      </c>
      <c r="I32" s="1">
        <f>'[1]1401'!I32/((1+I$2)^I$1)</f>
        <v>75.502974499063413</v>
      </c>
      <c r="J32" s="1">
        <f>'[1]1401'!J32/((1+J$2)^J$1)</f>
        <v>76.761357407381126</v>
      </c>
      <c r="K32" s="1">
        <f>'[1]1401'!K32/((1+K$2)^K$1)</f>
        <v>78.040713364170827</v>
      </c>
      <c r="L32" s="1">
        <f>'[1]1401'!L32/((1+L$2)^L$1)</f>
        <v>0</v>
      </c>
      <c r="M32" s="1">
        <f>'[1]1401'!M32/((1+M$2)^M$1)</f>
        <v>0</v>
      </c>
      <c r="N32" s="1">
        <f>'[1]1401'!N32/((1+N$2)^N$1)</f>
        <v>0</v>
      </c>
      <c r="O32" s="4">
        <v>0</v>
      </c>
      <c r="P32" s="54" t="s">
        <v>28</v>
      </c>
      <c r="Q32" s="54">
        <v>1058</v>
      </c>
      <c r="R32" s="54" t="s">
        <v>93</v>
      </c>
      <c r="S32" s="54">
        <v>29</v>
      </c>
    </row>
    <row r="33" spans="1:19" ht="22.2" x14ac:dyDescent="0.3">
      <c r="A33" s="54"/>
      <c r="B33" s="6">
        <f t="shared" si="2"/>
        <v>0</v>
      </c>
      <c r="C33" s="1">
        <f>'[1]1401'!C33/((1+C$2)^C$1)</f>
        <v>0</v>
      </c>
      <c r="D33" s="1">
        <f>'[1]1401'!D33/((1+D$2)^D$1)</f>
        <v>0</v>
      </c>
      <c r="E33" s="1">
        <f>'[1]1401'!E33/((1+E$2)^E$1)</f>
        <v>0</v>
      </c>
      <c r="F33" s="1">
        <f>'[1]1401'!F33/((1+F$2)^F$1)</f>
        <v>0</v>
      </c>
      <c r="G33" s="1">
        <f>'[1]1401'!G33/((1+G$2)^G$1)</f>
        <v>0</v>
      </c>
      <c r="H33" s="1">
        <f>'[2]1401'!H33/((1+H$2)^H$1)</f>
        <v>0</v>
      </c>
      <c r="I33" s="1">
        <f>'[1]1401'!I33/((1+I$2)^I$1)</f>
        <v>0</v>
      </c>
      <c r="J33" s="1">
        <f>'[1]1401'!J33/((1+J$2)^J$1)</f>
        <v>0</v>
      </c>
      <c r="K33" s="1">
        <f>'[1]1401'!K33/((1+K$2)^K$1)</f>
        <v>0</v>
      </c>
      <c r="L33" s="1">
        <f>'[1]1401'!L33/((1+L$2)^L$1)</f>
        <v>0</v>
      </c>
      <c r="M33" s="1">
        <f>'[1]1401'!M33/((1+M$2)^M$1)</f>
        <v>0</v>
      </c>
      <c r="N33" s="1">
        <f>'[1]1401'!N33/((1+N$2)^N$1)</f>
        <v>0</v>
      </c>
      <c r="O33" s="4">
        <v>0</v>
      </c>
      <c r="P33" s="54" t="s">
        <v>5</v>
      </c>
      <c r="Q33" s="54">
        <v>1044</v>
      </c>
      <c r="R33" s="54" t="s">
        <v>93</v>
      </c>
      <c r="S33" s="54">
        <v>30</v>
      </c>
    </row>
    <row r="34" spans="1:19" ht="22.2" x14ac:dyDescent="0.3">
      <c r="A34" s="54"/>
      <c r="B34" s="6">
        <f t="shared" si="2"/>
        <v>1130.9185886927969</v>
      </c>
      <c r="C34" s="1">
        <f>'[1]1401'!C34/((1+C$2)^C$1)</f>
        <v>0</v>
      </c>
      <c r="D34" s="1">
        <f>'[1]1401'!D34/((1+D$2)^D$1)</f>
        <v>0</v>
      </c>
      <c r="E34" s="1">
        <f>'[1]1401'!E34/((1+E$2)^E$1)</f>
        <v>0</v>
      </c>
      <c r="F34" s="1">
        <f>'[1]1401'!F34/((1+F$2)^F$1)</f>
        <v>0</v>
      </c>
      <c r="G34" s="1">
        <f>'[1]1401'!G34/((1+G$2)^G$1)</f>
        <v>0</v>
      </c>
      <c r="H34" s="1">
        <f>'[2]1401'!H34/((1+H$2)^H$1)</f>
        <v>148.53044163750181</v>
      </c>
      <c r="I34" s="1">
        <f>'[1]1401'!I34/((1+I$2)^I$1)</f>
        <v>188.75743624765852</v>
      </c>
      <c r="J34" s="1">
        <f>'[1]1401'!J34/((1+J$2)^J$1)</f>
        <v>153.52271481476225</v>
      </c>
      <c r="K34" s="1">
        <f>'[1]1401'!K34/((1+K$2)^K$1)</f>
        <v>156.08142672834165</v>
      </c>
      <c r="L34" s="1">
        <f>'[1]1401'!L34/((1+L$2)^L$1)</f>
        <v>158.68278384048062</v>
      </c>
      <c r="M34" s="1">
        <f>'[1]1401'!M34/((1+M$2)^M$1)</f>
        <v>161.32749690448861</v>
      </c>
      <c r="N34" s="1">
        <f>'[1]1401'!N34/((1+N$2)^N$1)</f>
        <v>164.01628851956346</v>
      </c>
      <c r="O34" s="4">
        <v>200</v>
      </c>
      <c r="P34" s="54" t="s">
        <v>6</v>
      </c>
      <c r="Q34" s="54">
        <v>1056</v>
      </c>
      <c r="R34" s="54" t="s">
        <v>93</v>
      </c>
      <c r="S34" s="54">
        <v>31</v>
      </c>
    </row>
    <row r="35" spans="1:19" ht="22.2" x14ac:dyDescent="0.3">
      <c r="A35" s="54"/>
      <c r="B35" s="6">
        <f t="shared" si="2"/>
        <v>0</v>
      </c>
      <c r="C35" s="1">
        <f>'[1]1401'!C35/((1+C$2)^C$1)</f>
        <v>0</v>
      </c>
      <c r="D35" s="1">
        <f>'[1]1401'!D35/((1+D$2)^D$1)</f>
        <v>0</v>
      </c>
      <c r="E35" s="1">
        <f>'[1]1401'!E35/((1+E$2)^E$1)</f>
        <v>0</v>
      </c>
      <c r="F35" s="1">
        <f>'[1]1401'!F35/((1+F$2)^F$1)</f>
        <v>0</v>
      </c>
      <c r="G35" s="1">
        <f>'[1]1401'!G35/((1+G$2)^G$1)</f>
        <v>0</v>
      </c>
      <c r="H35" s="1">
        <f>'[2]1401'!H35/((1+H$2)^H$1)</f>
        <v>0</v>
      </c>
      <c r="I35" s="1">
        <f>'[1]1401'!I35/((1+I$2)^I$1)</f>
        <v>0</v>
      </c>
      <c r="J35" s="1">
        <f>'[1]1401'!J35/((1+J$2)^J$1)</f>
        <v>0</v>
      </c>
      <c r="K35" s="1">
        <f>'[1]1401'!K35/((1+K$2)^K$1)</f>
        <v>0</v>
      </c>
      <c r="L35" s="1">
        <f>'[1]1401'!L35/((1+L$2)^L$1)</f>
        <v>0</v>
      </c>
      <c r="M35" s="1">
        <f>'[1]1401'!M35/((1+M$2)^M$1)</f>
        <v>0</v>
      </c>
      <c r="N35" s="1">
        <f>'[1]1401'!N35/((1+N$2)^N$1)</f>
        <v>0</v>
      </c>
      <c r="O35" s="4">
        <v>0</v>
      </c>
      <c r="P35" s="54" t="s">
        <v>19</v>
      </c>
      <c r="Q35" s="54">
        <v>1029</v>
      </c>
      <c r="R35" s="54"/>
      <c r="S35" s="54">
        <v>32</v>
      </c>
    </row>
    <row r="36" spans="1:19" ht="22.2" x14ac:dyDescent="0.3">
      <c r="A36" s="54"/>
      <c r="B36" s="6">
        <f t="shared" si="2"/>
        <v>0</v>
      </c>
      <c r="C36" s="1">
        <f>'[1]1401'!C36/((1+C$2)^C$1)</f>
        <v>0</v>
      </c>
      <c r="D36" s="1">
        <f>'[1]1401'!D36/((1+D$2)^D$1)</f>
        <v>0</v>
      </c>
      <c r="E36" s="1">
        <f>'[1]1401'!E36/((1+E$2)^E$1)</f>
        <v>0</v>
      </c>
      <c r="F36" s="1">
        <f>'[1]1401'!F36/((1+F$2)^F$1)</f>
        <v>0</v>
      </c>
      <c r="G36" s="1">
        <f>'[1]1401'!G36/((1+G$2)^G$1)</f>
        <v>0</v>
      </c>
      <c r="H36" s="1">
        <f>'[2]1401'!H36/((1+H$2)^H$1)</f>
        <v>0</v>
      </c>
      <c r="I36" s="1">
        <f>'[1]1401'!I36/((1+I$2)^I$1)</f>
        <v>0</v>
      </c>
      <c r="J36" s="1">
        <f>'[1]1401'!J36/((1+J$2)^J$1)</f>
        <v>0</v>
      </c>
      <c r="K36" s="1">
        <f>'[1]1401'!K36/((1+K$2)^K$1)</f>
        <v>0</v>
      </c>
      <c r="L36" s="1">
        <f>'[1]1401'!L36/((1+L$2)^L$1)</f>
        <v>0</v>
      </c>
      <c r="M36" s="1">
        <f>'[1]1401'!M36/((1+M$2)^M$1)</f>
        <v>0</v>
      </c>
      <c r="N36" s="1">
        <f>'[1]1401'!N36/((1+N$2)^N$1)</f>
        <v>0</v>
      </c>
      <c r="O36" s="4">
        <v>0</v>
      </c>
      <c r="P36" s="54" t="s">
        <v>65</v>
      </c>
      <c r="Q36" s="54">
        <v>1034</v>
      </c>
      <c r="R36" s="54" t="s">
        <v>93</v>
      </c>
      <c r="S36" s="54">
        <v>33</v>
      </c>
    </row>
    <row r="37" spans="1:19" ht="22.2" x14ac:dyDescent="0.3">
      <c r="A37" s="54"/>
      <c r="B37" s="6">
        <f t="shared" si="2"/>
        <v>0</v>
      </c>
      <c r="C37" s="1">
        <f>'[1]1401'!C37/((1+C$2)^C$1)</f>
        <v>0</v>
      </c>
      <c r="D37" s="1">
        <f>'[1]1401'!D37/((1+D$2)^D$1)</f>
        <v>0</v>
      </c>
      <c r="E37" s="1">
        <f>'[1]1401'!E37/((1+E$2)^E$1)</f>
        <v>0</v>
      </c>
      <c r="F37" s="1">
        <f>'[1]1401'!F37/((1+F$2)^F$1)</f>
        <v>0</v>
      </c>
      <c r="G37" s="1">
        <f>'[1]1401'!G37/((1+G$2)^G$1)</f>
        <v>0</v>
      </c>
      <c r="H37" s="1">
        <f>'[2]1401'!H37/((1+H$2)^H$1)</f>
        <v>0</v>
      </c>
      <c r="I37" s="1">
        <f>'[1]1401'!I37/((1+I$2)^I$1)</f>
        <v>0</v>
      </c>
      <c r="J37" s="1">
        <f>'[1]1401'!J37/((1+J$2)^J$1)</f>
        <v>0</v>
      </c>
      <c r="K37" s="1">
        <f>'[1]1401'!K37/((1+K$2)^K$1)</f>
        <v>0</v>
      </c>
      <c r="L37" s="1">
        <f>'[1]1401'!L37/((1+L$2)^L$1)</f>
        <v>0</v>
      </c>
      <c r="M37" s="1">
        <f>'[1]1401'!M37/((1+M$2)^M$1)</f>
        <v>0</v>
      </c>
      <c r="N37" s="1">
        <f>'[1]1401'!N37/((1+N$2)^N$1)</f>
        <v>0</v>
      </c>
      <c r="O37" s="4">
        <v>0</v>
      </c>
      <c r="P37" s="54" t="s">
        <v>20</v>
      </c>
      <c r="Q37" s="54">
        <v>1012</v>
      </c>
      <c r="R37" s="54"/>
      <c r="S37" s="54">
        <v>34</v>
      </c>
    </row>
    <row r="38" spans="1:19" ht="22.2" x14ac:dyDescent="0.3">
      <c r="A38" s="54"/>
      <c r="B38" s="6">
        <f t="shared" si="2"/>
        <v>739.20606781132119</v>
      </c>
      <c r="C38" s="1">
        <f>'[1]1401'!C38/((1+C$2)^C$1)</f>
        <v>0</v>
      </c>
      <c r="D38" s="1">
        <f>'[1]1401'!D38/((1+D$2)^D$1)</f>
        <v>0</v>
      </c>
      <c r="E38" s="1">
        <f>'[1]1401'!E38/((1+E$2)^E$1)</f>
        <v>0</v>
      </c>
      <c r="F38" s="1">
        <f>'[1]1401'!F38/((1+F$2)^F$1)</f>
        <v>0</v>
      </c>
      <c r="G38" s="1">
        <f>'[1]1401'!G38/((1+G$2)^G$1)</f>
        <v>0</v>
      </c>
      <c r="H38" s="1">
        <f>'[2]1401'!H38/((1+H$2)^H$1)</f>
        <v>111.39783122812635</v>
      </c>
      <c r="I38" s="1">
        <f>'[1]1401'!I38/((1+I$2)^I$1)</f>
        <v>113.25446174859512</v>
      </c>
      <c r="J38" s="1">
        <f>'[1]1401'!J38/((1+J$2)^J$1)</f>
        <v>115.1420361110717</v>
      </c>
      <c r="K38" s="1">
        <f>'[1]1401'!K38/((1+K$2)^K$1)</f>
        <v>117.06107004625623</v>
      </c>
      <c r="L38" s="1">
        <f>'[1]1401'!L38/((1+L$2)^L$1)</f>
        <v>99.176739900300376</v>
      </c>
      <c r="M38" s="1">
        <f>'[1]1401'!M38/((1+M$2)^M$1)</f>
        <v>80.663748452244306</v>
      </c>
      <c r="N38" s="1">
        <f>'[1]1401'!N38/((1+N$2)^N$1)</f>
        <v>102.51018032472716</v>
      </c>
      <c r="O38" s="4">
        <v>125</v>
      </c>
      <c r="P38" s="54" t="s">
        <v>38</v>
      </c>
      <c r="Q38" s="54">
        <v>1031</v>
      </c>
      <c r="R38" s="54" t="s">
        <v>93</v>
      </c>
      <c r="S38" s="54">
        <v>35</v>
      </c>
    </row>
    <row r="39" spans="1:19" ht="22.2" x14ac:dyDescent="0.3">
      <c r="A39" s="54"/>
      <c r="B39" s="6">
        <f t="shared" si="2"/>
        <v>934.48431760278459</v>
      </c>
      <c r="C39" s="1">
        <f>'[1]1401'!C39/((1+C$2)^C$1)</f>
        <v>0</v>
      </c>
      <c r="D39" s="1">
        <f>'[1]1401'!D39/((1+D$2)^D$1)</f>
        <v>0</v>
      </c>
      <c r="E39" s="1">
        <f>'[1]1401'!E39/((1+E$2)^E$1)</f>
        <v>0</v>
      </c>
      <c r="F39" s="1">
        <f>'[1]1401'!F39/((1+F$2)^F$1)</f>
        <v>0</v>
      </c>
      <c r="G39" s="1">
        <f>'[1]1401'!G39/((1+G$2)^G$1)</f>
        <v>0</v>
      </c>
      <c r="H39" s="1">
        <f>'[2]1401'!H39/((1+H$2)^H$1)</f>
        <v>148.53044163750181</v>
      </c>
      <c r="I39" s="1">
        <f>'[1]1401'!I39/((1+I$2)^I$1)</f>
        <v>151.00594899812683</v>
      </c>
      <c r="J39" s="1">
        <f>'[1]1401'!J39/((1+J$2)^J$1)</f>
        <v>153.52271481476225</v>
      </c>
      <c r="K39" s="1">
        <f>'[1]1401'!K39/((1+K$2)^K$1)</f>
        <v>156.08142672834165</v>
      </c>
      <c r="L39" s="1">
        <f>'[1]1401'!L39/((1+L$2)^L$1)</f>
        <v>0</v>
      </c>
      <c r="M39" s="1">
        <f>'[1]1401'!M39/((1+M$2)^M$1)</f>
        <v>161.32749690448861</v>
      </c>
      <c r="N39" s="1">
        <f>'[1]1401'!N39/((1+N$2)^N$1)</f>
        <v>164.01628851956346</v>
      </c>
      <c r="O39" s="4">
        <v>200</v>
      </c>
      <c r="P39" s="54" t="s">
        <v>42</v>
      </c>
      <c r="Q39" s="54">
        <v>1048</v>
      </c>
      <c r="R39" s="54" t="s">
        <v>93</v>
      </c>
      <c r="S39" s="54">
        <v>36</v>
      </c>
    </row>
    <row r="40" spans="1:19" ht="22.2" x14ac:dyDescent="0.3">
      <c r="A40" s="54"/>
      <c r="B40" s="6">
        <f t="shared" si="2"/>
        <v>739.20606781132119</v>
      </c>
      <c r="C40" s="1">
        <f>'[1]1401'!C40/((1+C$2)^C$1)</f>
        <v>0</v>
      </c>
      <c r="D40" s="1">
        <f>'[1]1401'!D40/((1+D$2)^D$1)</f>
        <v>0</v>
      </c>
      <c r="E40" s="1">
        <f>'[1]1401'!E40/((1+E$2)^E$1)</f>
        <v>0</v>
      </c>
      <c r="F40" s="1">
        <f>'[1]1401'!F40/((1+F$2)^F$1)</f>
        <v>0</v>
      </c>
      <c r="G40" s="1">
        <f>'[1]1401'!G40/((1+G$2)^G$1)</f>
        <v>0</v>
      </c>
      <c r="H40" s="1">
        <f>'[2]1401'!H40/((1+H$2)^H$1)</f>
        <v>111.39783122812635</v>
      </c>
      <c r="I40" s="1">
        <f>'[1]1401'!I40/((1+I$2)^I$1)</f>
        <v>113.25446174859512</v>
      </c>
      <c r="J40" s="1">
        <f>'[1]1401'!J40/((1+J$2)^J$1)</f>
        <v>115.1420361110717</v>
      </c>
      <c r="K40" s="1">
        <f>'[1]1401'!K40/((1+K$2)^K$1)</f>
        <v>117.06107004625623</v>
      </c>
      <c r="L40" s="1">
        <f>'[1]1401'!L40/((1+L$2)^L$1)</f>
        <v>99.176739900300376</v>
      </c>
      <c r="M40" s="1">
        <f>'[1]1401'!M40/((1+M$2)^M$1)</f>
        <v>80.663748452244306</v>
      </c>
      <c r="N40" s="1">
        <f>'[1]1401'!N40/((1+N$2)^N$1)</f>
        <v>102.51018032472716</v>
      </c>
      <c r="O40" s="4">
        <v>125</v>
      </c>
      <c r="P40" s="54" t="s">
        <v>39</v>
      </c>
      <c r="Q40" s="54">
        <v>1052</v>
      </c>
      <c r="R40" s="54" t="s">
        <v>93</v>
      </c>
      <c r="S40" s="54">
        <v>37</v>
      </c>
    </row>
    <row r="41" spans="1:19" ht="22.2" x14ac:dyDescent="0.3">
      <c r="A41" s="54"/>
      <c r="B41" s="6">
        <f t="shared" si="2"/>
        <v>546.58355072163261</v>
      </c>
      <c r="C41" s="1">
        <f>'[1]1401'!C41/((1+C$2)^C$1)</f>
        <v>0</v>
      </c>
      <c r="D41" s="1">
        <f>'[1]1401'!D41/((1+D$2)^D$1)</f>
        <v>0</v>
      </c>
      <c r="E41" s="1">
        <f>'[1]1401'!E41/((1+E$2)^E$1)</f>
        <v>0</v>
      </c>
      <c r="F41" s="1">
        <f>'[1]1401'!F41/((1+F$2)^F$1)</f>
        <v>0</v>
      </c>
      <c r="G41" s="1">
        <f>'[1]1401'!G41/((1+G$2)^G$1)</f>
        <v>0</v>
      </c>
      <c r="H41" s="1">
        <f>'[2]1401'!H41/((1+H$2)^H$1)</f>
        <v>74.265220818750905</v>
      </c>
      <c r="I41" s="1">
        <f>'[1]1401'!I41/((1+I$2)^I$1)</f>
        <v>75.502974499063413</v>
      </c>
      <c r="J41" s="1">
        <f>'[1]1401'!J41/((1+J$2)^J$1)</f>
        <v>76.761357407381126</v>
      </c>
      <c r="K41" s="1">
        <f>'[1]1401'!K41/((1+K$2)^K$1)</f>
        <v>78.040713364170827</v>
      </c>
      <c r="L41" s="1">
        <f>'[1]1401'!L41/((1+L$2)^L$1)</f>
        <v>79.341391920240312</v>
      </c>
      <c r="M41" s="1">
        <f>'[1]1401'!M41/((1+M$2)^M$1)</f>
        <v>80.663748452244306</v>
      </c>
      <c r="N41" s="1">
        <f>'[1]1401'!N41/((1+N$2)^N$1)</f>
        <v>82.00814425978173</v>
      </c>
      <c r="O41" s="4">
        <v>100</v>
      </c>
      <c r="P41" s="54" t="s">
        <v>24</v>
      </c>
      <c r="Q41" s="54">
        <v>1004</v>
      </c>
      <c r="R41" s="54"/>
      <c r="S41" s="54">
        <v>38</v>
      </c>
    </row>
    <row r="42" spans="1:19" ht="22.2" x14ac:dyDescent="0.3">
      <c r="A42" s="54"/>
      <c r="B42" s="6">
        <f t="shared" si="2"/>
        <v>273.2917753608163</v>
      </c>
      <c r="C42" s="1">
        <f>'[1]1401'!C42/((1+C$2)^C$1)</f>
        <v>0</v>
      </c>
      <c r="D42" s="1">
        <f>'[1]1401'!D42/((1+D$2)^D$1)</f>
        <v>0</v>
      </c>
      <c r="E42" s="1">
        <f>'[1]1401'!E42/((1+E$2)^E$1)</f>
        <v>0</v>
      </c>
      <c r="F42" s="1">
        <f>'[1]1401'!F42/((1+F$2)^F$1)</f>
        <v>0</v>
      </c>
      <c r="G42" s="1">
        <f>'[1]1401'!G42/((1+G$2)^G$1)</f>
        <v>0</v>
      </c>
      <c r="H42" s="1">
        <f>'[2]1401'!H42/((1+H$2)^H$1)</f>
        <v>37.132610409375452</v>
      </c>
      <c r="I42" s="1">
        <f>'[1]1401'!I42/((1+I$2)^I$1)</f>
        <v>37.751487249531706</v>
      </c>
      <c r="J42" s="1">
        <f>'[1]1401'!J42/((1+J$2)^J$1)</f>
        <v>38.380678703690563</v>
      </c>
      <c r="K42" s="1">
        <f>'[1]1401'!K42/((1+K$2)^K$1)</f>
        <v>39.020356682085414</v>
      </c>
      <c r="L42" s="1">
        <f>'[1]1401'!L42/((1+L$2)^L$1)</f>
        <v>39.670695960120156</v>
      </c>
      <c r="M42" s="1">
        <f>'[1]1401'!M42/((1+M$2)^M$1)</f>
        <v>40.331874226122153</v>
      </c>
      <c r="N42" s="1">
        <f>'[1]1401'!N42/((1+N$2)^N$1)</f>
        <v>41.004072129890865</v>
      </c>
      <c r="O42" s="4">
        <v>50</v>
      </c>
      <c r="P42" s="54" t="s">
        <v>23</v>
      </c>
      <c r="Q42" s="54">
        <v>1025</v>
      </c>
      <c r="R42" s="54"/>
      <c r="S42" s="54">
        <v>39</v>
      </c>
    </row>
    <row r="43" spans="1:19" ht="22.2" x14ac:dyDescent="0.3">
      <c r="A43" s="54"/>
      <c r="B43" s="6">
        <f t="shared" si="2"/>
        <v>273.2917753608163</v>
      </c>
      <c r="C43" s="1">
        <f>'[1]1401'!C43/((1+C$2)^C$1)</f>
        <v>0</v>
      </c>
      <c r="D43" s="1">
        <f>'[1]1401'!D43/((1+D$2)^D$1)</f>
        <v>0</v>
      </c>
      <c r="E43" s="1">
        <f>'[1]1401'!E43/((1+E$2)^E$1)</f>
        <v>0</v>
      </c>
      <c r="F43" s="1">
        <f>'[1]1401'!F43/((1+F$2)^F$1)</f>
        <v>0</v>
      </c>
      <c r="G43" s="1">
        <f>'[1]1401'!G43/((1+G$2)^G$1)</f>
        <v>0</v>
      </c>
      <c r="H43" s="1">
        <f>'[2]1401'!H43/((1+H$2)^H$1)</f>
        <v>37.132610409375452</v>
      </c>
      <c r="I43" s="1">
        <f>'[1]1401'!I43/((1+I$2)^I$1)</f>
        <v>37.751487249531706</v>
      </c>
      <c r="J43" s="1">
        <f>'[1]1401'!J43/((1+J$2)^J$1)</f>
        <v>38.380678703690563</v>
      </c>
      <c r="K43" s="1">
        <f>'[1]1401'!K43/((1+K$2)^K$1)</f>
        <v>39.020356682085414</v>
      </c>
      <c r="L43" s="1">
        <f>'[1]1401'!L43/((1+L$2)^L$1)</f>
        <v>39.670695960120156</v>
      </c>
      <c r="M43" s="1">
        <f>'[1]1401'!M43/((1+M$2)^M$1)</f>
        <v>40.331874226122153</v>
      </c>
      <c r="N43" s="1">
        <f>'[1]1401'!N43/((1+N$2)^N$1)</f>
        <v>41.004072129890865</v>
      </c>
      <c r="O43" s="4">
        <v>50</v>
      </c>
      <c r="P43" s="54" t="s">
        <v>37</v>
      </c>
      <c r="Q43" s="54">
        <v>1013</v>
      </c>
      <c r="R43" s="54"/>
      <c r="S43" s="54">
        <v>40</v>
      </c>
    </row>
    <row r="44" spans="1:19" ht="22.2" x14ac:dyDescent="0.3">
      <c r="A44" s="54"/>
      <c r="B44" s="6">
        <f t="shared" si="2"/>
        <v>546.58355072163261</v>
      </c>
      <c r="C44" s="1">
        <f>'[1]1401'!C44/((1+C$2)^C$1)</f>
        <v>0</v>
      </c>
      <c r="D44" s="1">
        <f>'[1]1401'!D44/((1+D$2)^D$1)</f>
        <v>0</v>
      </c>
      <c r="E44" s="1">
        <f>'[1]1401'!E44/((1+E$2)^E$1)</f>
        <v>0</v>
      </c>
      <c r="F44" s="1">
        <f>'[1]1401'!F44/((1+F$2)^F$1)</f>
        <v>0</v>
      </c>
      <c r="G44" s="1">
        <f>'[1]1401'!G44/((1+G$2)^G$1)</f>
        <v>0</v>
      </c>
      <c r="H44" s="1">
        <f>'[2]1401'!H44/((1+H$2)^H$1)</f>
        <v>74.265220818750905</v>
      </c>
      <c r="I44" s="1">
        <f>'[1]1401'!I44/((1+I$2)^I$1)</f>
        <v>75.502974499063413</v>
      </c>
      <c r="J44" s="1">
        <f>'[1]1401'!J44/((1+J$2)^J$1)</f>
        <v>76.761357407381126</v>
      </c>
      <c r="K44" s="1">
        <f>'[1]1401'!K44/((1+K$2)^K$1)</f>
        <v>78.040713364170827</v>
      </c>
      <c r="L44" s="1">
        <f>'[1]1401'!L44/((1+L$2)^L$1)</f>
        <v>79.341391920240312</v>
      </c>
      <c r="M44" s="1">
        <f>'[1]1401'!M44/((1+M$2)^M$1)</f>
        <v>80.663748452244306</v>
      </c>
      <c r="N44" s="1">
        <f>'[1]1401'!N44/((1+N$2)^N$1)</f>
        <v>82.00814425978173</v>
      </c>
      <c r="O44" s="4">
        <v>100</v>
      </c>
      <c r="P44" s="54" t="s">
        <v>41</v>
      </c>
      <c r="Q44" s="54">
        <v>1028</v>
      </c>
      <c r="R44" s="54"/>
      <c r="S44" s="54">
        <v>41</v>
      </c>
    </row>
    <row r="45" spans="1:19" ht="22.2" x14ac:dyDescent="0.3">
      <c r="A45" s="54"/>
      <c r="B45" s="6">
        <f t="shared" si="2"/>
        <v>0</v>
      </c>
      <c r="C45" s="1">
        <f>'[1]1401'!C45/((1+C$2)^C$1)</f>
        <v>0</v>
      </c>
      <c r="D45" s="1">
        <f>'[1]1401'!D45/((1+D$2)^D$1)</f>
        <v>0</v>
      </c>
      <c r="E45" s="1">
        <f>'[1]1401'!E45/((1+E$2)^E$1)</f>
        <v>0</v>
      </c>
      <c r="F45" s="1">
        <f>'[1]1401'!F45/((1+F$2)^F$1)</f>
        <v>0</v>
      </c>
      <c r="G45" s="1">
        <f>'[1]1401'!G45/((1+G$2)^G$1)</f>
        <v>0</v>
      </c>
      <c r="H45" s="1">
        <f>'[2]1401'!H45/((1+H$2)^H$1)</f>
        <v>0</v>
      </c>
      <c r="I45" s="1">
        <f>'[1]1401'!I45/((1+I$2)^I$1)</f>
        <v>0</v>
      </c>
      <c r="J45" s="1">
        <f>'[1]1401'!J45/((1+J$2)^J$1)</f>
        <v>0</v>
      </c>
      <c r="K45" s="1">
        <f>'[1]1401'!K45/((1+K$2)^K$1)</f>
        <v>0</v>
      </c>
      <c r="L45" s="1">
        <f>'[1]1401'!L45/((1+L$2)^L$1)</f>
        <v>0</v>
      </c>
      <c r="M45" s="1">
        <f>'[1]1401'!M45/((1+M$2)^M$1)</f>
        <v>0</v>
      </c>
      <c r="N45" s="1">
        <f>'[1]1401'!N45/((1+N$2)^N$1)</f>
        <v>0</v>
      </c>
      <c r="O45" s="4">
        <v>50</v>
      </c>
      <c r="P45" s="54" t="s">
        <v>35</v>
      </c>
      <c r="Q45" s="54">
        <v>1030</v>
      </c>
      <c r="R45" s="54"/>
      <c r="S45" s="54">
        <v>42</v>
      </c>
    </row>
    <row r="46" spans="1:19" ht="22.2" x14ac:dyDescent="0.3">
      <c r="A46" s="54"/>
      <c r="B46" s="6">
        <f t="shared" si="2"/>
        <v>0</v>
      </c>
      <c r="C46" s="1">
        <f>'[1]1401'!C46/((1+C$2)^C$1)</f>
        <v>0</v>
      </c>
      <c r="D46" s="1">
        <f>'[1]1401'!D46/((1+D$2)^D$1)</f>
        <v>0</v>
      </c>
      <c r="E46" s="1">
        <f>'[1]1401'!E46/((1+E$2)^E$1)</f>
        <v>0</v>
      </c>
      <c r="F46" s="1">
        <f>'[1]1401'!F46/((1+F$2)^F$1)</f>
        <v>0</v>
      </c>
      <c r="G46" s="1">
        <f>'[1]1401'!G46/((1+G$2)^G$1)</f>
        <v>0</v>
      </c>
      <c r="H46" s="1">
        <f>'[2]1401'!H46/((1+H$2)^H$1)</f>
        <v>0</v>
      </c>
      <c r="I46" s="1">
        <f>'[1]1401'!I46/((1+I$2)^I$1)</f>
        <v>0</v>
      </c>
      <c r="J46" s="1">
        <f>'[1]1401'!J46/((1+J$2)^J$1)</f>
        <v>0</v>
      </c>
      <c r="K46" s="1">
        <f>'[1]1401'!K46/((1+K$2)^K$1)</f>
        <v>0</v>
      </c>
      <c r="L46" s="1">
        <f>'[1]1401'!L46/((1+L$2)^L$1)</f>
        <v>0</v>
      </c>
      <c r="M46" s="1">
        <f>'[1]1401'!M46/((1+M$2)^M$1)</f>
        <v>0</v>
      </c>
      <c r="N46" s="1">
        <f>'[1]1401'!N46/((1+N$2)^N$1)</f>
        <v>0</v>
      </c>
      <c r="O46" s="4">
        <v>0</v>
      </c>
      <c r="P46" s="54" t="s">
        <v>116</v>
      </c>
      <c r="Q46" s="54">
        <v>1104</v>
      </c>
      <c r="R46" s="54"/>
      <c r="S46" s="54">
        <v>43</v>
      </c>
    </row>
    <row r="47" spans="1:19" ht="22.2" x14ac:dyDescent="0.3">
      <c r="A47" s="54"/>
      <c r="B47" s="6">
        <f t="shared" si="2"/>
        <v>819.87532608244896</v>
      </c>
      <c r="C47" s="1">
        <f>'[1]1401'!C47/((1+C$2)^C$1)</f>
        <v>0</v>
      </c>
      <c r="D47" s="1">
        <f>'[1]1401'!D47/((1+D$2)^D$1)</f>
        <v>0</v>
      </c>
      <c r="E47" s="1">
        <f>'[1]1401'!E47/((1+E$2)^E$1)</f>
        <v>0</v>
      </c>
      <c r="F47" s="1">
        <f>'[1]1401'!F47/((1+F$2)^F$1)</f>
        <v>0</v>
      </c>
      <c r="G47" s="1">
        <f>'[1]1401'!G47/((1+G$2)^G$1)</f>
        <v>0</v>
      </c>
      <c r="H47" s="1">
        <f>'[2]1401'!H47/((1+H$2)^H$1)</f>
        <v>111.39783122812635</v>
      </c>
      <c r="I47" s="1">
        <f>'[1]1401'!I47/((1+I$2)^I$1)</f>
        <v>113.25446174859512</v>
      </c>
      <c r="J47" s="1">
        <f>'[1]1401'!J47/((1+J$2)^J$1)</f>
        <v>115.1420361110717</v>
      </c>
      <c r="K47" s="1">
        <f>'[1]1401'!K47/((1+K$2)^K$1)</f>
        <v>117.06107004625623</v>
      </c>
      <c r="L47" s="1">
        <f>'[1]1401'!L47/((1+L$2)^L$1)</f>
        <v>119.01208788036045</v>
      </c>
      <c r="M47" s="1">
        <f>'[1]1401'!M47/((1+M$2)^M$1)</f>
        <v>120.99562267836647</v>
      </c>
      <c r="N47" s="1">
        <f>'[1]1401'!N47/((1+N$2)^N$1)</f>
        <v>123.01221638967259</v>
      </c>
      <c r="O47" s="4">
        <v>150</v>
      </c>
      <c r="P47" s="54" t="s">
        <v>63</v>
      </c>
      <c r="Q47" s="54">
        <v>1046</v>
      </c>
      <c r="R47" s="54" t="s">
        <v>93</v>
      </c>
      <c r="S47" s="54">
        <v>44</v>
      </c>
    </row>
    <row r="48" spans="1:19" ht="22.2" x14ac:dyDescent="0.3">
      <c r="A48" s="54"/>
      <c r="B48" s="6">
        <f t="shared" si="2"/>
        <v>819.87532608244896</v>
      </c>
      <c r="C48" s="1">
        <f>'[1]1401'!C48/((1+C$2)^C$1)</f>
        <v>0</v>
      </c>
      <c r="D48" s="1">
        <f>'[1]1401'!D48/((1+D$2)^D$1)</f>
        <v>0</v>
      </c>
      <c r="E48" s="1">
        <f>'[1]1401'!E48/((1+E$2)^E$1)</f>
        <v>0</v>
      </c>
      <c r="F48" s="1">
        <f>'[1]1401'!F48/((1+F$2)^F$1)</f>
        <v>0</v>
      </c>
      <c r="G48" s="1">
        <f>'[1]1401'!G48/((1+G$2)^G$1)</f>
        <v>0</v>
      </c>
      <c r="H48" s="1">
        <f>'[2]1401'!H48/((1+H$2)^H$1)</f>
        <v>111.39783122812635</v>
      </c>
      <c r="I48" s="1">
        <f>'[1]1401'!I48/((1+I$2)^I$1)</f>
        <v>113.25446174859512</v>
      </c>
      <c r="J48" s="1">
        <f>'[1]1401'!J48/((1+J$2)^J$1)</f>
        <v>115.1420361110717</v>
      </c>
      <c r="K48" s="1">
        <f>'[1]1401'!K48/((1+K$2)^K$1)</f>
        <v>117.06107004625623</v>
      </c>
      <c r="L48" s="1">
        <f>'[1]1401'!L48/((1+L$2)^L$1)</f>
        <v>119.01208788036045</v>
      </c>
      <c r="M48" s="1">
        <f>'[1]1401'!M48/((1+M$2)^M$1)</f>
        <v>120.99562267836647</v>
      </c>
      <c r="N48" s="1">
        <f>'[1]1401'!N48/((1+N$2)^N$1)</f>
        <v>123.01221638967259</v>
      </c>
      <c r="O48" s="4">
        <v>150</v>
      </c>
      <c r="P48" s="54" t="s">
        <v>77</v>
      </c>
      <c r="Q48" s="54">
        <v>1010</v>
      </c>
      <c r="R48" s="54" t="s">
        <v>93</v>
      </c>
      <c r="S48" s="54">
        <v>45</v>
      </c>
    </row>
    <row r="49" spans="1:19" ht="22.2" x14ac:dyDescent="0.3">
      <c r="A49" s="54"/>
      <c r="B49" s="6">
        <f t="shared" si="2"/>
        <v>0</v>
      </c>
      <c r="C49" s="1">
        <f>'[1]1401'!C49/((1+C$2)^C$1)</f>
        <v>0</v>
      </c>
      <c r="D49" s="1">
        <f>'[1]1401'!D49/((1+D$2)^D$1)</f>
        <v>0</v>
      </c>
      <c r="E49" s="1">
        <f>'[1]1401'!E49/((1+E$2)^E$1)</f>
        <v>0</v>
      </c>
      <c r="F49" s="1">
        <f>'[1]1401'!F49/((1+F$2)^F$1)</f>
        <v>0</v>
      </c>
      <c r="G49" s="1">
        <f>'[1]1401'!G49/((1+G$2)^G$1)</f>
        <v>0</v>
      </c>
      <c r="H49" s="1">
        <f>'[2]1401'!H49/((1+H$2)^H$1)</f>
        <v>0</v>
      </c>
      <c r="I49" s="1">
        <f>'[1]1401'!I49/((1+I$2)^I$1)</f>
        <v>0</v>
      </c>
      <c r="J49" s="1">
        <f>'[1]1401'!J49/((1+J$2)^J$1)</f>
        <v>0</v>
      </c>
      <c r="K49" s="1">
        <f>'[1]1401'!K49/((1+K$2)^K$1)</f>
        <v>0</v>
      </c>
      <c r="L49" s="1">
        <f>'[1]1401'!L49/((1+L$2)^L$1)</f>
        <v>0</v>
      </c>
      <c r="M49" s="1">
        <f>'[1]1401'!M49/((1+M$2)^M$1)</f>
        <v>0</v>
      </c>
      <c r="N49" s="1">
        <f>'[1]1401'!N49/((1+N$2)^N$1)</f>
        <v>0</v>
      </c>
      <c r="O49" s="4">
        <v>0</v>
      </c>
      <c r="P49" s="54" t="s">
        <v>86</v>
      </c>
      <c r="Q49" s="54">
        <v>1037</v>
      </c>
      <c r="R49" s="54"/>
      <c r="S49" s="54">
        <f t="shared" ref="S49:S107" si="3">S48+1</f>
        <v>46</v>
      </c>
    </row>
    <row r="50" spans="1:19" ht="22.2" x14ac:dyDescent="0.3">
      <c r="A50" s="54"/>
      <c r="B50" s="6">
        <f t="shared" si="2"/>
        <v>0</v>
      </c>
      <c r="C50" s="1">
        <f>'[1]1401'!C50/((1+C$2)^C$1)</f>
        <v>0</v>
      </c>
      <c r="D50" s="1">
        <f>'[1]1401'!D50/((1+D$2)^D$1)</f>
        <v>0</v>
      </c>
      <c r="E50" s="1">
        <f>'[1]1401'!E50/((1+E$2)^E$1)</f>
        <v>0</v>
      </c>
      <c r="F50" s="1">
        <f>'[1]1401'!F50/((1+F$2)^F$1)</f>
        <v>0</v>
      </c>
      <c r="G50" s="1">
        <f>'[1]1401'!G50/((1+G$2)^G$1)</f>
        <v>0</v>
      </c>
      <c r="H50" s="1">
        <f>'[2]1401'!H50/((1+H$2)^H$1)</f>
        <v>0</v>
      </c>
      <c r="I50" s="1">
        <f>'[1]1401'!I50/((1+I$2)^I$1)</f>
        <v>0</v>
      </c>
      <c r="J50" s="1">
        <f>'[1]1401'!J50/((1+J$2)^J$1)</f>
        <v>0</v>
      </c>
      <c r="K50" s="1">
        <f>'[1]1401'!K50/((1+K$2)^K$1)</f>
        <v>0</v>
      </c>
      <c r="L50" s="1">
        <f>'[1]1401'!L50/((1+L$2)^L$1)</f>
        <v>0</v>
      </c>
      <c r="M50" s="1">
        <f>'[1]1401'!M50/((1+M$2)^M$1)</f>
        <v>0</v>
      </c>
      <c r="N50" s="1">
        <f>'[1]1401'!N50/((1+N$2)^N$1)</f>
        <v>0</v>
      </c>
      <c r="O50" s="4">
        <v>0</v>
      </c>
      <c r="P50" s="54" t="s">
        <v>87</v>
      </c>
      <c r="Q50" s="54">
        <v>1081</v>
      </c>
      <c r="R50" s="54"/>
      <c r="S50" s="54">
        <f t="shared" si="3"/>
        <v>47</v>
      </c>
    </row>
    <row r="51" spans="1:19" ht="22.2" x14ac:dyDescent="0.3">
      <c r="A51" s="54"/>
      <c r="B51" s="6">
        <f t="shared" si="2"/>
        <v>273.2917753608163</v>
      </c>
      <c r="C51" s="1">
        <f>'[1]1401'!C51/((1+C$2)^C$1)</f>
        <v>0</v>
      </c>
      <c r="D51" s="1">
        <f>'[1]1401'!D51/((1+D$2)^D$1)</f>
        <v>0</v>
      </c>
      <c r="E51" s="1">
        <f>'[1]1401'!E51/((1+E$2)^E$1)</f>
        <v>0</v>
      </c>
      <c r="F51" s="1">
        <f>'[1]1401'!F51/((1+F$2)^F$1)</f>
        <v>0</v>
      </c>
      <c r="G51" s="1">
        <f>'[1]1401'!G51/((1+G$2)^G$1)</f>
        <v>0</v>
      </c>
      <c r="H51" s="1">
        <f>'[2]1401'!H51/((1+H$2)^H$1)</f>
        <v>37.132610409375452</v>
      </c>
      <c r="I51" s="1">
        <f>'[1]1401'!I51/((1+I$2)^I$1)</f>
        <v>37.751487249531706</v>
      </c>
      <c r="J51" s="1">
        <f>'[1]1401'!J51/((1+J$2)^J$1)</f>
        <v>38.380678703690563</v>
      </c>
      <c r="K51" s="1">
        <f>'[1]1401'!K51/((1+K$2)^K$1)</f>
        <v>39.020356682085414</v>
      </c>
      <c r="L51" s="1">
        <f>'[1]1401'!L51/((1+L$2)^L$1)</f>
        <v>39.670695960120156</v>
      </c>
      <c r="M51" s="1">
        <f>'[1]1401'!M51/((1+M$2)^M$1)</f>
        <v>40.331874226122153</v>
      </c>
      <c r="N51" s="1">
        <f>'[1]1401'!N51/((1+N$2)^N$1)</f>
        <v>41.004072129890865</v>
      </c>
      <c r="O51" s="4">
        <v>50</v>
      </c>
      <c r="P51" s="54" t="s">
        <v>90</v>
      </c>
      <c r="Q51" s="54">
        <v>1084</v>
      </c>
      <c r="R51" s="54" t="s">
        <v>93</v>
      </c>
      <c r="S51" s="54">
        <f t="shared" si="3"/>
        <v>48</v>
      </c>
    </row>
    <row r="52" spans="1:19" ht="22.2" x14ac:dyDescent="0.3">
      <c r="A52" s="54"/>
      <c r="B52" s="6">
        <f t="shared" si="2"/>
        <v>546.58355072163261</v>
      </c>
      <c r="C52" s="1">
        <f>'[1]1401'!C52/((1+C$2)^C$1)</f>
        <v>0</v>
      </c>
      <c r="D52" s="1">
        <f>'[1]1401'!D52/((1+D$2)^D$1)</f>
        <v>0</v>
      </c>
      <c r="E52" s="1">
        <f>'[1]1401'!E52/((1+E$2)^E$1)</f>
        <v>0</v>
      </c>
      <c r="F52" s="1">
        <f>'[1]1401'!F52/((1+F$2)^F$1)</f>
        <v>0</v>
      </c>
      <c r="G52" s="1">
        <f>'[1]1401'!G52/((1+G$2)^G$1)</f>
        <v>0</v>
      </c>
      <c r="H52" s="1">
        <f>'[2]1401'!H52/((1+H$2)^H$1)</f>
        <v>74.265220818750905</v>
      </c>
      <c r="I52" s="1">
        <f>'[1]1401'!I52/((1+I$2)^I$1)</f>
        <v>75.502974499063413</v>
      </c>
      <c r="J52" s="1">
        <f>'[1]1401'!J52/((1+J$2)^J$1)</f>
        <v>76.761357407381126</v>
      </c>
      <c r="K52" s="1">
        <f>'[1]1401'!K52/((1+K$2)^K$1)</f>
        <v>78.040713364170827</v>
      </c>
      <c r="L52" s="1">
        <f>'[1]1401'!L52/((1+L$2)^L$1)</f>
        <v>79.341391920240312</v>
      </c>
      <c r="M52" s="1">
        <f>'[1]1401'!M52/((1+M$2)^M$1)</f>
        <v>80.663748452244306</v>
      </c>
      <c r="N52" s="1">
        <f>'[1]1401'!N52/((1+N$2)^N$1)</f>
        <v>82.00814425978173</v>
      </c>
      <c r="O52" s="4">
        <v>100</v>
      </c>
      <c r="P52" s="54" t="s">
        <v>89</v>
      </c>
      <c r="Q52" s="54">
        <v>1082</v>
      </c>
      <c r="R52" s="54" t="s">
        <v>93</v>
      </c>
      <c r="S52" s="54">
        <f t="shared" si="3"/>
        <v>49</v>
      </c>
    </row>
    <row r="53" spans="1:19" ht="22.2" x14ac:dyDescent="0.3">
      <c r="A53" s="54"/>
      <c r="B53" s="6">
        <f t="shared" si="2"/>
        <v>273.2917753608163</v>
      </c>
      <c r="C53" s="1">
        <f>'[1]1401'!C53/((1+C$2)^C$1)</f>
        <v>0</v>
      </c>
      <c r="D53" s="1">
        <f>'[1]1401'!D53/((1+D$2)^D$1)</f>
        <v>0</v>
      </c>
      <c r="E53" s="1">
        <f>'[1]1401'!E53/((1+E$2)^E$1)</f>
        <v>0</v>
      </c>
      <c r="F53" s="1">
        <f>'[1]1401'!F53/((1+F$2)^F$1)</f>
        <v>0</v>
      </c>
      <c r="G53" s="1">
        <f>'[1]1401'!G53/((1+G$2)^G$1)</f>
        <v>0</v>
      </c>
      <c r="H53" s="1">
        <f>'[2]1401'!H53/((1+H$2)^H$1)</f>
        <v>37.132610409375452</v>
      </c>
      <c r="I53" s="1">
        <f>'[1]1401'!I53/((1+I$2)^I$1)</f>
        <v>37.751487249531706</v>
      </c>
      <c r="J53" s="1">
        <f>'[1]1401'!J53/((1+J$2)^J$1)</f>
        <v>38.380678703690563</v>
      </c>
      <c r="K53" s="1">
        <f>'[1]1401'!K53/((1+K$2)^K$1)</f>
        <v>39.020356682085414</v>
      </c>
      <c r="L53" s="1">
        <f>'[1]1401'!L53/((1+L$2)^L$1)</f>
        <v>39.670695960120156</v>
      </c>
      <c r="M53" s="1">
        <f>'[1]1401'!M53/((1+M$2)^M$1)</f>
        <v>40.331874226122153</v>
      </c>
      <c r="N53" s="1">
        <f>'[1]1401'!N53/((1+N$2)^N$1)</f>
        <v>41.004072129890865</v>
      </c>
      <c r="O53" s="4">
        <v>50</v>
      </c>
      <c r="P53" s="54" t="s">
        <v>115</v>
      </c>
      <c r="Q53" s="54">
        <v>1083</v>
      </c>
      <c r="R53" s="54" t="s">
        <v>93</v>
      </c>
      <c r="S53" s="54">
        <f t="shared" si="3"/>
        <v>50</v>
      </c>
    </row>
    <row r="54" spans="1:19" ht="22.2" x14ac:dyDescent="0.3">
      <c r="A54" s="54"/>
      <c r="B54" s="6">
        <f t="shared" si="2"/>
        <v>273.2917753608163</v>
      </c>
      <c r="C54" s="1">
        <f>'[1]1401'!C54/((1+C$2)^C$1)</f>
        <v>0</v>
      </c>
      <c r="D54" s="1">
        <f>'[1]1401'!D54/((1+D$2)^D$1)</f>
        <v>0</v>
      </c>
      <c r="E54" s="1">
        <f>'[1]1401'!E54/((1+E$2)^E$1)</f>
        <v>0</v>
      </c>
      <c r="F54" s="1">
        <f>'[1]1401'!F54/((1+F$2)^F$1)</f>
        <v>0</v>
      </c>
      <c r="G54" s="1">
        <f>'[1]1401'!G54/((1+G$2)^G$1)</f>
        <v>0</v>
      </c>
      <c r="H54" s="1">
        <f>'[2]1401'!H54/((1+H$2)^H$1)</f>
        <v>37.132610409375452</v>
      </c>
      <c r="I54" s="1">
        <f>'[1]1401'!I54/((1+I$2)^I$1)</f>
        <v>37.751487249531706</v>
      </c>
      <c r="J54" s="1">
        <f>'[1]1401'!J54/((1+J$2)^J$1)</f>
        <v>38.380678703690563</v>
      </c>
      <c r="K54" s="1">
        <f>'[1]1401'!K54/((1+K$2)^K$1)</f>
        <v>39.020356682085414</v>
      </c>
      <c r="L54" s="1">
        <f>'[1]1401'!L54/((1+L$2)^L$1)</f>
        <v>39.670695960120156</v>
      </c>
      <c r="M54" s="1">
        <f>'[1]1401'!M54/((1+M$2)^M$1)</f>
        <v>40.331874226122153</v>
      </c>
      <c r="N54" s="1">
        <f>'[1]1401'!N54/((1+N$2)^N$1)</f>
        <v>41.004072129890865</v>
      </c>
      <c r="O54" s="4">
        <v>50</v>
      </c>
      <c r="P54" s="54" t="s">
        <v>112</v>
      </c>
      <c r="Q54" s="54">
        <v>1102</v>
      </c>
      <c r="R54" s="54"/>
      <c r="S54" s="54">
        <f t="shared" si="3"/>
        <v>51</v>
      </c>
    </row>
    <row r="55" spans="1:19" ht="22.2" x14ac:dyDescent="0.3">
      <c r="A55" s="54"/>
      <c r="B55" s="6">
        <f t="shared" si="2"/>
        <v>612.67959725032085</v>
      </c>
      <c r="C55" s="1">
        <f>'[1]1401'!C55/((1+C$2)^C$1)</f>
        <v>0</v>
      </c>
      <c r="D55" s="1">
        <f>'[1]1401'!D55/((1+D$2)^D$1)</f>
        <v>0</v>
      </c>
      <c r="E55" s="1">
        <f>'[1]1401'!E55/((1+E$2)^E$1)</f>
        <v>0</v>
      </c>
      <c r="F55" s="1">
        <f>'[1]1401'!F55/((1+F$2)^F$1)</f>
        <v>0</v>
      </c>
      <c r="G55" s="1">
        <f>'[1]1401'!G55/((1+G$2)^G$1)</f>
        <v>0</v>
      </c>
      <c r="H55" s="1">
        <f>'[2]1401'!H55/((1+H$2)^H$1)</f>
        <v>140.3612673474392</v>
      </c>
      <c r="I55" s="1">
        <f>'[1]1401'!I55/((1+I$2)^I$1)</f>
        <v>75.502974499063413</v>
      </c>
      <c r="J55" s="1">
        <f>'[1]1401'!J55/((1+J$2)^J$1)</f>
        <v>76.761357407381126</v>
      </c>
      <c r="K55" s="1">
        <f>'[1]1401'!K55/((1+K$2)^K$1)</f>
        <v>78.040713364170827</v>
      </c>
      <c r="L55" s="1">
        <f>'[1]1401'!L55/((1+L$2)^L$1)</f>
        <v>79.341391920240312</v>
      </c>
      <c r="M55" s="1">
        <f>'[1]1401'!M55/((1+M$2)^M$1)</f>
        <v>80.663748452244306</v>
      </c>
      <c r="N55" s="1">
        <f>'[1]1401'!N55/((1+N$2)^N$1)</f>
        <v>82.00814425978173</v>
      </c>
      <c r="O55" s="4">
        <v>100</v>
      </c>
      <c r="P55" s="54" t="s">
        <v>97</v>
      </c>
      <c r="Q55" s="54">
        <v>1016</v>
      </c>
      <c r="R55" s="54"/>
      <c r="S55" s="54">
        <f t="shared" si="3"/>
        <v>52</v>
      </c>
    </row>
    <row r="56" spans="1:19" ht="22.2" x14ac:dyDescent="0.3">
      <c r="A56" s="54"/>
      <c r="B56" s="6">
        <f t="shared" si="2"/>
        <v>0</v>
      </c>
      <c r="C56" s="1">
        <f>'[1]1401'!C56/((1+C$2)^C$1)</f>
        <v>0</v>
      </c>
      <c r="D56" s="1">
        <f>'[1]1401'!D56/((1+D$2)^D$1)</f>
        <v>0</v>
      </c>
      <c r="E56" s="1">
        <f>'[1]1401'!E56/((1+E$2)^E$1)</f>
        <v>0</v>
      </c>
      <c r="F56" s="1">
        <f>'[1]1401'!F56/((1+F$2)^F$1)</f>
        <v>0</v>
      </c>
      <c r="G56" s="1">
        <f>'[1]1401'!G56/((1+G$2)^G$1)</f>
        <v>0</v>
      </c>
      <c r="H56" s="1">
        <f>'[2]1401'!H56/((1+H$2)^H$1)</f>
        <v>0</v>
      </c>
      <c r="I56" s="1">
        <f>'[1]1401'!I56/((1+I$2)^I$1)</f>
        <v>0</v>
      </c>
      <c r="J56" s="1">
        <f>'[1]1401'!J56/((1+J$2)^J$1)</f>
        <v>0</v>
      </c>
      <c r="K56" s="1">
        <f>'[1]1401'!K56/((1+K$2)^K$1)</f>
        <v>0</v>
      </c>
      <c r="L56" s="1">
        <f>'[1]1401'!L56/((1+L$2)^L$1)</f>
        <v>0</v>
      </c>
      <c r="M56" s="1">
        <f>'[1]1401'!M56/((1+M$2)^M$1)</f>
        <v>0</v>
      </c>
      <c r="N56" s="1">
        <f>'[1]1401'!N56/((1+N$2)^N$1)</f>
        <v>0</v>
      </c>
      <c r="O56" s="4">
        <v>50</v>
      </c>
      <c r="P56" s="54" t="s">
        <v>44</v>
      </c>
      <c r="Q56" s="54">
        <v>1014</v>
      </c>
      <c r="R56" s="54" t="s">
        <v>93</v>
      </c>
      <c r="S56" s="54">
        <f t="shared" si="3"/>
        <v>53</v>
      </c>
    </row>
    <row r="57" spans="1:19" ht="22.2" x14ac:dyDescent="0.3">
      <c r="A57" s="54"/>
      <c r="B57" s="6">
        <f t="shared" si="2"/>
        <v>633.33282712434527</v>
      </c>
      <c r="C57" s="1">
        <f>'[1]1401'!C57/((1+C$2)^C$1)</f>
        <v>0</v>
      </c>
      <c r="D57" s="1">
        <f>'[1]1401'!D57/((1+D$2)^D$1)</f>
        <v>0</v>
      </c>
      <c r="E57" s="1">
        <f>'[1]1401'!E57/((1+E$2)^E$1)</f>
        <v>0</v>
      </c>
      <c r="F57" s="1">
        <f>'[1]1401'!F57/((1+F$2)^F$1)</f>
        <v>0</v>
      </c>
      <c r="G57" s="1">
        <f>'[1]1401'!G57/((1+G$2)^G$1)</f>
        <v>0</v>
      </c>
      <c r="H57" s="1">
        <f>'[2]1401'!H57/((1+H$2)^H$1)</f>
        <v>222.7956624562527</v>
      </c>
      <c r="I57" s="1">
        <f>'[1]1401'!I57/((1+I$2)^I$1)</f>
        <v>37.751487249531706</v>
      </c>
      <c r="J57" s="1">
        <f>'[1]1401'!J57/((1+J$2)^J$1)</f>
        <v>38.380678703690563</v>
      </c>
      <c r="K57" s="1">
        <f>'[1]1401'!K57/((1+K$2)^K$1)</f>
        <v>50.726463686711035</v>
      </c>
      <c r="L57" s="1">
        <f>'[1]1401'!L57/((1+L$2)^L$1)</f>
        <v>39.670695960120156</v>
      </c>
      <c r="M57" s="1">
        <f>'[1]1401'!M57/((1+M$2)^M$1)</f>
        <v>120.99562267836647</v>
      </c>
      <c r="N57" s="1">
        <f>'[1]1401'!N57/((1+N$2)^N$1)</f>
        <v>123.01221638967259</v>
      </c>
      <c r="O57" s="4">
        <v>50</v>
      </c>
      <c r="P57" s="54" t="s">
        <v>22</v>
      </c>
      <c r="Q57" s="54">
        <v>1015</v>
      </c>
      <c r="R57" s="54" t="s">
        <v>93</v>
      </c>
      <c r="S57" s="54">
        <f t="shared" si="3"/>
        <v>54</v>
      </c>
    </row>
    <row r="58" spans="1:19" ht="22.2" x14ac:dyDescent="0.3">
      <c r="A58" s="54"/>
      <c r="B58" s="6">
        <f t="shared" si="2"/>
        <v>226.52955272519546</v>
      </c>
      <c r="C58" s="1">
        <f>'[1]1401'!C58/((1+C$2)^C$1)</f>
        <v>0</v>
      </c>
      <c r="D58" s="1">
        <f>'[1]1401'!D58/((1+D$2)^D$1)</f>
        <v>0</v>
      </c>
      <c r="E58" s="1">
        <f>'[1]1401'!E58/((1+E$2)^E$1)</f>
        <v>0</v>
      </c>
      <c r="F58" s="1">
        <f>'[1]1401'!F58/((1+F$2)^F$1)</f>
        <v>0</v>
      </c>
      <c r="G58" s="1">
        <f>'[1]1401'!G58/((1+G$2)^G$1)</f>
        <v>0</v>
      </c>
      <c r="H58" s="1">
        <f>'[2]1401'!H58/((1+H$2)^H$1)</f>
        <v>74.265220818750905</v>
      </c>
      <c r="I58" s="1">
        <f>'[1]1401'!I58/((1+I$2)^I$1)</f>
        <v>75.502974499063413</v>
      </c>
      <c r="J58" s="1">
        <f>'[1]1401'!J58/((1+J$2)^J$1)</f>
        <v>76.761357407381126</v>
      </c>
      <c r="K58" s="1">
        <f>'[1]1401'!K58/((1+K$2)^K$1)</f>
        <v>0</v>
      </c>
      <c r="L58" s="1">
        <f>'[1]1401'!L58/((1+L$2)^L$1)</f>
        <v>0</v>
      </c>
      <c r="M58" s="1">
        <f>'[1]1401'!M58/((1+M$2)^M$1)</f>
        <v>0</v>
      </c>
      <c r="N58" s="1">
        <f>'[1]1401'!N58/((1+N$2)^N$1)</f>
        <v>0</v>
      </c>
      <c r="O58" s="4">
        <v>50</v>
      </c>
      <c r="P58" s="54" t="s">
        <v>43</v>
      </c>
      <c r="Q58" s="54">
        <v>1038</v>
      </c>
      <c r="R58" s="54" t="s">
        <v>93</v>
      </c>
      <c r="S58" s="54">
        <f t="shared" si="3"/>
        <v>55</v>
      </c>
    </row>
    <row r="59" spans="1:19" ht="22.2" x14ac:dyDescent="0.3">
      <c r="A59" s="54"/>
      <c r="B59" s="6">
        <f t="shared" si="2"/>
        <v>4802.4540390871489</v>
      </c>
      <c r="C59" s="1">
        <f>'[1]1401'!C59/((1+C$2)^C$1)</f>
        <v>0</v>
      </c>
      <c r="D59" s="1">
        <f>'[1]1401'!D59/((1+D$2)^D$1)</f>
        <v>0</v>
      </c>
      <c r="E59" s="1">
        <f>'[1]1401'!E59/((1+E$2)^E$1)</f>
        <v>0</v>
      </c>
      <c r="F59" s="1">
        <f>'[1]1401'!F59/((1+F$2)^F$1)</f>
        <v>0</v>
      </c>
      <c r="G59" s="1">
        <f>'[1]1401'!G59/((1+G$2)^G$1)</f>
        <v>0</v>
      </c>
      <c r="H59" s="1">
        <f>'[2]1401'!H59/((1+H$2)^H$1)</f>
        <v>628.28376812663259</v>
      </c>
      <c r="I59" s="1">
        <f>'[1]1401'!I59/((1+I$2)^I$1)</f>
        <v>634.22498579213266</v>
      </c>
      <c r="J59" s="1">
        <f>'[1]1401'!J59/((1+J$2)^J$1)</f>
        <v>836.69879574045433</v>
      </c>
      <c r="K59" s="1">
        <f>'[1]1401'!K59/((1+K$2)^K$1)</f>
        <v>624.32570691336662</v>
      </c>
      <c r="L59" s="1">
        <f>'[1]1401'!L59/((1+L$2)^L$1)</f>
        <v>777.54564081835497</v>
      </c>
      <c r="M59" s="1">
        <f>'[1]1401'!M59/((1+M$2)^M$1)</f>
        <v>645.30998761795445</v>
      </c>
      <c r="N59" s="1">
        <f>'[1]1401'!N59/((1+N$2)^N$1)</f>
        <v>656.06515407825384</v>
      </c>
      <c r="O59" s="4">
        <v>750</v>
      </c>
      <c r="P59" s="54" t="s">
        <v>0</v>
      </c>
      <c r="Q59" s="54">
        <v>1049</v>
      </c>
      <c r="R59" s="54" t="s">
        <v>93</v>
      </c>
      <c r="S59" s="54">
        <f t="shared" si="3"/>
        <v>56</v>
      </c>
    </row>
    <row r="60" spans="1:19" ht="22.2" x14ac:dyDescent="0.3">
      <c r="A60" s="54"/>
      <c r="B60" s="6">
        <f t="shared" si="2"/>
        <v>2186.3342028865304</v>
      </c>
      <c r="C60" s="1">
        <f>'[1]1401'!C60/((1+C$2)^C$1)</f>
        <v>0</v>
      </c>
      <c r="D60" s="1">
        <f>'[1]1401'!D60/((1+D$2)^D$1)</f>
        <v>0</v>
      </c>
      <c r="E60" s="1">
        <f>'[1]1401'!E60/((1+E$2)^E$1)</f>
        <v>0</v>
      </c>
      <c r="F60" s="1">
        <f>'[1]1401'!F60/((1+F$2)^F$1)</f>
        <v>0</v>
      </c>
      <c r="G60" s="1">
        <f>'[1]1401'!G60/((1+G$2)^G$1)</f>
        <v>0</v>
      </c>
      <c r="H60" s="1">
        <f>'[2]1401'!H60/((1+H$2)^H$1)</f>
        <v>297.06088327500362</v>
      </c>
      <c r="I60" s="1">
        <f>'[1]1401'!I60/((1+I$2)^I$1)</f>
        <v>302.01189799625365</v>
      </c>
      <c r="J60" s="1">
        <f>'[1]1401'!J60/((1+J$2)^J$1)</f>
        <v>307.04542962952451</v>
      </c>
      <c r="K60" s="1">
        <f>'[1]1401'!K60/((1+K$2)^K$1)</f>
        <v>312.16285345668331</v>
      </c>
      <c r="L60" s="1">
        <f>'[1]1401'!L60/((1+L$2)^L$1)</f>
        <v>317.36556768096125</v>
      </c>
      <c r="M60" s="1">
        <f>'[1]1401'!M60/((1+M$2)^M$1)</f>
        <v>322.65499380897722</v>
      </c>
      <c r="N60" s="1">
        <f>'[1]1401'!N60/((1+N$2)^N$1)</f>
        <v>328.03257703912692</v>
      </c>
      <c r="O60" s="4">
        <v>400</v>
      </c>
      <c r="P60" s="54" t="s">
        <v>2</v>
      </c>
      <c r="Q60" s="54">
        <v>1039</v>
      </c>
      <c r="R60" s="54" t="s">
        <v>93</v>
      </c>
      <c r="S60" s="54">
        <f t="shared" si="3"/>
        <v>57</v>
      </c>
    </row>
    <row r="61" spans="1:19" ht="22.2" x14ac:dyDescent="0.3">
      <c r="A61" s="54"/>
      <c r="B61" s="6">
        <f t="shared" si="2"/>
        <v>1639.7506521648979</v>
      </c>
      <c r="C61" s="1">
        <f>'[1]1401'!C61/((1+C$2)^C$1)</f>
        <v>0</v>
      </c>
      <c r="D61" s="1">
        <f>'[1]1401'!D61/((1+D$2)^D$1)</f>
        <v>0</v>
      </c>
      <c r="E61" s="1">
        <f>'[1]1401'!E61/((1+E$2)^E$1)</f>
        <v>0</v>
      </c>
      <c r="F61" s="1">
        <f>'[1]1401'!F61/((1+F$2)^F$1)</f>
        <v>0</v>
      </c>
      <c r="G61" s="1">
        <f>'[1]1401'!G61/((1+G$2)^G$1)</f>
        <v>0</v>
      </c>
      <c r="H61" s="1">
        <f>'[2]1401'!H61/((1+H$2)^H$1)</f>
        <v>222.7956624562527</v>
      </c>
      <c r="I61" s="1">
        <f>'[1]1401'!I61/((1+I$2)^I$1)</f>
        <v>226.50892349719024</v>
      </c>
      <c r="J61" s="1">
        <f>'[1]1401'!J61/((1+J$2)^J$1)</f>
        <v>230.28407222214341</v>
      </c>
      <c r="K61" s="1">
        <f>'[1]1401'!K61/((1+K$2)^K$1)</f>
        <v>234.12214009251247</v>
      </c>
      <c r="L61" s="1">
        <f>'[1]1401'!L61/((1+L$2)^L$1)</f>
        <v>238.02417576072091</v>
      </c>
      <c r="M61" s="1">
        <f>'[1]1401'!M61/((1+M$2)^M$1)</f>
        <v>241.99124535673295</v>
      </c>
      <c r="N61" s="1">
        <f>'[1]1401'!N61/((1+N$2)^N$1)</f>
        <v>246.02443277934518</v>
      </c>
      <c r="O61" s="4">
        <v>300</v>
      </c>
      <c r="P61" s="54" t="s">
        <v>1</v>
      </c>
      <c r="Q61" s="54">
        <v>1063</v>
      </c>
      <c r="R61" s="54" t="s">
        <v>93</v>
      </c>
      <c r="S61" s="54">
        <f t="shared" si="3"/>
        <v>58</v>
      </c>
    </row>
    <row r="62" spans="1:19" ht="22.2" x14ac:dyDescent="0.3">
      <c r="A62" s="54"/>
      <c r="B62" s="6">
        <f t="shared" si="2"/>
        <v>1639.7506521648979</v>
      </c>
      <c r="C62" s="1">
        <f>'[1]1401'!C62/((1+C$2)^C$1)</f>
        <v>0</v>
      </c>
      <c r="D62" s="1">
        <f>'[1]1401'!D62/((1+D$2)^D$1)</f>
        <v>0</v>
      </c>
      <c r="E62" s="1">
        <f>'[1]1401'!E62/((1+E$2)^E$1)</f>
        <v>0</v>
      </c>
      <c r="F62" s="1">
        <f>'[1]1401'!F62/((1+F$2)^F$1)</f>
        <v>0</v>
      </c>
      <c r="G62" s="1">
        <f>'[1]1401'!G62/((1+G$2)^G$1)</f>
        <v>0</v>
      </c>
      <c r="H62" s="1">
        <f>'[2]1401'!H62/((1+H$2)^H$1)</f>
        <v>222.7956624562527</v>
      </c>
      <c r="I62" s="1">
        <f>'[1]1401'!I62/((1+I$2)^I$1)</f>
        <v>226.50892349719024</v>
      </c>
      <c r="J62" s="1">
        <f>'[1]1401'!J62/((1+J$2)^J$1)</f>
        <v>230.28407222214341</v>
      </c>
      <c r="K62" s="1">
        <f>'[1]1401'!K62/((1+K$2)^K$1)</f>
        <v>234.12214009251247</v>
      </c>
      <c r="L62" s="1">
        <f>'[1]1401'!L62/((1+L$2)^L$1)</f>
        <v>238.02417576072091</v>
      </c>
      <c r="M62" s="1">
        <f>'[1]1401'!M62/((1+M$2)^M$1)</f>
        <v>241.99124535673295</v>
      </c>
      <c r="N62" s="1">
        <f>'[1]1401'!N62/((1+N$2)^N$1)</f>
        <v>246.02443277934518</v>
      </c>
      <c r="O62" s="4">
        <v>300</v>
      </c>
      <c r="P62" s="54" t="s">
        <v>3</v>
      </c>
      <c r="Q62" s="54">
        <v>1041</v>
      </c>
      <c r="R62" s="54" t="s">
        <v>93</v>
      </c>
      <c r="S62" s="54">
        <f t="shared" si="3"/>
        <v>59</v>
      </c>
    </row>
    <row r="63" spans="1:19" ht="22.2" x14ac:dyDescent="0.3">
      <c r="A63" s="54"/>
      <c r="B63" s="6">
        <f t="shared" si="2"/>
        <v>819.87532608244896</v>
      </c>
      <c r="C63" s="1">
        <f>'[1]1401'!C63/((1+C$2)^C$1)</f>
        <v>0</v>
      </c>
      <c r="D63" s="1">
        <f>'[1]1401'!D63/((1+D$2)^D$1)</f>
        <v>0</v>
      </c>
      <c r="E63" s="1">
        <f>'[1]1401'!E63/((1+E$2)^E$1)</f>
        <v>0</v>
      </c>
      <c r="F63" s="1">
        <f>'[1]1401'!F63/((1+F$2)^F$1)</f>
        <v>0</v>
      </c>
      <c r="G63" s="1">
        <f>'[1]1401'!G63/((1+G$2)^G$1)</f>
        <v>0</v>
      </c>
      <c r="H63" s="1">
        <f>'[2]1401'!H63/((1+H$2)^H$1)</f>
        <v>111.39783122812635</v>
      </c>
      <c r="I63" s="1">
        <f>'[1]1401'!I63/((1+I$2)^I$1)</f>
        <v>113.25446174859512</v>
      </c>
      <c r="J63" s="1">
        <f>'[1]1401'!J63/((1+J$2)^J$1)</f>
        <v>115.1420361110717</v>
      </c>
      <c r="K63" s="1">
        <f>'[1]1401'!K63/((1+K$2)^K$1)</f>
        <v>117.06107004625623</v>
      </c>
      <c r="L63" s="1">
        <f>'[1]1401'!L63/((1+L$2)^L$1)</f>
        <v>119.01208788036045</v>
      </c>
      <c r="M63" s="1">
        <f>'[1]1401'!M63/((1+M$2)^M$1)</f>
        <v>120.99562267836647</v>
      </c>
      <c r="N63" s="1">
        <f>'[1]1401'!N63/((1+N$2)^N$1)</f>
        <v>123.01221638967259</v>
      </c>
      <c r="O63" s="4">
        <v>150</v>
      </c>
      <c r="P63" s="54" t="s">
        <v>82</v>
      </c>
      <c r="Q63" s="54">
        <v>1053</v>
      </c>
      <c r="R63" s="54" t="s">
        <v>93</v>
      </c>
      <c r="S63" s="54">
        <f t="shared" si="3"/>
        <v>60</v>
      </c>
    </row>
    <row r="64" spans="1:19" ht="22.2" x14ac:dyDescent="0.3">
      <c r="A64" s="54"/>
      <c r="B64" s="6">
        <f t="shared" si="2"/>
        <v>819.87532608244896</v>
      </c>
      <c r="C64" s="1">
        <f>'[1]1401'!C64/((1+C$2)^C$1)</f>
        <v>0</v>
      </c>
      <c r="D64" s="1">
        <f>'[1]1401'!D64/((1+D$2)^D$1)</f>
        <v>0</v>
      </c>
      <c r="E64" s="1">
        <f>'[1]1401'!E64/((1+E$2)^E$1)</f>
        <v>0</v>
      </c>
      <c r="F64" s="1">
        <f>'[1]1401'!F64/((1+F$2)^F$1)</f>
        <v>0</v>
      </c>
      <c r="G64" s="1">
        <f>'[1]1401'!G64/((1+G$2)^G$1)</f>
        <v>0</v>
      </c>
      <c r="H64" s="1">
        <f>'[2]1401'!H64/((1+H$2)^H$1)</f>
        <v>111.39783122812635</v>
      </c>
      <c r="I64" s="1">
        <f>'[1]1401'!I64/((1+I$2)^I$1)</f>
        <v>113.25446174859512</v>
      </c>
      <c r="J64" s="1">
        <f>'[1]1401'!J64/((1+J$2)^J$1)</f>
        <v>115.1420361110717</v>
      </c>
      <c r="K64" s="1">
        <f>'[1]1401'!K64/((1+K$2)^K$1)</f>
        <v>117.06107004625623</v>
      </c>
      <c r="L64" s="1">
        <f>'[1]1401'!L64/((1+L$2)^L$1)</f>
        <v>119.01208788036045</v>
      </c>
      <c r="M64" s="1">
        <f>'[1]1401'!M64/((1+M$2)^M$1)</f>
        <v>120.99562267836647</v>
      </c>
      <c r="N64" s="1">
        <f>'[1]1401'!N64/((1+N$2)^N$1)</f>
        <v>123.01221638967259</v>
      </c>
      <c r="O64" s="4">
        <v>150</v>
      </c>
      <c r="P64" s="54" t="s">
        <v>67</v>
      </c>
      <c r="Q64" s="54">
        <v>1054</v>
      </c>
      <c r="R64" s="54" t="s">
        <v>93</v>
      </c>
      <c r="S64" s="54">
        <f t="shared" si="3"/>
        <v>61</v>
      </c>
    </row>
    <row r="65" spans="1:19" ht="22.2" x14ac:dyDescent="0.3">
      <c r="A65" s="54"/>
      <c r="B65" s="6">
        <f t="shared" si="2"/>
        <v>819.87532608244896</v>
      </c>
      <c r="C65" s="1">
        <f>'[1]1401'!C65/((1+C$2)^C$1)</f>
        <v>0</v>
      </c>
      <c r="D65" s="1">
        <f>'[1]1401'!D65/((1+D$2)^D$1)</f>
        <v>0</v>
      </c>
      <c r="E65" s="1">
        <f>'[1]1401'!E65/((1+E$2)^E$1)</f>
        <v>0</v>
      </c>
      <c r="F65" s="1">
        <f>'[1]1401'!F65/((1+F$2)^F$1)</f>
        <v>0</v>
      </c>
      <c r="G65" s="1">
        <f>'[1]1401'!G65/((1+G$2)^G$1)</f>
        <v>0</v>
      </c>
      <c r="H65" s="1">
        <f>'[2]1401'!H65/((1+H$2)^H$1)</f>
        <v>111.39783122812635</v>
      </c>
      <c r="I65" s="1">
        <f>'[1]1401'!I65/((1+I$2)^I$1)</f>
        <v>113.25446174859512</v>
      </c>
      <c r="J65" s="1">
        <f>'[1]1401'!J65/((1+J$2)^J$1)</f>
        <v>115.1420361110717</v>
      </c>
      <c r="K65" s="1">
        <f>'[1]1401'!K65/((1+K$2)^K$1)</f>
        <v>117.06107004625623</v>
      </c>
      <c r="L65" s="1">
        <f>'[1]1401'!L65/((1+L$2)^L$1)</f>
        <v>119.01208788036045</v>
      </c>
      <c r="M65" s="1">
        <f>'[1]1401'!M65/((1+M$2)^M$1)</f>
        <v>120.99562267836647</v>
      </c>
      <c r="N65" s="1">
        <f>'[1]1401'!N65/((1+N$2)^N$1)</f>
        <v>123.01221638967259</v>
      </c>
      <c r="O65" s="4">
        <v>150</v>
      </c>
      <c r="P65" s="54" t="s">
        <v>83</v>
      </c>
      <c r="Q65" s="54">
        <v>1079</v>
      </c>
      <c r="R65" s="54" t="s">
        <v>93</v>
      </c>
      <c r="S65" s="54">
        <f t="shared" si="3"/>
        <v>62</v>
      </c>
    </row>
    <row r="66" spans="1:19" ht="22.2" x14ac:dyDescent="0.3">
      <c r="A66" s="54"/>
      <c r="B66" s="6">
        <f t="shared" si="2"/>
        <v>409.93766304122448</v>
      </c>
      <c r="C66" s="1">
        <f>'[1]1401'!C66/((1+C$2)^C$1)</f>
        <v>0</v>
      </c>
      <c r="D66" s="1">
        <f>'[1]1401'!D66/((1+D$2)^D$1)</f>
        <v>0</v>
      </c>
      <c r="E66" s="1">
        <f>'[1]1401'!E66/((1+E$2)^E$1)</f>
        <v>0</v>
      </c>
      <c r="F66" s="1">
        <f>'[1]1401'!F66/((1+F$2)^F$1)</f>
        <v>0</v>
      </c>
      <c r="G66" s="1">
        <f>'[1]1401'!G66/((1+G$2)^G$1)</f>
        <v>0</v>
      </c>
      <c r="H66" s="1">
        <f>'[2]1401'!H66/((1+H$2)^H$1)</f>
        <v>55.698915614063175</v>
      </c>
      <c r="I66" s="1">
        <f>'[1]1401'!I66/((1+I$2)^I$1)</f>
        <v>56.62723087429756</v>
      </c>
      <c r="J66" s="1">
        <f>'[1]1401'!J66/((1+J$2)^J$1)</f>
        <v>57.571018055535852</v>
      </c>
      <c r="K66" s="1">
        <f>'[1]1401'!K66/((1+K$2)^K$1)</f>
        <v>58.530535023128117</v>
      </c>
      <c r="L66" s="1">
        <f>'[1]1401'!L66/((1+L$2)^L$1)</f>
        <v>59.506043940180227</v>
      </c>
      <c r="M66" s="1">
        <f>'[1]1401'!M66/((1+M$2)^M$1)</f>
        <v>60.497811339183237</v>
      </c>
      <c r="N66" s="1">
        <f>'[1]1401'!N66/((1+N$2)^N$1)</f>
        <v>61.506108194836294</v>
      </c>
      <c r="O66" s="4">
        <v>75</v>
      </c>
      <c r="P66" s="54" t="s">
        <v>26</v>
      </c>
      <c r="Q66" s="54">
        <v>1042</v>
      </c>
      <c r="R66" s="54" t="s">
        <v>93</v>
      </c>
      <c r="S66" s="54">
        <f t="shared" si="3"/>
        <v>63</v>
      </c>
    </row>
    <row r="67" spans="1:19" ht="22.2" x14ac:dyDescent="0.3">
      <c r="A67" s="54"/>
      <c r="B67" s="6">
        <f t="shared" si="2"/>
        <v>409.93766304122448</v>
      </c>
      <c r="C67" s="1">
        <f>'[1]1401'!C67/((1+C$2)^C$1)</f>
        <v>0</v>
      </c>
      <c r="D67" s="1">
        <f>'[1]1401'!D67/((1+D$2)^D$1)</f>
        <v>0</v>
      </c>
      <c r="E67" s="1">
        <f>'[1]1401'!E67/((1+E$2)^E$1)</f>
        <v>0</v>
      </c>
      <c r="F67" s="1">
        <f>'[1]1401'!F67/((1+F$2)^F$1)</f>
        <v>0</v>
      </c>
      <c r="G67" s="1">
        <f>'[1]1401'!G67/((1+G$2)^G$1)</f>
        <v>0</v>
      </c>
      <c r="H67" s="1">
        <f>'[2]1401'!H67/((1+H$2)^H$1)</f>
        <v>55.698915614063175</v>
      </c>
      <c r="I67" s="1">
        <f>'[1]1401'!I67/((1+I$2)^I$1)</f>
        <v>56.62723087429756</v>
      </c>
      <c r="J67" s="1">
        <f>'[1]1401'!J67/((1+J$2)^J$1)</f>
        <v>57.571018055535852</v>
      </c>
      <c r="K67" s="1">
        <f>'[1]1401'!K67/((1+K$2)^K$1)</f>
        <v>58.530535023128117</v>
      </c>
      <c r="L67" s="1">
        <f>'[1]1401'!L67/((1+L$2)^L$1)</f>
        <v>59.506043940180227</v>
      </c>
      <c r="M67" s="1">
        <f>'[1]1401'!M67/((1+M$2)^M$1)</f>
        <v>60.497811339183237</v>
      </c>
      <c r="N67" s="1">
        <f>'[1]1401'!N67/((1+N$2)^N$1)</f>
        <v>61.506108194836294</v>
      </c>
      <c r="O67" s="4">
        <v>75</v>
      </c>
      <c r="P67" s="54" t="s">
        <v>68</v>
      </c>
      <c r="Q67" s="54">
        <v>1064</v>
      </c>
      <c r="R67" s="54" t="s">
        <v>93</v>
      </c>
      <c r="S67" s="54">
        <f t="shared" si="3"/>
        <v>64</v>
      </c>
    </row>
    <row r="68" spans="1:19" ht="22.2" x14ac:dyDescent="0.3">
      <c r="A68" s="54"/>
      <c r="B68" s="6">
        <f t="shared" ref="B68:B126" si="4">SUM(C68:N68)</f>
        <v>409.93766304122448</v>
      </c>
      <c r="C68" s="1">
        <f>'[1]1401'!C68/((1+C$2)^C$1)</f>
        <v>0</v>
      </c>
      <c r="D68" s="1">
        <f>'[1]1401'!D68/((1+D$2)^D$1)</f>
        <v>0</v>
      </c>
      <c r="E68" s="1">
        <f>'[1]1401'!E68/((1+E$2)^E$1)</f>
        <v>0</v>
      </c>
      <c r="F68" s="1">
        <f>'[1]1401'!F68/((1+F$2)^F$1)</f>
        <v>0</v>
      </c>
      <c r="G68" s="1">
        <f>'[1]1401'!G68/((1+G$2)^G$1)</f>
        <v>0</v>
      </c>
      <c r="H68" s="1">
        <f>'[2]1401'!H68/((1+H$2)^H$1)</f>
        <v>55.698915614063175</v>
      </c>
      <c r="I68" s="1">
        <f>'[1]1401'!I68/((1+I$2)^I$1)</f>
        <v>56.62723087429756</v>
      </c>
      <c r="J68" s="1">
        <f>'[1]1401'!J68/((1+J$2)^J$1)</f>
        <v>57.571018055535852</v>
      </c>
      <c r="K68" s="1">
        <f>'[1]1401'!K68/((1+K$2)^K$1)</f>
        <v>58.530535023128117</v>
      </c>
      <c r="L68" s="1">
        <f>'[1]1401'!L68/((1+L$2)^L$1)</f>
        <v>59.506043940180227</v>
      </c>
      <c r="M68" s="1">
        <f>'[1]1401'!M68/((1+M$2)^M$1)</f>
        <v>60.497811339183237</v>
      </c>
      <c r="N68" s="1">
        <f>'[1]1401'!N68/((1+N$2)^N$1)</f>
        <v>61.506108194836294</v>
      </c>
      <c r="O68" s="4">
        <v>75</v>
      </c>
      <c r="P68" s="54" t="s">
        <v>69</v>
      </c>
      <c r="Q68" s="54">
        <v>1065</v>
      </c>
      <c r="R68" s="54" t="s">
        <v>93</v>
      </c>
      <c r="S68" s="54">
        <f t="shared" si="3"/>
        <v>65</v>
      </c>
    </row>
    <row r="69" spans="1:19" ht="22.2" x14ac:dyDescent="0.3">
      <c r="A69" s="54"/>
      <c r="B69" s="6">
        <f t="shared" si="4"/>
        <v>409.93766304122448</v>
      </c>
      <c r="C69" s="1">
        <f>'[1]1401'!C69/((1+C$2)^C$1)</f>
        <v>0</v>
      </c>
      <c r="D69" s="1">
        <f>'[1]1401'!D69/((1+D$2)^D$1)</f>
        <v>0</v>
      </c>
      <c r="E69" s="1">
        <f>'[1]1401'!E69/((1+E$2)^E$1)</f>
        <v>0</v>
      </c>
      <c r="F69" s="1">
        <f>'[1]1401'!F69/((1+F$2)^F$1)</f>
        <v>0</v>
      </c>
      <c r="G69" s="1">
        <f>'[1]1401'!G69/((1+G$2)^G$1)</f>
        <v>0</v>
      </c>
      <c r="H69" s="1">
        <f>'[2]1401'!H69/((1+H$2)^H$1)</f>
        <v>55.698915614063175</v>
      </c>
      <c r="I69" s="1">
        <f>'[1]1401'!I69/((1+I$2)^I$1)</f>
        <v>56.62723087429756</v>
      </c>
      <c r="J69" s="1">
        <f>'[1]1401'!J69/((1+J$2)^J$1)</f>
        <v>57.571018055535852</v>
      </c>
      <c r="K69" s="1">
        <f>'[1]1401'!K69/((1+K$2)^K$1)</f>
        <v>58.530535023128117</v>
      </c>
      <c r="L69" s="1">
        <f>'[1]1401'!L69/((1+L$2)^L$1)</f>
        <v>59.506043940180227</v>
      </c>
      <c r="M69" s="1">
        <f>'[1]1401'!M69/((1+M$2)^M$1)</f>
        <v>60.497811339183237</v>
      </c>
      <c r="N69" s="1">
        <f>'[1]1401'!N69/((1+N$2)^N$1)</f>
        <v>61.506108194836294</v>
      </c>
      <c r="O69" s="4">
        <v>75</v>
      </c>
      <c r="P69" s="54" t="s">
        <v>70</v>
      </c>
      <c r="Q69" s="54">
        <v>1066</v>
      </c>
      <c r="R69" s="54" t="s">
        <v>93</v>
      </c>
      <c r="S69" s="54">
        <f t="shared" si="3"/>
        <v>66</v>
      </c>
    </row>
    <row r="70" spans="1:19" ht="22.2" x14ac:dyDescent="0.3">
      <c r="A70" s="54"/>
      <c r="B70" s="6">
        <f t="shared" si="4"/>
        <v>273.2917753608163</v>
      </c>
      <c r="C70" s="1">
        <f>'[1]1401'!C70/((1+C$2)^C$1)</f>
        <v>0</v>
      </c>
      <c r="D70" s="1">
        <f>'[1]1401'!D70/((1+D$2)^D$1)</f>
        <v>0</v>
      </c>
      <c r="E70" s="1">
        <f>'[1]1401'!E70/((1+E$2)^E$1)</f>
        <v>0</v>
      </c>
      <c r="F70" s="1">
        <f>'[1]1401'!F70/((1+F$2)^F$1)</f>
        <v>0</v>
      </c>
      <c r="G70" s="1">
        <f>'[1]1401'!G70/((1+G$2)^G$1)</f>
        <v>0</v>
      </c>
      <c r="H70" s="1">
        <f>'[2]1401'!H70/((1+H$2)^H$1)</f>
        <v>37.132610409375452</v>
      </c>
      <c r="I70" s="1">
        <f>'[1]1401'!I70/((1+I$2)^I$1)</f>
        <v>37.751487249531706</v>
      </c>
      <c r="J70" s="1">
        <f>'[1]1401'!J70/((1+J$2)^J$1)</f>
        <v>38.380678703690563</v>
      </c>
      <c r="K70" s="1">
        <f>'[1]1401'!K70/((1+K$2)^K$1)</f>
        <v>39.020356682085414</v>
      </c>
      <c r="L70" s="1">
        <f>'[1]1401'!L70/((1+L$2)^L$1)</f>
        <v>39.670695960120156</v>
      </c>
      <c r="M70" s="1">
        <f>'[1]1401'!M70/((1+M$2)^M$1)</f>
        <v>40.331874226122153</v>
      </c>
      <c r="N70" s="1">
        <f>'[1]1401'!N70/((1+N$2)^N$1)</f>
        <v>41.004072129890865</v>
      </c>
      <c r="O70" s="4">
        <v>50</v>
      </c>
      <c r="P70" s="54" t="s">
        <v>71</v>
      </c>
      <c r="Q70" s="54">
        <v>1067</v>
      </c>
      <c r="R70" s="54" t="s">
        <v>93</v>
      </c>
      <c r="S70" s="54">
        <f t="shared" si="3"/>
        <v>67</v>
      </c>
    </row>
    <row r="71" spans="1:19" ht="22.2" x14ac:dyDescent="0.3">
      <c r="A71" s="54"/>
      <c r="B71" s="6">
        <f t="shared" si="4"/>
        <v>273.2917753608163</v>
      </c>
      <c r="C71" s="1">
        <f>'[1]1401'!C71/((1+C$2)^C$1)</f>
        <v>0</v>
      </c>
      <c r="D71" s="1">
        <f>'[1]1401'!D71/((1+D$2)^D$1)</f>
        <v>0</v>
      </c>
      <c r="E71" s="1">
        <f>'[1]1401'!E71/((1+E$2)^E$1)</f>
        <v>0</v>
      </c>
      <c r="F71" s="1">
        <f>'[1]1401'!F71/((1+F$2)^F$1)</f>
        <v>0</v>
      </c>
      <c r="G71" s="1">
        <f>'[1]1401'!G71/((1+G$2)^G$1)</f>
        <v>0</v>
      </c>
      <c r="H71" s="1">
        <f>'[2]1401'!H71/((1+H$2)^H$1)</f>
        <v>37.132610409375452</v>
      </c>
      <c r="I71" s="1">
        <f>'[1]1401'!I71/((1+I$2)^I$1)</f>
        <v>37.751487249531706</v>
      </c>
      <c r="J71" s="1">
        <f>'[1]1401'!J71/((1+J$2)^J$1)</f>
        <v>38.380678703690563</v>
      </c>
      <c r="K71" s="1">
        <f>'[1]1401'!K71/((1+K$2)^K$1)</f>
        <v>39.020356682085414</v>
      </c>
      <c r="L71" s="1">
        <f>'[1]1401'!L71/((1+L$2)^L$1)</f>
        <v>39.670695960120156</v>
      </c>
      <c r="M71" s="1">
        <f>'[1]1401'!M71/((1+M$2)^M$1)</f>
        <v>40.331874226122153</v>
      </c>
      <c r="N71" s="1">
        <f>'[1]1401'!N71/((1+N$2)^N$1)</f>
        <v>41.004072129890865</v>
      </c>
      <c r="O71" s="4">
        <v>50</v>
      </c>
      <c r="P71" s="54" t="s">
        <v>72</v>
      </c>
      <c r="Q71" s="54">
        <v>1068</v>
      </c>
      <c r="R71" s="54" t="s">
        <v>93</v>
      </c>
      <c r="S71" s="54">
        <f t="shared" si="3"/>
        <v>68</v>
      </c>
    </row>
    <row r="72" spans="1:19" ht="22.2" x14ac:dyDescent="0.3">
      <c r="A72" s="54"/>
      <c r="B72" s="6">
        <f t="shared" si="4"/>
        <v>273.2917753608163</v>
      </c>
      <c r="C72" s="1">
        <f>'[1]1401'!C72/((1+C$2)^C$1)</f>
        <v>0</v>
      </c>
      <c r="D72" s="1">
        <f>'[1]1401'!D72/((1+D$2)^D$1)</f>
        <v>0</v>
      </c>
      <c r="E72" s="1">
        <f>'[1]1401'!E72/((1+E$2)^E$1)</f>
        <v>0</v>
      </c>
      <c r="F72" s="1">
        <f>'[1]1401'!F72/((1+F$2)^F$1)</f>
        <v>0</v>
      </c>
      <c r="G72" s="1">
        <f>'[1]1401'!G72/((1+G$2)^G$1)</f>
        <v>0</v>
      </c>
      <c r="H72" s="1">
        <f>'[2]1401'!H72/((1+H$2)^H$1)</f>
        <v>37.132610409375452</v>
      </c>
      <c r="I72" s="1">
        <f>'[1]1401'!I72/((1+I$2)^I$1)</f>
        <v>37.751487249531706</v>
      </c>
      <c r="J72" s="1">
        <f>'[1]1401'!J72/((1+J$2)^J$1)</f>
        <v>38.380678703690563</v>
      </c>
      <c r="K72" s="1">
        <f>'[1]1401'!K72/((1+K$2)^K$1)</f>
        <v>39.020356682085414</v>
      </c>
      <c r="L72" s="1">
        <f>'[1]1401'!L72/((1+L$2)^L$1)</f>
        <v>39.670695960120156</v>
      </c>
      <c r="M72" s="1">
        <f>'[1]1401'!M72/((1+M$2)^M$1)</f>
        <v>40.331874226122153</v>
      </c>
      <c r="N72" s="1">
        <f>'[1]1401'!N72/((1+N$2)^N$1)</f>
        <v>41.004072129890865</v>
      </c>
      <c r="O72" s="4">
        <v>50</v>
      </c>
      <c r="P72" s="54" t="s">
        <v>73</v>
      </c>
      <c r="Q72" s="54">
        <v>1069</v>
      </c>
      <c r="R72" s="54" t="s">
        <v>93</v>
      </c>
      <c r="S72" s="54">
        <f>S71+1</f>
        <v>69</v>
      </c>
    </row>
    <row r="73" spans="1:19" ht="22.2" x14ac:dyDescent="0.3">
      <c r="A73" s="54"/>
      <c r="B73" s="6">
        <f t="shared" si="4"/>
        <v>273.2917753608163</v>
      </c>
      <c r="C73" s="1">
        <f>'[1]1401'!C73/((1+C$2)^C$1)</f>
        <v>0</v>
      </c>
      <c r="D73" s="1">
        <f>'[1]1401'!D73/((1+D$2)^D$1)</f>
        <v>0</v>
      </c>
      <c r="E73" s="1">
        <f>'[1]1401'!E73/((1+E$2)^E$1)</f>
        <v>0</v>
      </c>
      <c r="F73" s="1">
        <f>'[1]1401'!F73/((1+F$2)^F$1)</f>
        <v>0</v>
      </c>
      <c r="G73" s="1">
        <f>'[1]1401'!G73/((1+G$2)^G$1)</f>
        <v>0</v>
      </c>
      <c r="H73" s="1">
        <f>'[2]1401'!H73/((1+H$2)^H$1)</f>
        <v>37.132610409375452</v>
      </c>
      <c r="I73" s="1">
        <f>'[1]1401'!I73/((1+I$2)^I$1)</f>
        <v>37.751487249531706</v>
      </c>
      <c r="J73" s="1">
        <f>'[1]1401'!J73/((1+J$2)^J$1)</f>
        <v>38.380678703690563</v>
      </c>
      <c r="K73" s="1">
        <f>'[1]1401'!K73/((1+K$2)^K$1)</f>
        <v>39.020356682085414</v>
      </c>
      <c r="L73" s="1">
        <f>'[1]1401'!L73/((1+L$2)^L$1)</f>
        <v>39.670695960120156</v>
      </c>
      <c r="M73" s="1">
        <f>'[1]1401'!M73/((1+M$2)^M$1)</f>
        <v>40.331874226122153</v>
      </c>
      <c r="N73" s="1">
        <f>'[1]1401'!N73/((1+N$2)^N$1)</f>
        <v>41.004072129890865</v>
      </c>
      <c r="O73" s="4">
        <v>50</v>
      </c>
      <c r="P73" s="54" t="s">
        <v>74</v>
      </c>
      <c r="Q73" s="54">
        <v>1070</v>
      </c>
      <c r="R73" s="54" t="s">
        <v>93</v>
      </c>
      <c r="S73" s="54">
        <f t="shared" si="3"/>
        <v>70</v>
      </c>
    </row>
    <row r="74" spans="1:19" ht="22.2" x14ac:dyDescent="0.3">
      <c r="A74" s="54"/>
      <c r="B74" s="6">
        <f t="shared" si="4"/>
        <v>273.2917753608163</v>
      </c>
      <c r="C74" s="1">
        <f>'[1]1401'!C74/((1+C$2)^C$1)</f>
        <v>0</v>
      </c>
      <c r="D74" s="1">
        <f>'[1]1401'!D74/((1+D$2)^D$1)</f>
        <v>0</v>
      </c>
      <c r="E74" s="1">
        <f>'[1]1401'!E74/((1+E$2)^E$1)</f>
        <v>0</v>
      </c>
      <c r="F74" s="1">
        <f>'[1]1401'!F74/((1+F$2)^F$1)</f>
        <v>0</v>
      </c>
      <c r="G74" s="1">
        <f>'[1]1401'!G74/((1+G$2)^G$1)</f>
        <v>0</v>
      </c>
      <c r="H74" s="1">
        <f>'[2]1401'!H74/((1+H$2)^H$1)</f>
        <v>37.132610409375452</v>
      </c>
      <c r="I74" s="1">
        <f>'[1]1401'!I74/((1+I$2)^I$1)</f>
        <v>37.751487249531706</v>
      </c>
      <c r="J74" s="1">
        <f>'[1]1401'!J74/((1+J$2)^J$1)</f>
        <v>38.380678703690563</v>
      </c>
      <c r="K74" s="1">
        <f>'[1]1401'!K74/((1+K$2)^K$1)</f>
        <v>39.020356682085414</v>
      </c>
      <c r="L74" s="1">
        <f>'[1]1401'!L74/((1+L$2)^L$1)</f>
        <v>39.670695960120156</v>
      </c>
      <c r="M74" s="1">
        <f>'[1]1401'!M74/((1+M$2)^M$1)</f>
        <v>40.331874226122153</v>
      </c>
      <c r="N74" s="1">
        <f>'[1]1401'!N74/((1+N$2)^N$1)</f>
        <v>41.004072129890865</v>
      </c>
      <c r="O74" s="4">
        <v>50</v>
      </c>
      <c r="P74" s="54" t="s">
        <v>34</v>
      </c>
      <c r="Q74" s="54">
        <v>1060</v>
      </c>
      <c r="R74" s="54" t="s">
        <v>93</v>
      </c>
      <c r="S74" s="54">
        <f t="shared" si="3"/>
        <v>71</v>
      </c>
    </row>
    <row r="75" spans="1:19" ht="22.2" x14ac:dyDescent="0.3">
      <c r="A75" s="54"/>
      <c r="B75" s="6">
        <f t="shared" si="4"/>
        <v>273.2917753608163</v>
      </c>
      <c r="C75" s="1">
        <f>'[1]1401'!C75/((1+C$2)^C$1)</f>
        <v>0</v>
      </c>
      <c r="D75" s="1">
        <f>'[1]1401'!D75/((1+D$2)^D$1)</f>
        <v>0</v>
      </c>
      <c r="E75" s="1">
        <f>'[1]1401'!E75/((1+E$2)^E$1)</f>
        <v>0</v>
      </c>
      <c r="F75" s="1">
        <f>'[1]1401'!F75/((1+F$2)^F$1)</f>
        <v>0</v>
      </c>
      <c r="G75" s="1">
        <f>'[1]1401'!G75/((1+G$2)^G$1)</f>
        <v>0</v>
      </c>
      <c r="H75" s="1">
        <f>'[2]1401'!H75/((1+H$2)^H$1)</f>
        <v>37.132610409375452</v>
      </c>
      <c r="I75" s="1">
        <f>'[1]1401'!I75/((1+I$2)^I$1)</f>
        <v>37.751487249531706</v>
      </c>
      <c r="J75" s="1">
        <f>'[1]1401'!J75/((1+J$2)^J$1)</f>
        <v>38.380678703690563</v>
      </c>
      <c r="K75" s="1">
        <f>'[1]1401'!K75/((1+K$2)^K$1)</f>
        <v>39.020356682085414</v>
      </c>
      <c r="L75" s="1">
        <f>'[1]1401'!L75/((1+L$2)^L$1)</f>
        <v>39.670695960120156</v>
      </c>
      <c r="M75" s="1">
        <f>'[1]1401'!M75/((1+M$2)^M$1)</f>
        <v>40.331874226122153</v>
      </c>
      <c r="N75" s="1">
        <f>'[1]1401'!N75/((1+N$2)^N$1)</f>
        <v>41.004072129890865</v>
      </c>
      <c r="O75" s="4">
        <v>50</v>
      </c>
      <c r="P75" s="54" t="s">
        <v>33</v>
      </c>
      <c r="Q75" s="54">
        <v>1061</v>
      </c>
      <c r="R75" s="54" t="s">
        <v>93</v>
      </c>
      <c r="S75" s="54">
        <f t="shared" si="3"/>
        <v>72</v>
      </c>
    </row>
    <row r="76" spans="1:19" ht="22.2" x14ac:dyDescent="0.3">
      <c r="A76" s="54"/>
      <c r="B76" s="6">
        <f t="shared" si="4"/>
        <v>778.87125395255805</v>
      </c>
      <c r="C76" s="1">
        <f>'[1]1401'!C76/((1+C$2)^C$1)</f>
        <v>0</v>
      </c>
      <c r="D76" s="1">
        <f>'[1]1401'!D76/((1+D$2)^D$1)</f>
        <v>0</v>
      </c>
      <c r="E76" s="1">
        <f>'[1]1401'!E76/((1+E$2)^E$1)</f>
        <v>0</v>
      </c>
      <c r="F76" s="1">
        <f>'[1]1401'!F76/((1+F$2)^F$1)</f>
        <v>0</v>
      </c>
      <c r="G76" s="1">
        <f>'[1]1401'!G76/((1+G$2)^G$1)</f>
        <v>0</v>
      </c>
      <c r="H76" s="1">
        <f>'[2]1401'!H76/((1+H$2)^H$1)</f>
        <v>111.39783122812635</v>
      </c>
      <c r="I76" s="1">
        <f>'[1]1401'!I76/((1+I$2)^I$1)</f>
        <v>113.25446174859512</v>
      </c>
      <c r="J76" s="1">
        <f>'[1]1401'!J76/((1+J$2)^J$1)</f>
        <v>115.1420361110717</v>
      </c>
      <c r="K76" s="1">
        <f>'[1]1401'!K76/((1+K$2)^K$1)</f>
        <v>117.06107004625623</v>
      </c>
      <c r="L76" s="1">
        <f>'[1]1401'!L76/((1+L$2)^L$1)</f>
        <v>119.01208788036045</v>
      </c>
      <c r="M76" s="1">
        <f>'[1]1401'!M76/((1+M$2)^M$1)</f>
        <v>120.99562267836647</v>
      </c>
      <c r="N76" s="1">
        <f>'[1]1401'!N76/((1+N$2)^N$1)</f>
        <v>82.00814425978173</v>
      </c>
      <c r="O76" s="4">
        <v>150</v>
      </c>
      <c r="P76" s="54" t="s">
        <v>81</v>
      </c>
      <c r="Q76" s="54">
        <v>1076</v>
      </c>
      <c r="R76" s="54" t="s">
        <v>93</v>
      </c>
      <c r="S76" s="54">
        <f t="shared" si="3"/>
        <v>73</v>
      </c>
    </row>
    <row r="77" spans="1:19" ht="22.2" x14ac:dyDescent="0.3">
      <c r="A77" s="54"/>
      <c r="B77" s="6">
        <f t="shared" si="4"/>
        <v>778.87125395255805</v>
      </c>
      <c r="C77" s="1">
        <f>'[1]1401'!C77/((1+C$2)^C$1)</f>
        <v>0</v>
      </c>
      <c r="D77" s="1">
        <f>'[1]1401'!D77/((1+D$2)^D$1)</f>
        <v>0</v>
      </c>
      <c r="E77" s="1">
        <f>'[1]1401'!E77/((1+E$2)^E$1)</f>
        <v>0</v>
      </c>
      <c r="F77" s="1">
        <f>'[1]1401'!F77/((1+F$2)^F$1)</f>
        <v>0</v>
      </c>
      <c r="G77" s="1">
        <f>'[1]1401'!G77/((1+G$2)^G$1)</f>
        <v>0</v>
      </c>
      <c r="H77" s="1">
        <f>'[2]1401'!H77/((1+H$2)^H$1)</f>
        <v>111.39783122812635</v>
      </c>
      <c r="I77" s="1">
        <f>'[1]1401'!I77/((1+I$2)^I$1)</f>
        <v>113.25446174859512</v>
      </c>
      <c r="J77" s="1">
        <f>'[1]1401'!J77/((1+J$2)^J$1)</f>
        <v>115.1420361110717</v>
      </c>
      <c r="K77" s="1">
        <f>'[1]1401'!K77/((1+K$2)^K$1)</f>
        <v>117.06107004625623</v>
      </c>
      <c r="L77" s="1">
        <f>'[1]1401'!L77/((1+L$2)^L$1)</f>
        <v>119.01208788036045</v>
      </c>
      <c r="M77" s="1">
        <f>'[1]1401'!M77/((1+M$2)^M$1)</f>
        <v>120.99562267836647</v>
      </c>
      <c r="N77" s="1">
        <f>'[1]1401'!N77/((1+N$2)^N$1)</f>
        <v>82.00814425978173</v>
      </c>
      <c r="O77" s="4">
        <v>150</v>
      </c>
      <c r="P77" s="54" t="s">
        <v>102</v>
      </c>
      <c r="Q77" s="54">
        <v>1077</v>
      </c>
      <c r="R77" s="54" t="s">
        <v>93</v>
      </c>
      <c r="S77" s="54">
        <f t="shared" si="3"/>
        <v>74</v>
      </c>
    </row>
    <row r="78" spans="1:19" ht="22.2" x14ac:dyDescent="0.3">
      <c r="A78" s="54"/>
      <c r="B78" s="6">
        <f t="shared" si="4"/>
        <v>778.87125395255805</v>
      </c>
      <c r="C78" s="1">
        <f>'[1]1401'!C78/((1+C$2)^C$1)</f>
        <v>0</v>
      </c>
      <c r="D78" s="1">
        <f>'[1]1401'!D78/((1+D$2)^D$1)</f>
        <v>0</v>
      </c>
      <c r="E78" s="1">
        <f>'[1]1401'!E78/((1+E$2)^E$1)</f>
        <v>0</v>
      </c>
      <c r="F78" s="1">
        <f>'[1]1401'!F78/((1+F$2)^F$1)</f>
        <v>0</v>
      </c>
      <c r="G78" s="1">
        <f>'[1]1401'!G78/((1+G$2)^G$1)</f>
        <v>0</v>
      </c>
      <c r="H78" s="1">
        <f>'[2]1401'!H78/((1+H$2)^H$1)</f>
        <v>111.39783122812635</v>
      </c>
      <c r="I78" s="1">
        <f>'[1]1401'!I78/((1+I$2)^I$1)</f>
        <v>113.25446174859512</v>
      </c>
      <c r="J78" s="1">
        <f>'[1]1401'!J78/((1+J$2)^J$1)</f>
        <v>115.1420361110717</v>
      </c>
      <c r="K78" s="1">
        <f>'[1]1401'!K78/((1+K$2)^K$1)</f>
        <v>117.06107004625623</v>
      </c>
      <c r="L78" s="1">
        <f>'[1]1401'!L78/((1+L$2)^L$1)</f>
        <v>119.01208788036045</v>
      </c>
      <c r="M78" s="1">
        <f>'[1]1401'!M78/((1+M$2)^M$1)</f>
        <v>120.99562267836647</v>
      </c>
      <c r="N78" s="1">
        <f>'[1]1401'!N78/((1+N$2)^N$1)</f>
        <v>82.00814425978173</v>
      </c>
      <c r="O78" s="4">
        <v>150</v>
      </c>
      <c r="P78" s="54" t="s">
        <v>80</v>
      </c>
      <c r="Q78" s="54">
        <v>1075</v>
      </c>
      <c r="R78" s="54" t="s">
        <v>93</v>
      </c>
      <c r="S78" s="54">
        <f t="shared" si="3"/>
        <v>75</v>
      </c>
    </row>
    <row r="79" spans="1:19" ht="22.2" x14ac:dyDescent="0.3">
      <c r="A79" s="54"/>
      <c r="B79" s="6">
        <f t="shared" si="4"/>
        <v>546.58355072163261</v>
      </c>
      <c r="C79" s="1">
        <f>'[1]1401'!C79/((1+C$2)^C$1)</f>
        <v>0</v>
      </c>
      <c r="D79" s="1">
        <f>'[1]1401'!D79/((1+D$2)^D$1)</f>
        <v>0</v>
      </c>
      <c r="E79" s="1">
        <f>'[1]1401'!E79/((1+E$2)^E$1)</f>
        <v>0</v>
      </c>
      <c r="F79" s="1">
        <f>'[1]1401'!F79/((1+F$2)^F$1)</f>
        <v>0</v>
      </c>
      <c r="G79" s="1">
        <f>'[1]1401'!G79/((1+G$2)^G$1)</f>
        <v>0</v>
      </c>
      <c r="H79" s="1">
        <f>'[2]1401'!H79/((1+H$2)^H$1)</f>
        <v>74.265220818750905</v>
      </c>
      <c r="I79" s="1">
        <f>'[1]1401'!I79/((1+I$2)^I$1)</f>
        <v>75.502974499063413</v>
      </c>
      <c r="J79" s="1">
        <f>'[1]1401'!J79/((1+J$2)^J$1)</f>
        <v>76.761357407381126</v>
      </c>
      <c r="K79" s="1">
        <f>'[1]1401'!K79/((1+K$2)^K$1)</f>
        <v>78.040713364170827</v>
      </c>
      <c r="L79" s="1">
        <f>'[1]1401'!L79/((1+L$2)^L$1)</f>
        <v>79.341391920240312</v>
      </c>
      <c r="M79" s="1">
        <f>'[1]1401'!M79/((1+M$2)^M$1)</f>
        <v>80.663748452244306</v>
      </c>
      <c r="N79" s="1">
        <f>'[1]1401'!N79/((1+N$2)^N$1)</f>
        <v>82.00814425978173</v>
      </c>
      <c r="O79" s="4">
        <v>100</v>
      </c>
      <c r="P79" s="54" t="s">
        <v>91</v>
      </c>
      <c r="Q79" s="54">
        <v>1085</v>
      </c>
      <c r="R79" s="54" t="s">
        <v>93</v>
      </c>
      <c r="S79" s="54">
        <f t="shared" si="3"/>
        <v>76</v>
      </c>
    </row>
    <row r="80" spans="1:19" ht="22.2" x14ac:dyDescent="0.3">
      <c r="A80" s="54"/>
      <c r="B80" s="6">
        <f t="shared" si="4"/>
        <v>546.58355072163261</v>
      </c>
      <c r="C80" s="1">
        <f>'[1]1401'!C80/((1+C$2)^C$1)</f>
        <v>0</v>
      </c>
      <c r="D80" s="1">
        <f>'[1]1401'!D80/((1+D$2)^D$1)</f>
        <v>0</v>
      </c>
      <c r="E80" s="1">
        <f>'[1]1401'!E80/((1+E$2)^E$1)</f>
        <v>0</v>
      </c>
      <c r="F80" s="1">
        <f>'[1]1401'!F80/((1+F$2)^F$1)</f>
        <v>0</v>
      </c>
      <c r="G80" s="1">
        <f>'[1]1401'!G80/((1+G$2)^G$1)</f>
        <v>0</v>
      </c>
      <c r="H80" s="1">
        <f>'[2]1401'!H80/((1+H$2)^H$1)</f>
        <v>74.265220818750905</v>
      </c>
      <c r="I80" s="1">
        <f>'[1]1401'!I80/((1+I$2)^I$1)</f>
        <v>75.502974499063413</v>
      </c>
      <c r="J80" s="1">
        <f>'[1]1401'!J80/((1+J$2)^J$1)</f>
        <v>76.761357407381126</v>
      </c>
      <c r="K80" s="1">
        <f>'[1]1401'!K80/((1+K$2)^K$1)</f>
        <v>78.040713364170827</v>
      </c>
      <c r="L80" s="1">
        <f>'[1]1401'!L80/((1+L$2)^L$1)</f>
        <v>79.341391920240312</v>
      </c>
      <c r="M80" s="1">
        <f>'[1]1401'!M80/((1+M$2)^M$1)</f>
        <v>80.663748452244306</v>
      </c>
      <c r="N80" s="1">
        <f>'[1]1401'!N80/((1+N$2)^N$1)</f>
        <v>82.00814425978173</v>
      </c>
      <c r="O80" s="4">
        <v>100</v>
      </c>
      <c r="P80" s="54" t="s">
        <v>92</v>
      </c>
      <c r="Q80" s="54">
        <v>1086</v>
      </c>
      <c r="R80" s="54" t="s">
        <v>93</v>
      </c>
      <c r="S80" s="54">
        <f t="shared" si="3"/>
        <v>77</v>
      </c>
    </row>
    <row r="81" spans="1:19" ht="22.2" x14ac:dyDescent="0.3">
      <c r="A81" s="54"/>
      <c r="B81" s="6">
        <f t="shared" si="4"/>
        <v>546.58355072163261</v>
      </c>
      <c r="C81" s="1">
        <f>'[1]1401'!C81/((1+C$2)^C$1)</f>
        <v>0</v>
      </c>
      <c r="D81" s="1">
        <f>'[1]1401'!D81/((1+D$2)^D$1)</f>
        <v>0</v>
      </c>
      <c r="E81" s="1">
        <f>'[1]1401'!E81/((1+E$2)^E$1)</f>
        <v>0</v>
      </c>
      <c r="F81" s="1">
        <f>'[1]1401'!F81/((1+F$2)^F$1)</f>
        <v>0</v>
      </c>
      <c r="G81" s="1">
        <f>'[1]1401'!G81/((1+G$2)^G$1)</f>
        <v>0</v>
      </c>
      <c r="H81" s="1">
        <f>'[2]1401'!H81/((1+H$2)^H$1)</f>
        <v>74.265220818750905</v>
      </c>
      <c r="I81" s="1">
        <f>'[1]1401'!I81/((1+I$2)^I$1)</f>
        <v>75.502974499063413</v>
      </c>
      <c r="J81" s="1">
        <f>'[1]1401'!J81/((1+J$2)^J$1)</f>
        <v>76.761357407381126</v>
      </c>
      <c r="K81" s="1">
        <f>'[1]1401'!K81/((1+K$2)^K$1)</f>
        <v>78.040713364170827</v>
      </c>
      <c r="L81" s="1">
        <f>'[1]1401'!L81/((1+L$2)^L$1)</f>
        <v>79.341391920240312</v>
      </c>
      <c r="M81" s="1">
        <f>'[1]1401'!M81/((1+M$2)^M$1)</f>
        <v>80.663748452244306</v>
      </c>
      <c r="N81" s="1">
        <f>'[1]1401'!N81/((1+N$2)^N$1)</f>
        <v>82.00814425978173</v>
      </c>
      <c r="O81" s="4">
        <v>100</v>
      </c>
      <c r="P81" s="54" t="s">
        <v>79</v>
      </c>
      <c r="Q81" s="54">
        <v>1074</v>
      </c>
      <c r="R81" s="54" t="s">
        <v>93</v>
      </c>
      <c r="S81" s="54">
        <f t="shared" si="3"/>
        <v>78</v>
      </c>
    </row>
    <row r="82" spans="1:19" ht="22.2" x14ac:dyDescent="0.3">
      <c r="A82" s="54"/>
      <c r="B82" s="6">
        <f t="shared" si="4"/>
        <v>546.58355072163261</v>
      </c>
      <c r="C82" s="1">
        <f>'[1]1401'!C82/((1+C$2)^C$1)</f>
        <v>0</v>
      </c>
      <c r="D82" s="1">
        <f>'[1]1401'!D82/((1+D$2)^D$1)</f>
        <v>0</v>
      </c>
      <c r="E82" s="1">
        <f>'[1]1401'!E82/((1+E$2)^E$1)</f>
        <v>0</v>
      </c>
      <c r="F82" s="1">
        <f>'[1]1401'!F82/((1+F$2)^F$1)</f>
        <v>0</v>
      </c>
      <c r="G82" s="1">
        <f>'[1]1401'!G82/((1+G$2)^G$1)</f>
        <v>0</v>
      </c>
      <c r="H82" s="1">
        <f>'[2]1401'!H82/((1+H$2)^H$1)</f>
        <v>74.265220818750905</v>
      </c>
      <c r="I82" s="1">
        <f>'[1]1401'!I82/((1+I$2)^I$1)</f>
        <v>75.502974499063413</v>
      </c>
      <c r="J82" s="1">
        <f>'[1]1401'!J82/((1+J$2)^J$1)</f>
        <v>76.761357407381126</v>
      </c>
      <c r="K82" s="1">
        <f>'[1]1401'!K82/((1+K$2)^K$1)</f>
        <v>78.040713364170827</v>
      </c>
      <c r="L82" s="1">
        <f>'[1]1401'!L82/((1+L$2)^L$1)</f>
        <v>79.341391920240312</v>
      </c>
      <c r="M82" s="1">
        <f>'[1]1401'!M82/((1+M$2)^M$1)</f>
        <v>80.663748452244306</v>
      </c>
      <c r="N82" s="1">
        <f>'[1]1401'!N82/((1+N$2)^N$1)</f>
        <v>82.00814425978173</v>
      </c>
      <c r="O82" s="4">
        <v>100</v>
      </c>
      <c r="P82" s="54" t="s">
        <v>85</v>
      </c>
      <c r="Q82" s="54">
        <v>1080</v>
      </c>
      <c r="R82" s="54" t="s">
        <v>93</v>
      </c>
      <c r="S82" s="54">
        <f t="shared" si="3"/>
        <v>79</v>
      </c>
    </row>
    <row r="83" spans="1:19" ht="22.2" x14ac:dyDescent="0.3">
      <c r="A83" s="54"/>
      <c r="B83" s="6">
        <f t="shared" si="4"/>
        <v>1093.1671014432652</v>
      </c>
      <c r="C83" s="1">
        <f>'[1]1401'!C83/((1+C$2)^C$1)</f>
        <v>0</v>
      </c>
      <c r="D83" s="1">
        <f>'[1]1401'!D83/((1+D$2)^D$1)</f>
        <v>0</v>
      </c>
      <c r="E83" s="1">
        <f>'[1]1401'!E83/((1+E$2)^E$1)</f>
        <v>0</v>
      </c>
      <c r="F83" s="1">
        <f>'[1]1401'!F83/((1+F$2)^F$1)</f>
        <v>0</v>
      </c>
      <c r="G83" s="1">
        <f>'[1]1401'!G83/((1+G$2)^G$1)</f>
        <v>0</v>
      </c>
      <c r="H83" s="1">
        <f>'[2]1401'!H83/((1+H$2)^H$1)</f>
        <v>148.53044163750181</v>
      </c>
      <c r="I83" s="1">
        <f>'[1]1401'!I83/((1+I$2)^I$1)</f>
        <v>151.00594899812683</v>
      </c>
      <c r="J83" s="1">
        <f>'[1]1401'!J83/((1+J$2)^J$1)</f>
        <v>153.52271481476225</v>
      </c>
      <c r="K83" s="1">
        <f>'[1]1401'!K83/((1+K$2)^K$1)</f>
        <v>156.08142672834165</v>
      </c>
      <c r="L83" s="1">
        <f>'[1]1401'!L83/((1+L$2)^L$1)</f>
        <v>158.68278384048062</v>
      </c>
      <c r="M83" s="1">
        <f>'[1]1401'!M83/((1+M$2)^M$1)</f>
        <v>161.32749690448861</v>
      </c>
      <c r="N83" s="1">
        <f>'[1]1401'!N83/((1+N$2)^N$1)</f>
        <v>164.01628851956346</v>
      </c>
      <c r="O83" s="4">
        <v>200</v>
      </c>
      <c r="P83" s="54" t="s">
        <v>94</v>
      </c>
      <c r="Q83" s="54">
        <v>1087</v>
      </c>
      <c r="R83" s="54" t="s">
        <v>93</v>
      </c>
      <c r="S83" s="54">
        <f t="shared" si="3"/>
        <v>80</v>
      </c>
    </row>
    <row r="84" spans="1:19" ht="22.2" x14ac:dyDescent="0.3">
      <c r="A84" s="54"/>
      <c r="B84" s="6">
        <f t="shared" si="4"/>
        <v>546.58355072163261</v>
      </c>
      <c r="C84" s="1">
        <f>'[1]1401'!C84/((1+C$2)^C$1)</f>
        <v>0</v>
      </c>
      <c r="D84" s="1">
        <f>'[1]1401'!D84/((1+D$2)^D$1)</f>
        <v>0</v>
      </c>
      <c r="E84" s="1">
        <f>'[1]1401'!E84/((1+E$2)^E$1)</f>
        <v>0</v>
      </c>
      <c r="F84" s="1">
        <f>'[1]1401'!F84/((1+F$2)^F$1)</f>
        <v>0</v>
      </c>
      <c r="G84" s="1">
        <f>'[1]1401'!G84/((1+G$2)^G$1)</f>
        <v>0</v>
      </c>
      <c r="H84" s="1">
        <f>'[2]1401'!H84/((1+H$2)^H$1)</f>
        <v>74.265220818750905</v>
      </c>
      <c r="I84" s="1">
        <f>'[1]1401'!I84/((1+I$2)^I$1)</f>
        <v>75.502974499063413</v>
      </c>
      <c r="J84" s="1">
        <f>'[1]1401'!J84/((1+J$2)^J$1)</f>
        <v>76.761357407381126</v>
      </c>
      <c r="K84" s="1">
        <f>'[1]1401'!K84/((1+K$2)^K$1)</f>
        <v>78.040713364170827</v>
      </c>
      <c r="L84" s="1">
        <f>'[1]1401'!L84/((1+L$2)^L$1)</f>
        <v>79.341391920240312</v>
      </c>
      <c r="M84" s="1">
        <f>'[1]1401'!M84/((1+M$2)^M$1)</f>
        <v>80.663748452244306</v>
      </c>
      <c r="N84" s="1">
        <f>'[1]1401'!N84/((1+N$2)^N$1)</f>
        <v>82.00814425978173</v>
      </c>
      <c r="O84" s="4">
        <v>100</v>
      </c>
      <c r="P84" s="54" t="s">
        <v>96</v>
      </c>
      <c r="Q84" s="54">
        <v>1089</v>
      </c>
      <c r="R84" s="54" t="s">
        <v>93</v>
      </c>
      <c r="S84" s="54">
        <f t="shared" si="3"/>
        <v>81</v>
      </c>
    </row>
    <row r="85" spans="1:19" ht="22.2" x14ac:dyDescent="0.3">
      <c r="A85" s="54"/>
      <c r="B85" s="6">
        <f t="shared" si="4"/>
        <v>546.58355072163261</v>
      </c>
      <c r="C85" s="1">
        <f>'[1]1401'!C85/((1+C$2)^C$1)</f>
        <v>0</v>
      </c>
      <c r="D85" s="1">
        <f>'[1]1401'!D85/((1+D$2)^D$1)</f>
        <v>0</v>
      </c>
      <c r="E85" s="1">
        <f>'[1]1401'!E85/((1+E$2)^E$1)</f>
        <v>0</v>
      </c>
      <c r="F85" s="1">
        <f>'[1]1401'!F85/((1+F$2)^F$1)</f>
        <v>0</v>
      </c>
      <c r="G85" s="1">
        <f>'[1]1401'!G85/((1+G$2)^G$1)</f>
        <v>0</v>
      </c>
      <c r="H85" s="1">
        <f>'[2]1401'!H85/((1+H$2)^H$1)</f>
        <v>74.265220818750905</v>
      </c>
      <c r="I85" s="1">
        <f>'[1]1401'!I85/((1+I$2)^I$1)</f>
        <v>75.502974499063413</v>
      </c>
      <c r="J85" s="1">
        <f>'[1]1401'!J85/((1+J$2)^J$1)</f>
        <v>76.761357407381126</v>
      </c>
      <c r="K85" s="1">
        <f>'[1]1401'!K85/((1+K$2)^K$1)</f>
        <v>78.040713364170827</v>
      </c>
      <c r="L85" s="1">
        <f>'[1]1401'!L85/((1+L$2)^L$1)</f>
        <v>79.341391920240312</v>
      </c>
      <c r="M85" s="1">
        <f>'[1]1401'!M85/((1+M$2)^M$1)</f>
        <v>80.663748452244306</v>
      </c>
      <c r="N85" s="1">
        <f>'[1]1401'!N85/((1+N$2)^N$1)</f>
        <v>82.00814425978173</v>
      </c>
      <c r="O85" s="4">
        <v>100</v>
      </c>
      <c r="P85" s="54" t="s">
        <v>95</v>
      </c>
      <c r="Q85" s="54">
        <v>1088</v>
      </c>
      <c r="R85" s="54" t="s">
        <v>93</v>
      </c>
      <c r="S85" s="54">
        <f t="shared" si="3"/>
        <v>82</v>
      </c>
    </row>
    <row r="86" spans="1:19" ht="22.2" x14ac:dyDescent="0.3">
      <c r="A86" s="54"/>
      <c r="B86" s="6">
        <f t="shared" si="4"/>
        <v>778.87125395255805</v>
      </c>
      <c r="C86" s="1">
        <f>'[1]1401'!C86/((1+C$2)^C$1)</f>
        <v>0</v>
      </c>
      <c r="D86" s="1">
        <f>'[1]1401'!D86/((1+D$2)^D$1)</f>
        <v>0</v>
      </c>
      <c r="E86" s="1">
        <f>'[1]1401'!E86/((1+E$2)^E$1)</f>
        <v>0</v>
      </c>
      <c r="F86" s="1">
        <f>'[1]1401'!F86/((1+F$2)^F$1)</f>
        <v>0</v>
      </c>
      <c r="G86" s="1">
        <f>'[1]1401'!G86/((1+G$2)^G$1)</f>
        <v>0</v>
      </c>
      <c r="H86" s="1">
        <f>'[2]1401'!H86/((1+H$2)^H$1)</f>
        <v>111.39783122812635</v>
      </c>
      <c r="I86" s="1">
        <f>'[1]1401'!I86/((1+I$2)^I$1)</f>
        <v>113.25446174859512</v>
      </c>
      <c r="J86" s="1">
        <f>'[1]1401'!J86/((1+J$2)^J$1)</f>
        <v>115.1420361110717</v>
      </c>
      <c r="K86" s="1">
        <f>'[1]1401'!K86/((1+K$2)^K$1)</f>
        <v>117.06107004625623</v>
      </c>
      <c r="L86" s="1">
        <f>'[1]1401'!L86/((1+L$2)^L$1)</f>
        <v>119.01208788036045</v>
      </c>
      <c r="M86" s="1">
        <f>'[1]1401'!M86/((1+M$2)^M$1)</f>
        <v>120.99562267836647</v>
      </c>
      <c r="N86" s="1">
        <f>'[1]1401'!N86/((1+N$2)^N$1)</f>
        <v>82.00814425978173</v>
      </c>
      <c r="O86" s="4">
        <v>100</v>
      </c>
      <c r="P86" s="54" t="s">
        <v>104</v>
      </c>
      <c r="Q86" s="54">
        <v>1095</v>
      </c>
      <c r="R86" s="54"/>
      <c r="S86" s="54">
        <f t="shared" si="3"/>
        <v>83</v>
      </c>
    </row>
    <row r="87" spans="1:19" ht="22.2" x14ac:dyDescent="0.3">
      <c r="A87" s="54"/>
      <c r="B87" s="6">
        <f t="shared" si="4"/>
        <v>546.58355072163261</v>
      </c>
      <c r="C87" s="1">
        <f>'[1]1401'!C87/((1+C$2)^C$1)</f>
        <v>0</v>
      </c>
      <c r="D87" s="1">
        <f>'[1]1401'!D87/((1+D$2)^D$1)</f>
        <v>0</v>
      </c>
      <c r="E87" s="1">
        <f>'[1]1401'!E87/((1+E$2)^E$1)</f>
        <v>0</v>
      </c>
      <c r="F87" s="1">
        <f>'[1]1401'!F87/((1+F$2)^F$1)</f>
        <v>0</v>
      </c>
      <c r="G87" s="1">
        <f>'[1]1401'!G87/((1+G$2)^G$1)</f>
        <v>0</v>
      </c>
      <c r="H87" s="1">
        <f>'[2]1401'!H87/((1+H$2)^H$1)</f>
        <v>74.265220818750905</v>
      </c>
      <c r="I87" s="1">
        <f>'[1]1401'!I87/((1+I$2)^I$1)</f>
        <v>75.502974499063413</v>
      </c>
      <c r="J87" s="1">
        <f>'[1]1401'!J87/((1+J$2)^J$1)</f>
        <v>76.761357407381126</v>
      </c>
      <c r="K87" s="1">
        <f>'[1]1401'!K87/((1+K$2)^K$1)</f>
        <v>78.040713364170827</v>
      </c>
      <c r="L87" s="1">
        <f>'[1]1401'!L87/((1+L$2)^L$1)</f>
        <v>79.341391920240312</v>
      </c>
      <c r="M87" s="1">
        <f>'[1]1401'!M87/((1+M$2)^M$1)</f>
        <v>80.663748452244306</v>
      </c>
      <c r="N87" s="1">
        <f>'[1]1401'!N87/((1+N$2)^N$1)</f>
        <v>82.00814425978173</v>
      </c>
      <c r="O87" s="4">
        <v>100</v>
      </c>
      <c r="P87" s="54" t="s">
        <v>106</v>
      </c>
      <c r="Q87" s="54">
        <v>1096</v>
      </c>
      <c r="R87" s="54"/>
      <c r="S87" s="54">
        <f t="shared" si="3"/>
        <v>84</v>
      </c>
    </row>
    <row r="88" spans="1:19" ht="22.2" x14ac:dyDescent="0.3">
      <c r="A88" s="54"/>
      <c r="B88" s="6">
        <f t="shared" si="4"/>
        <v>546.58355072163261</v>
      </c>
      <c r="C88" s="1">
        <f>'[1]1401'!C88/((1+C$2)^C$1)</f>
        <v>0</v>
      </c>
      <c r="D88" s="1">
        <f>'[1]1401'!D88/((1+D$2)^D$1)</f>
        <v>0</v>
      </c>
      <c r="E88" s="1">
        <f>'[1]1401'!E88/((1+E$2)^E$1)</f>
        <v>0</v>
      </c>
      <c r="F88" s="1">
        <f>'[1]1401'!F88/((1+F$2)^F$1)</f>
        <v>0</v>
      </c>
      <c r="G88" s="1">
        <f>'[1]1401'!G88/((1+G$2)^G$1)</f>
        <v>0</v>
      </c>
      <c r="H88" s="1">
        <f>'[2]1401'!H88/((1+H$2)^H$1)</f>
        <v>74.265220818750905</v>
      </c>
      <c r="I88" s="1">
        <f>'[1]1401'!I88/((1+I$2)^I$1)</f>
        <v>75.502974499063413</v>
      </c>
      <c r="J88" s="1">
        <f>'[1]1401'!J88/((1+J$2)^J$1)</f>
        <v>76.761357407381126</v>
      </c>
      <c r="K88" s="1">
        <f>'[1]1401'!K88/((1+K$2)^K$1)</f>
        <v>78.040713364170827</v>
      </c>
      <c r="L88" s="1">
        <f>'[1]1401'!L88/((1+L$2)^L$1)</f>
        <v>79.341391920240312</v>
      </c>
      <c r="M88" s="1">
        <f>'[1]1401'!M88/((1+M$2)^M$1)</f>
        <v>80.663748452244306</v>
      </c>
      <c r="N88" s="1">
        <f>'[1]1401'!N88/((1+N$2)^N$1)</f>
        <v>82.00814425978173</v>
      </c>
      <c r="O88" s="4">
        <v>100</v>
      </c>
      <c r="P88" s="54" t="s">
        <v>105</v>
      </c>
      <c r="Q88" s="54">
        <v>1097</v>
      </c>
      <c r="R88" s="54"/>
      <c r="S88" s="54">
        <f t="shared" si="3"/>
        <v>85</v>
      </c>
    </row>
    <row r="89" spans="1:19" ht="22.2" x14ac:dyDescent="0.3">
      <c r="A89" s="54"/>
      <c r="B89" s="6">
        <f t="shared" si="4"/>
        <v>546.58355072163261</v>
      </c>
      <c r="C89" s="1">
        <f>'[1]1401'!C89/((1+C$2)^C$1)</f>
        <v>0</v>
      </c>
      <c r="D89" s="1">
        <f>'[1]1401'!D89/((1+D$2)^D$1)</f>
        <v>0</v>
      </c>
      <c r="E89" s="1">
        <f>'[1]1401'!E89/((1+E$2)^E$1)</f>
        <v>0</v>
      </c>
      <c r="F89" s="1">
        <f>'[1]1401'!F89/((1+F$2)^F$1)</f>
        <v>0</v>
      </c>
      <c r="G89" s="1">
        <f>'[1]1401'!G89/((1+G$2)^G$1)</f>
        <v>0</v>
      </c>
      <c r="H89" s="1">
        <f>'[2]1401'!H89/((1+H$2)^H$1)</f>
        <v>74.265220818750905</v>
      </c>
      <c r="I89" s="1">
        <f>'[1]1401'!I89/((1+I$2)^I$1)</f>
        <v>75.502974499063413</v>
      </c>
      <c r="J89" s="1">
        <f>'[1]1401'!J89/((1+J$2)^J$1)</f>
        <v>76.761357407381126</v>
      </c>
      <c r="K89" s="1">
        <f>'[1]1401'!K89/((1+K$2)^K$1)</f>
        <v>78.040713364170827</v>
      </c>
      <c r="L89" s="1">
        <f>'[1]1401'!L89/((1+L$2)^L$1)</f>
        <v>79.341391920240312</v>
      </c>
      <c r="M89" s="1">
        <f>'[1]1401'!M89/((1+M$2)^M$1)</f>
        <v>80.663748452244306</v>
      </c>
      <c r="N89" s="1">
        <f>'[1]1401'!N89/((1+N$2)^N$1)</f>
        <v>82.00814425978173</v>
      </c>
      <c r="O89" s="4">
        <v>100</v>
      </c>
      <c r="P89" s="54" t="s">
        <v>26</v>
      </c>
      <c r="Q89" s="54">
        <v>1098</v>
      </c>
      <c r="R89" s="54"/>
      <c r="S89" s="54">
        <f t="shared" si="3"/>
        <v>86</v>
      </c>
    </row>
    <row r="90" spans="1:19" ht="22.2" x14ac:dyDescent="0.3">
      <c r="A90" s="54"/>
      <c r="B90" s="6">
        <f t="shared" si="4"/>
        <v>819.87532608244896</v>
      </c>
      <c r="C90" s="1">
        <f>'[1]1401'!C90/((1+C$2)^C$1)</f>
        <v>0</v>
      </c>
      <c r="D90" s="1">
        <f>'[1]1401'!D90/((1+D$2)^D$1)</f>
        <v>0</v>
      </c>
      <c r="E90" s="1">
        <f>'[1]1401'!E90/((1+E$2)^E$1)</f>
        <v>0</v>
      </c>
      <c r="F90" s="1">
        <f>'[1]1401'!F90/((1+F$2)^F$1)</f>
        <v>0</v>
      </c>
      <c r="G90" s="1">
        <f>'[1]1401'!G90/((1+G$2)^G$1)</f>
        <v>0</v>
      </c>
      <c r="H90" s="1">
        <f>'[2]1401'!H90/((1+H$2)^H$1)</f>
        <v>111.39783122812635</v>
      </c>
      <c r="I90" s="1">
        <f>'[1]1401'!I90/((1+I$2)^I$1)</f>
        <v>113.25446174859512</v>
      </c>
      <c r="J90" s="1">
        <f>'[1]1401'!J90/((1+J$2)^J$1)</f>
        <v>115.1420361110717</v>
      </c>
      <c r="K90" s="1">
        <f>'[1]1401'!K90/((1+K$2)^K$1)</f>
        <v>117.06107004625623</v>
      </c>
      <c r="L90" s="1">
        <f>'[1]1401'!L90/((1+L$2)^L$1)</f>
        <v>119.01208788036045</v>
      </c>
      <c r="M90" s="1">
        <f>'[1]1401'!M90/((1+M$2)^M$1)</f>
        <v>120.99562267836647</v>
      </c>
      <c r="N90" s="1">
        <f>'[1]1401'!N90/((1+N$2)^N$1)</f>
        <v>123.01221638967259</v>
      </c>
      <c r="O90" s="4">
        <v>150</v>
      </c>
      <c r="P90" s="54" t="s">
        <v>113</v>
      </c>
      <c r="Q90" s="54">
        <v>1103</v>
      </c>
      <c r="R90" s="54"/>
      <c r="S90" s="54">
        <f t="shared" si="3"/>
        <v>87</v>
      </c>
    </row>
    <row r="91" spans="1:19" ht="22.2" x14ac:dyDescent="0.3">
      <c r="A91" s="54"/>
      <c r="B91" s="6">
        <f t="shared" si="4"/>
        <v>159.80854017690049</v>
      </c>
      <c r="C91" s="1">
        <f>'[1]1401'!C91/((1+C$2)^C$1)</f>
        <v>0</v>
      </c>
      <c r="D91" s="1">
        <f>'[1]1401'!D91/((1+D$2)^D$1)</f>
        <v>0</v>
      </c>
      <c r="E91" s="1">
        <f>'[1]1401'!E91/((1+E$2)^E$1)</f>
        <v>0</v>
      </c>
      <c r="F91" s="1">
        <f>'[1]1401'!F91/((1+F$2)^F$1)</f>
        <v>0</v>
      </c>
      <c r="G91" s="1">
        <f>'[1]1401'!G91/((1+G$2)^G$1)</f>
        <v>0</v>
      </c>
      <c r="H91" s="1">
        <f>'[2]1401'!H91/((1+H$2)^H$1)</f>
        <v>22.279566245625272</v>
      </c>
      <c r="I91" s="1">
        <f>'[1]1401'!I91/((1+I$2)^I$1)</f>
        <v>22.650892349719022</v>
      </c>
      <c r="J91" s="1">
        <f>'[1]1401'!J91/((1+J$2)^J$1)</f>
        <v>23.028407222214341</v>
      </c>
      <c r="K91" s="1">
        <f>'[1]1401'!K91/((1+K$2)^K$1)</f>
        <v>23.412214009251247</v>
      </c>
      <c r="L91" s="1">
        <f>'[1]1401'!L91/((1+L$2)^L$1)</f>
        <v>27.769487172084109</v>
      </c>
      <c r="M91" s="1">
        <f>'[1]1401'!M91/((1+M$2)^M$1)</f>
        <v>20.165937113061077</v>
      </c>
      <c r="N91" s="1">
        <f>'[1]1401'!N91/((1+N$2)^N$1)</f>
        <v>20.502036064945433</v>
      </c>
      <c r="O91" s="4">
        <v>25</v>
      </c>
      <c r="P91" s="54" t="s">
        <v>109</v>
      </c>
      <c r="Q91" s="54">
        <v>1099</v>
      </c>
      <c r="R91" s="54"/>
      <c r="S91" s="54">
        <f t="shared" si="3"/>
        <v>88</v>
      </c>
    </row>
    <row r="92" spans="1:19" ht="22.2" x14ac:dyDescent="0.3">
      <c r="A92" s="54"/>
      <c r="B92" s="6">
        <f t="shared" si="4"/>
        <v>232.62380218280978</v>
      </c>
      <c r="C92" s="1">
        <f>'[1]1401'!C92/((1+C$2)^C$1)</f>
        <v>0</v>
      </c>
      <c r="D92" s="1">
        <f>'[1]1401'!D92/((1+D$2)^D$1)</f>
        <v>0</v>
      </c>
      <c r="E92" s="1">
        <f>'[1]1401'!E92/((1+E$2)^E$1)</f>
        <v>0</v>
      </c>
      <c r="F92" s="1">
        <f>'[1]1401'!F92/((1+F$2)^F$1)</f>
        <v>0</v>
      </c>
      <c r="G92" s="1">
        <f>'[1]1401'!G92/((1+G$2)^G$1)</f>
        <v>0</v>
      </c>
      <c r="H92" s="1">
        <f>'[2]1401'!H92/((1+H$2)^H$1)</f>
        <v>37.132610409375452</v>
      </c>
      <c r="I92" s="1">
        <f>'[1]1401'!I92/((1+I$2)^I$1)</f>
        <v>37.751487249531706</v>
      </c>
      <c r="J92" s="1">
        <f>'[1]1401'!J92/((1+J$2)^J$1)</f>
        <v>38.380678703690563</v>
      </c>
      <c r="K92" s="1">
        <f>'[1]1401'!K92/((1+K$2)^K$1)</f>
        <v>39.020356682085414</v>
      </c>
      <c r="L92" s="1">
        <f>'[1]1401'!L92/((1+L$2)^L$1)</f>
        <v>39.670695960120156</v>
      </c>
      <c r="M92" s="1">
        <f>'[1]1401'!M92/((1+M$2)^M$1)</f>
        <v>20.165937113061077</v>
      </c>
      <c r="N92" s="1">
        <f>'[1]1401'!N92/((1+N$2)^N$1)</f>
        <v>20.502036064945433</v>
      </c>
      <c r="O92" s="4">
        <v>25</v>
      </c>
      <c r="P92" s="54" t="s">
        <v>110</v>
      </c>
      <c r="Q92" s="54">
        <v>1100</v>
      </c>
      <c r="R92" s="54"/>
      <c r="S92" s="54">
        <f t="shared" si="3"/>
        <v>89</v>
      </c>
    </row>
    <row r="93" spans="1:19" ht="22.2" x14ac:dyDescent="0.3">
      <c r="A93" s="54"/>
      <c r="B93" s="6">
        <f t="shared" si="4"/>
        <v>159.80854017690049</v>
      </c>
      <c r="C93" s="1">
        <f>'[1]1401'!C93/((1+C$2)^C$1)</f>
        <v>0</v>
      </c>
      <c r="D93" s="1">
        <f>'[1]1401'!D93/((1+D$2)^D$1)</f>
        <v>0</v>
      </c>
      <c r="E93" s="1">
        <f>'[1]1401'!E93/((1+E$2)^E$1)</f>
        <v>0</v>
      </c>
      <c r="F93" s="1">
        <f>'[1]1401'!F93/((1+F$2)^F$1)</f>
        <v>0</v>
      </c>
      <c r="G93" s="1">
        <f>'[1]1401'!G93/((1+G$2)^G$1)</f>
        <v>0</v>
      </c>
      <c r="H93" s="1">
        <f>'[2]1401'!H93/((1+H$2)^H$1)</f>
        <v>22.279566245625272</v>
      </c>
      <c r="I93" s="1">
        <f>'[1]1401'!I93/((1+I$2)^I$1)</f>
        <v>22.650892349719022</v>
      </c>
      <c r="J93" s="1">
        <f>'[1]1401'!J93/((1+J$2)^J$1)</f>
        <v>23.028407222214341</v>
      </c>
      <c r="K93" s="1">
        <f>'[1]1401'!K93/((1+K$2)^K$1)</f>
        <v>23.412214009251247</v>
      </c>
      <c r="L93" s="1">
        <f>'[1]1401'!L93/((1+L$2)^L$1)</f>
        <v>27.769487172084109</v>
      </c>
      <c r="M93" s="1">
        <f>'[1]1401'!M93/((1+M$2)^M$1)</f>
        <v>20.165937113061077</v>
      </c>
      <c r="N93" s="1">
        <f>'[1]1401'!N93/((1+N$2)^N$1)</f>
        <v>20.502036064945433</v>
      </c>
      <c r="O93" s="4">
        <v>25</v>
      </c>
      <c r="P93" s="54" t="s">
        <v>111</v>
      </c>
      <c r="Q93" s="54">
        <v>1101</v>
      </c>
      <c r="R93" s="54"/>
      <c r="S93" s="54">
        <f t="shared" si="3"/>
        <v>90</v>
      </c>
    </row>
    <row r="94" spans="1:19" ht="22.2" x14ac:dyDescent="0.3">
      <c r="A94" s="54"/>
      <c r="B94" s="6">
        <f t="shared" si="4"/>
        <v>4099.3766304122446</v>
      </c>
      <c r="C94" s="1">
        <f>'[1]1401'!C94/((1+C$2)^C$1)</f>
        <v>0</v>
      </c>
      <c r="D94" s="1">
        <f>'[1]1401'!D94/((1+D$2)^D$1)</f>
        <v>0</v>
      </c>
      <c r="E94" s="1">
        <f>'[1]1401'!E94/((1+E$2)^E$1)</f>
        <v>0</v>
      </c>
      <c r="F94" s="1">
        <f>'[1]1401'!F94/((1+F$2)^F$1)</f>
        <v>0</v>
      </c>
      <c r="G94" s="1">
        <f>'[1]1401'!G94/((1+G$2)^G$1)</f>
        <v>0</v>
      </c>
      <c r="H94" s="1">
        <f>'[2]1401'!H94/((1+H$2)^H$1)</f>
        <v>556.98915614063174</v>
      </c>
      <c r="I94" s="1">
        <f>'[1]1401'!I94/((1+I$2)^I$1)</f>
        <v>566.27230874297561</v>
      </c>
      <c r="J94" s="1">
        <f>'[1]1401'!J94/((1+J$2)^J$1)</f>
        <v>575.71018055535853</v>
      </c>
      <c r="K94" s="1">
        <f>'[1]1401'!K94/((1+K$2)^K$1)</f>
        <v>585.30535023128118</v>
      </c>
      <c r="L94" s="1">
        <f>'[1]1401'!L94/((1+L$2)^L$1)</f>
        <v>595.06043940180234</v>
      </c>
      <c r="M94" s="1">
        <f>'[1]1401'!M94/((1+M$2)^M$1)</f>
        <v>604.97811339183238</v>
      </c>
      <c r="N94" s="1">
        <f>'[1]1401'!N94/((1+N$2)^N$1)</f>
        <v>615.06108194836293</v>
      </c>
      <c r="O94" s="4">
        <v>750</v>
      </c>
      <c r="P94" s="54" t="s">
        <v>40</v>
      </c>
      <c r="Q94" s="54">
        <v>1020</v>
      </c>
      <c r="R94" s="54" t="s">
        <v>93</v>
      </c>
      <c r="S94" s="54">
        <f t="shared" si="3"/>
        <v>91</v>
      </c>
    </row>
    <row r="95" spans="1:19" ht="22.2" x14ac:dyDescent="0.3">
      <c r="A95" s="54"/>
      <c r="B95" s="6">
        <f t="shared" si="4"/>
        <v>4685.1298164021809</v>
      </c>
      <c r="C95" s="1">
        <f>'[1]1401'!C95/((1+C$2)^C$1)</f>
        <v>0</v>
      </c>
      <c r="D95" s="1">
        <f>'[1]1401'!D95/((1+D$2)^D$1)</f>
        <v>0</v>
      </c>
      <c r="E95" s="1">
        <f>'[1]1401'!E95/((1+E$2)^E$1)</f>
        <v>0</v>
      </c>
      <c r="F95" s="1">
        <f>'[1]1401'!F95/((1+F$2)^F$1)</f>
        <v>0</v>
      </c>
      <c r="G95" s="1">
        <f>'[1]1401'!G95/((1+G$2)^G$1)</f>
        <v>0</v>
      </c>
      <c r="H95" s="1">
        <f>'[2]1401'!H95/((1+H$2)^H$1)</f>
        <v>668.38698736875813</v>
      </c>
      <c r="I95" s="1">
        <f>'[1]1401'!I95/((1+I$2)^I$1)</f>
        <v>679.52677049157069</v>
      </c>
      <c r="J95" s="1">
        <f>'[1]1401'!J95/((1+J$2)^J$1)</f>
        <v>690.85221666643019</v>
      </c>
      <c r="K95" s="1">
        <f>'[1]1401'!K95/((1+K$2)^K$1)</f>
        <v>468.24428018502493</v>
      </c>
      <c r="L95" s="1">
        <f>'[1]1401'!L95/((1+L$2)^L$1)</f>
        <v>714.07252728216281</v>
      </c>
      <c r="M95" s="1">
        <f>'[1]1401'!M95/((1+M$2)^M$1)</f>
        <v>725.97373607019881</v>
      </c>
      <c r="N95" s="1">
        <f>'[1]1401'!N95/((1+N$2)^N$1)</f>
        <v>738.07329833803556</v>
      </c>
      <c r="O95" s="4">
        <v>900</v>
      </c>
      <c r="P95" s="54" t="s">
        <v>27</v>
      </c>
      <c r="Q95" s="54">
        <v>1050</v>
      </c>
      <c r="R95" s="54" t="s">
        <v>93</v>
      </c>
      <c r="S95" s="54">
        <f t="shared" si="3"/>
        <v>92</v>
      </c>
    </row>
    <row r="96" spans="1:19" ht="22.2" x14ac:dyDescent="0.3">
      <c r="A96" s="54"/>
      <c r="B96" s="6">
        <f t="shared" si="4"/>
        <v>2334.434591776725</v>
      </c>
      <c r="C96" s="1">
        <f>'[1]1401'!C96/((1+C$2)^C$1)</f>
        <v>0</v>
      </c>
      <c r="D96" s="1">
        <f>'[1]1401'!D96/((1+D$2)^D$1)</f>
        <v>0</v>
      </c>
      <c r="E96" s="1">
        <f>'[1]1401'!E96/((1+E$2)^E$1)</f>
        <v>0</v>
      </c>
      <c r="F96" s="1">
        <f>'[1]1401'!F96/((1+F$2)^F$1)</f>
        <v>0</v>
      </c>
      <c r="G96" s="1">
        <f>'[1]1401'!G96/((1+G$2)^G$1)</f>
        <v>0</v>
      </c>
      <c r="H96" s="1">
        <f>'[2]1401'!H96/((1+H$2)^H$1)</f>
        <v>445.5913249125054</v>
      </c>
      <c r="I96" s="1">
        <f>'[1]1401'!I96/((1+I$2)^I$1)</f>
        <v>0</v>
      </c>
      <c r="J96" s="1">
        <f>'[1]1401'!J96/((1+J$2)^J$1)</f>
        <v>460.56814444428682</v>
      </c>
      <c r="K96" s="1">
        <f>'[1]1401'!K96/((1+K$2)^K$1)</f>
        <v>468.24428018502493</v>
      </c>
      <c r="L96" s="1">
        <f>'[1]1401'!L96/((1+L$2)^L$1)</f>
        <v>476.04835152144182</v>
      </c>
      <c r="M96" s="1">
        <f>'[1]1401'!M96/((1+M$2)^M$1)</f>
        <v>483.98249071346589</v>
      </c>
      <c r="N96" s="1">
        <f>'[1]1401'!N96/((1+N$2)^N$1)</f>
        <v>0</v>
      </c>
      <c r="O96" s="4">
        <v>500</v>
      </c>
      <c r="P96" s="54" t="s">
        <v>103</v>
      </c>
      <c r="Q96" s="54">
        <v>1094</v>
      </c>
      <c r="R96" s="54" t="s">
        <v>93</v>
      </c>
      <c r="S96" s="54">
        <f t="shared" si="3"/>
        <v>93</v>
      </c>
    </row>
    <row r="97" spans="1:19" ht="22.2" x14ac:dyDescent="0.3">
      <c r="A97" s="54"/>
      <c r="B97" s="6">
        <f t="shared" si="4"/>
        <v>1243.4466604144091</v>
      </c>
      <c r="C97" s="1">
        <f>'[1]1401'!C97/((1+C$2)^C$1)</f>
        <v>0</v>
      </c>
      <c r="D97" s="1">
        <f>'[1]1401'!D97/((1+D$2)^D$1)</f>
        <v>0</v>
      </c>
      <c r="E97" s="1">
        <f>'[1]1401'!E97/((1+E$2)^E$1)</f>
        <v>0</v>
      </c>
      <c r="F97" s="1">
        <f>'[1]1401'!F97/((1+F$2)^F$1)</f>
        <v>0</v>
      </c>
      <c r="G97" s="1">
        <f>'[1]1401'!G97/((1+G$2)^G$1)</f>
        <v>0</v>
      </c>
      <c r="H97" s="1">
        <f>'[2]1401'!H97/((1+H$2)^H$1)</f>
        <v>185.66305204687725</v>
      </c>
      <c r="I97" s="1">
        <f>'[1]1401'!I97/((1+I$2)^I$1)</f>
        <v>188.75743624765852</v>
      </c>
      <c r="J97" s="1">
        <f>'[1]1401'!J97/((1+J$2)^J$1)</f>
        <v>191.90339351845284</v>
      </c>
      <c r="K97" s="1">
        <f>'[1]1401'!K97/((1+K$2)^K$1)</f>
        <v>195.10178341042706</v>
      </c>
      <c r="L97" s="1">
        <f>'[1]1401'!L97/((1+L$2)^L$1)</f>
        <v>198.35347980060075</v>
      </c>
      <c r="M97" s="1">
        <f>'[1]1401'!M97/((1+M$2)^M$1)</f>
        <v>201.65937113061079</v>
      </c>
      <c r="N97" s="1">
        <f>'[1]1401'!N97/((1+N$2)^N$1)</f>
        <v>82.00814425978173</v>
      </c>
      <c r="O97" s="4">
        <v>250</v>
      </c>
      <c r="P97" s="54" t="s">
        <v>61</v>
      </c>
      <c r="Q97" s="54">
        <v>1021</v>
      </c>
      <c r="R97" s="54" t="s">
        <v>93</v>
      </c>
      <c r="S97" s="54">
        <f t="shared" si="3"/>
        <v>94</v>
      </c>
    </row>
    <row r="98" spans="1:19" ht="22.2" x14ac:dyDescent="0.3">
      <c r="A98" s="54"/>
      <c r="B98" s="6">
        <f t="shared" si="4"/>
        <v>1639.7506521648979</v>
      </c>
      <c r="C98" s="1">
        <f>'[1]1401'!C98/((1+C$2)^C$1)</f>
        <v>0</v>
      </c>
      <c r="D98" s="1">
        <f>'[1]1401'!D98/((1+D$2)^D$1)</f>
        <v>0</v>
      </c>
      <c r="E98" s="1">
        <f>'[1]1401'!E98/((1+E$2)^E$1)</f>
        <v>0</v>
      </c>
      <c r="F98" s="1">
        <f>'[1]1401'!F98/((1+F$2)^F$1)</f>
        <v>0</v>
      </c>
      <c r="G98" s="1">
        <f>'[1]1401'!G98/((1+G$2)^G$1)</f>
        <v>0</v>
      </c>
      <c r="H98" s="1">
        <f>'[2]1401'!H98/((1+H$2)^H$1)</f>
        <v>222.7956624562527</v>
      </c>
      <c r="I98" s="1">
        <f>'[1]1401'!I98/((1+I$2)^I$1)</f>
        <v>226.50892349719024</v>
      </c>
      <c r="J98" s="1">
        <f>'[1]1401'!J98/((1+J$2)^J$1)</f>
        <v>230.28407222214341</v>
      </c>
      <c r="K98" s="1">
        <f>'[1]1401'!K98/((1+K$2)^K$1)</f>
        <v>234.12214009251247</v>
      </c>
      <c r="L98" s="1">
        <f>'[1]1401'!L98/((1+L$2)^L$1)</f>
        <v>238.02417576072091</v>
      </c>
      <c r="M98" s="1">
        <f>'[1]1401'!M98/((1+M$2)^M$1)</f>
        <v>241.99124535673295</v>
      </c>
      <c r="N98" s="1">
        <f>'[1]1401'!N98/((1+N$2)^N$1)</f>
        <v>246.02443277934518</v>
      </c>
      <c r="O98" s="4">
        <v>300</v>
      </c>
      <c r="P98" s="54" t="s">
        <v>76</v>
      </c>
      <c r="Q98" s="54">
        <v>1026</v>
      </c>
      <c r="R98" s="54" t="s">
        <v>93</v>
      </c>
      <c r="S98" s="54">
        <f t="shared" si="3"/>
        <v>95</v>
      </c>
    </row>
    <row r="99" spans="1:19" ht="22.2" x14ac:dyDescent="0.3">
      <c r="A99" s="54"/>
      <c r="B99" s="6">
        <f t="shared" si="4"/>
        <v>546.58355072163261</v>
      </c>
      <c r="C99" s="1">
        <f>'[1]1401'!C99/((1+C$2)^C$1)</f>
        <v>0</v>
      </c>
      <c r="D99" s="1">
        <f>'[1]1401'!D99/((1+D$2)^D$1)</f>
        <v>0</v>
      </c>
      <c r="E99" s="1">
        <f>'[1]1401'!E99/((1+E$2)^E$1)</f>
        <v>0</v>
      </c>
      <c r="F99" s="1">
        <f>'[1]1401'!F99/((1+F$2)^F$1)</f>
        <v>0</v>
      </c>
      <c r="G99" s="1">
        <f>'[1]1401'!G99/((1+G$2)^G$1)</f>
        <v>0</v>
      </c>
      <c r="H99" s="1">
        <f>'[2]1401'!H99/((1+H$2)^H$1)</f>
        <v>74.265220818750905</v>
      </c>
      <c r="I99" s="1">
        <f>'[1]1401'!I99/((1+I$2)^I$1)</f>
        <v>75.502974499063413</v>
      </c>
      <c r="J99" s="1">
        <f>'[1]1401'!J99/((1+J$2)^J$1)</f>
        <v>76.761357407381126</v>
      </c>
      <c r="K99" s="1">
        <f>'[1]1401'!K99/((1+K$2)^K$1)</f>
        <v>78.040713364170827</v>
      </c>
      <c r="L99" s="1">
        <f>'[1]1401'!L99/((1+L$2)^L$1)</f>
        <v>79.341391920240312</v>
      </c>
      <c r="M99" s="1">
        <f>'[1]1401'!M99/((1+M$2)^M$1)</f>
        <v>80.663748452244306</v>
      </c>
      <c r="N99" s="1">
        <f>'[1]1401'!N99/((1+N$2)^N$1)</f>
        <v>82.00814425978173</v>
      </c>
      <c r="O99" s="4">
        <v>100</v>
      </c>
      <c r="P99" s="54" t="s">
        <v>64</v>
      </c>
      <c r="Q99" s="54">
        <v>1047</v>
      </c>
      <c r="R99" s="54" t="s">
        <v>93</v>
      </c>
      <c r="S99" s="54">
        <f t="shared" si="3"/>
        <v>96</v>
      </c>
    </row>
    <row r="100" spans="1:19" ht="22.2" x14ac:dyDescent="0.3">
      <c r="A100" s="54"/>
      <c r="B100" s="6">
        <f t="shared" si="4"/>
        <v>819.87532608244896</v>
      </c>
      <c r="C100" s="1">
        <f>'[1]1401'!C100/((1+C$2)^C$1)</f>
        <v>0</v>
      </c>
      <c r="D100" s="1">
        <f>'[1]1401'!D100/((1+D$2)^D$1)</f>
        <v>0</v>
      </c>
      <c r="E100" s="1">
        <f>'[1]1401'!E100/((1+E$2)^E$1)</f>
        <v>0</v>
      </c>
      <c r="F100" s="1">
        <f>'[1]1401'!F100/((1+F$2)^F$1)</f>
        <v>0</v>
      </c>
      <c r="G100" s="1">
        <f>'[1]1401'!G100/((1+G$2)^G$1)</f>
        <v>0</v>
      </c>
      <c r="H100" s="1">
        <f>'[2]1401'!H100/((1+H$2)^H$1)</f>
        <v>111.39783122812635</v>
      </c>
      <c r="I100" s="1">
        <f>'[1]1401'!I100/((1+I$2)^I$1)</f>
        <v>113.25446174859512</v>
      </c>
      <c r="J100" s="1">
        <f>'[1]1401'!J100/((1+J$2)^J$1)</f>
        <v>115.1420361110717</v>
      </c>
      <c r="K100" s="1">
        <f>'[1]1401'!K100/((1+K$2)^K$1)</f>
        <v>117.06107004625623</v>
      </c>
      <c r="L100" s="1">
        <f>'[1]1401'!L100/((1+L$2)^L$1)</f>
        <v>119.01208788036045</v>
      </c>
      <c r="M100" s="1">
        <f>'[1]1401'!M100/((1+M$2)^M$1)</f>
        <v>120.99562267836647</v>
      </c>
      <c r="N100" s="1">
        <f>'[1]1401'!N100/((1+N$2)^N$1)</f>
        <v>123.01221638967259</v>
      </c>
      <c r="O100" s="4">
        <v>150</v>
      </c>
      <c r="P100" s="54" t="s">
        <v>75</v>
      </c>
      <c r="Q100" s="54">
        <v>1071</v>
      </c>
      <c r="R100" s="54" t="s">
        <v>93</v>
      </c>
      <c r="S100" s="54">
        <f t="shared" si="3"/>
        <v>97</v>
      </c>
    </row>
    <row r="101" spans="1:19" ht="22.2" x14ac:dyDescent="0.3">
      <c r="A101" s="54"/>
      <c r="B101" s="6">
        <f t="shared" si="4"/>
        <v>1639.7506521648979</v>
      </c>
      <c r="C101" s="1">
        <f>'[1]1401'!C101/((1+C$2)^C$1)</f>
        <v>0</v>
      </c>
      <c r="D101" s="1">
        <f>'[1]1401'!D101/((1+D$2)^D$1)</f>
        <v>0</v>
      </c>
      <c r="E101" s="1">
        <f>'[1]1401'!E101/((1+E$2)^E$1)</f>
        <v>0</v>
      </c>
      <c r="F101" s="1">
        <f>'[1]1401'!F101/((1+F$2)^F$1)</f>
        <v>0</v>
      </c>
      <c r="G101" s="1">
        <f>'[1]1401'!G101/((1+G$2)^G$1)</f>
        <v>0</v>
      </c>
      <c r="H101" s="1">
        <f>'[2]1401'!H101/((1+H$2)^H$1)</f>
        <v>222.7956624562527</v>
      </c>
      <c r="I101" s="1">
        <f>'[1]1401'!I101/((1+I$2)^I$1)</f>
        <v>226.50892349719024</v>
      </c>
      <c r="J101" s="1">
        <f>'[1]1401'!J101/((1+J$2)^J$1)</f>
        <v>230.28407222214341</v>
      </c>
      <c r="K101" s="1">
        <f>'[1]1401'!K101/((1+K$2)^K$1)</f>
        <v>234.12214009251247</v>
      </c>
      <c r="L101" s="1">
        <f>'[1]1401'!L101/((1+L$2)^L$1)</f>
        <v>238.02417576072091</v>
      </c>
      <c r="M101" s="1">
        <f>'[1]1401'!M101/((1+M$2)^M$1)</f>
        <v>241.99124535673295</v>
      </c>
      <c r="N101" s="1">
        <f>'[1]1401'!N101/((1+N$2)^N$1)</f>
        <v>246.02443277934518</v>
      </c>
      <c r="O101" s="4">
        <v>300</v>
      </c>
      <c r="P101" s="54" t="s">
        <v>62</v>
      </c>
      <c r="Q101" s="54">
        <v>1006</v>
      </c>
      <c r="R101" s="54" t="s">
        <v>93</v>
      </c>
      <c r="S101" s="54">
        <f t="shared" si="3"/>
        <v>98</v>
      </c>
    </row>
    <row r="102" spans="1:19" ht="22.2" x14ac:dyDescent="0.3">
      <c r="A102" s="54"/>
      <c r="B102" s="6">
        <f t="shared" si="4"/>
        <v>1093.1671014432652</v>
      </c>
      <c r="C102" s="1">
        <f>'[1]1401'!C102/((1+C$2)^C$1)</f>
        <v>0</v>
      </c>
      <c r="D102" s="1">
        <f>'[1]1401'!D102/((1+D$2)^D$1)</f>
        <v>0</v>
      </c>
      <c r="E102" s="1">
        <f>'[1]1401'!E102/((1+E$2)^E$1)</f>
        <v>0</v>
      </c>
      <c r="F102" s="1">
        <f>'[1]1401'!F102/((1+F$2)^F$1)</f>
        <v>0</v>
      </c>
      <c r="G102" s="1">
        <f>'[1]1401'!G102/((1+G$2)^G$1)</f>
        <v>0</v>
      </c>
      <c r="H102" s="1">
        <f>'[2]1401'!H102/((1+H$2)^H$1)</f>
        <v>148.53044163750181</v>
      </c>
      <c r="I102" s="1">
        <f>'[1]1401'!I102/((1+I$2)^I$1)</f>
        <v>151.00594899812683</v>
      </c>
      <c r="J102" s="1">
        <f>'[1]1401'!J102/((1+J$2)^J$1)</f>
        <v>153.52271481476225</v>
      </c>
      <c r="K102" s="1">
        <f>'[1]1401'!K102/((1+K$2)^K$1)</f>
        <v>156.08142672834165</v>
      </c>
      <c r="L102" s="1">
        <f>'[1]1401'!L102/((1+L$2)^L$1)</f>
        <v>158.68278384048062</v>
      </c>
      <c r="M102" s="1">
        <f>'[1]1401'!M102/((1+M$2)^M$1)</f>
        <v>161.32749690448861</v>
      </c>
      <c r="N102" s="1">
        <f>'[1]1401'!N102/((1+N$2)^N$1)</f>
        <v>164.01628851956346</v>
      </c>
      <c r="O102" s="4">
        <v>200</v>
      </c>
      <c r="P102" s="54" t="s">
        <v>98</v>
      </c>
      <c r="Q102" s="54">
        <v>1090</v>
      </c>
      <c r="R102" s="54"/>
      <c r="S102" s="54">
        <f t="shared" si="3"/>
        <v>99</v>
      </c>
    </row>
    <row r="103" spans="1:19" ht="22.2" x14ac:dyDescent="0.3">
      <c r="A103" s="54"/>
      <c r="B103" s="6">
        <f t="shared" si="4"/>
        <v>1800.0840152749072</v>
      </c>
      <c r="C103" s="1">
        <f>'[1]1401'!C103/((1+C$2)^C$1)</f>
        <v>136.74849307364116</v>
      </c>
      <c r="D103" s="1">
        <f>'[1]1401'!D103/((1+D$2)^D$1)</f>
        <v>139.02763462486845</v>
      </c>
      <c r="E103" s="1">
        <f>'[1]1401'!E103/((1+E$2)^E$1)</f>
        <v>141.34476186861627</v>
      </c>
      <c r="F103" s="1">
        <f>'[1]1401'!F103/((1+F$2)^F$1)</f>
        <v>143.70050789975988</v>
      </c>
      <c r="G103" s="1">
        <f>'[1]1401'!G103/((1+G$2)^G$1)</f>
        <v>146.09551636475589</v>
      </c>
      <c r="H103" s="1">
        <f>'[2]1401'!H103/((1+H$2)^H$1)</f>
        <v>148.53044163750181</v>
      </c>
      <c r="I103" s="1">
        <f>'[1]1401'!I103/((1+I$2)^I$1)</f>
        <v>151.00594899812683</v>
      </c>
      <c r="J103" s="1">
        <f>'[1]1401'!J103/((1+J$2)^J$1)</f>
        <v>153.52271481476225</v>
      </c>
      <c r="K103" s="1">
        <f>'[1]1401'!K103/((1+K$2)^K$1)</f>
        <v>156.08142672834165</v>
      </c>
      <c r="L103" s="1">
        <f>'[1]1401'!L103/((1+L$2)^L$1)</f>
        <v>158.68278384048062</v>
      </c>
      <c r="M103" s="1">
        <f>'[1]1401'!M103/((1+M$2)^M$1)</f>
        <v>161.32749690448861</v>
      </c>
      <c r="N103" s="1">
        <f>'[1]1401'!N103/((1+N$2)^N$1)</f>
        <v>164.01628851956346</v>
      </c>
      <c r="O103" s="4">
        <v>200</v>
      </c>
      <c r="P103" s="54" t="s">
        <v>100</v>
      </c>
      <c r="Q103" s="54">
        <v>1092</v>
      </c>
      <c r="R103" s="54"/>
      <c r="S103" s="54">
        <f t="shared" si="3"/>
        <v>100</v>
      </c>
    </row>
    <row r="104" spans="1:19" ht="22.2" x14ac:dyDescent="0.3">
      <c r="A104" s="54"/>
      <c r="B104" s="6">
        <f t="shared" si="4"/>
        <v>1639.7506521648979</v>
      </c>
      <c r="C104" s="1">
        <f>'[1]1401'!C104/((1+C$2)^C$1)</f>
        <v>0</v>
      </c>
      <c r="D104" s="1">
        <f>'[1]1401'!D104/((1+D$2)^D$1)</f>
        <v>0</v>
      </c>
      <c r="E104" s="1">
        <f>'[1]1401'!E104/((1+E$2)^E$1)</f>
        <v>0</v>
      </c>
      <c r="F104" s="1">
        <f>'[1]1401'!F104/((1+F$2)^F$1)</f>
        <v>0</v>
      </c>
      <c r="G104" s="1">
        <f>'[1]1401'!G104/((1+G$2)^G$1)</f>
        <v>0</v>
      </c>
      <c r="H104" s="1">
        <f>'[2]1401'!H104/((1+H$2)^H$1)</f>
        <v>222.7956624562527</v>
      </c>
      <c r="I104" s="1">
        <f>'[1]1401'!I104/((1+I$2)^I$1)</f>
        <v>226.50892349719024</v>
      </c>
      <c r="J104" s="1">
        <f>'[1]1401'!J104/((1+J$2)^J$1)</f>
        <v>230.28407222214341</v>
      </c>
      <c r="K104" s="1">
        <f>'[1]1401'!K104/((1+K$2)^K$1)</f>
        <v>234.12214009251247</v>
      </c>
      <c r="L104" s="1">
        <f>'[1]1401'!L104/((1+L$2)^L$1)</f>
        <v>238.02417576072091</v>
      </c>
      <c r="M104" s="1">
        <f>'[1]1401'!M104/((1+M$2)^M$1)</f>
        <v>241.99124535673295</v>
      </c>
      <c r="N104" s="1">
        <f>'[1]1401'!N104/((1+N$2)^N$1)</f>
        <v>246.02443277934518</v>
      </c>
      <c r="O104" s="4">
        <v>200</v>
      </c>
      <c r="P104" s="54" t="s">
        <v>101</v>
      </c>
      <c r="Q104" s="54">
        <v>1093</v>
      </c>
      <c r="R104" s="54"/>
      <c r="S104" s="54">
        <f t="shared" si="3"/>
        <v>101</v>
      </c>
    </row>
    <row r="105" spans="1:19" ht="22.2" x14ac:dyDescent="0.3">
      <c r="A105" s="54"/>
      <c r="B105" s="6">
        <f t="shared" si="4"/>
        <v>1639.7506521648979</v>
      </c>
      <c r="C105" s="1">
        <f>'[1]1401'!C105/((1+C$2)^C$1)</f>
        <v>0</v>
      </c>
      <c r="D105" s="1">
        <f>'[1]1401'!D105/((1+D$2)^D$1)</f>
        <v>0</v>
      </c>
      <c r="E105" s="1">
        <f>'[1]1401'!E105/((1+E$2)^E$1)</f>
        <v>0</v>
      </c>
      <c r="F105" s="1">
        <f>'[1]1401'!F105/((1+F$2)^F$1)</f>
        <v>0</v>
      </c>
      <c r="G105" s="1">
        <f>'[1]1401'!G105/((1+G$2)^G$1)</f>
        <v>0</v>
      </c>
      <c r="H105" s="1">
        <f>'[2]1401'!H105/((1+H$2)^H$1)</f>
        <v>222.7956624562527</v>
      </c>
      <c r="I105" s="1">
        <f>'[1]1401'!I105/((1+I$2)^I$1)</f>
        <v>226.50892349719024</v>
      </c>
      <c r="J105" s="1">
        <f>'[1]1401'!J105/((1+J$2)^J$1)</f>
        <v>230.28407222214341</v>
      </c>
      <c r="K105" s="1">
        <f>'[1]1401'!K105/((1+K$2)^K$1)</f>
        <v>234.12214009251247</v>
      </c>
      <c r="L105" s="1">
        <f>'[1]1401'!L105/((1+L$2)^L$1)</f>
        <v>238.02417576072091</v>
      </c>
      <c r="M105" s="1">
        <f>'[1]1401'!M105/((1+M$2)^M$1)</f>
        <v>241.99124535673295</v>
      </c>
      <c r="N105" s="1">
        <f>'[1]1401'!N105/((1+N$2)^N$1)</f>
        <v>246.02443277934518</v>
      </c>
      <c r="O105" s="4">
        <v>300</v>
      </c>
      <c r="P105" s="54" t="s">
        <v>99</v>
      </c>
      <c r="Q105" s="54">
        <v>1091</v>
      </c>
      <c r="R105" s="54"/>
      <c r="S105" s="54">
        <f t="shared" si="3"/>
        <v>102</v>
      </c>
    </row>
    <row r="106" spans="1:19" ht="22.2" x14ac:dyDescent="0.3">
      <c r="A106" s="54"/>
      <c r="B106" s="6">
        <f t="shared" si="4"/>
        <v>149.76819531781433</v>
      </c>
      <c r="C106" s="1">
        <f>'[1]1401'!C106/((1+C$2)^C$1)</f>
        <v>0</v>
      </c>
      <c r="D106" s="1">
        <f>'[1]1401'!D106/((1+D$2)^D$1)</f>
        <v>0</v>
      </c>
      <c r="E106" s="1">
        <f>'[1]1401'!E106/((1+E$2)^E$1)</f>
        <v>0</v>
      </c>
      <c r="F106" s="1">
        <f>'[1]1401'!F106/((1+F$2)^F$1)</f>
        <v>0</v>
      </c>
      <c r="G106" s="1">
        <f>'[1]1401'!G106/((1+G$2)^G$1)</f>
        <v>0</v>
      </c>
      <c r="H106" s="1">
        <f>'[2]1401'!H106/((1+H$2)^H$1)</f>
        <v>74.265220818750905</v>
      </c>
      <c r="I106" s="1">
        <f>'[1]1401'!I106/((1+I$2)^I$1)</f>
        <v>75.502974499063413</v>
      </c>
      <c r="J106" s="1">
        <f>'[1]1401'!J106/((1+J$2)^J$1)</f>
        <v>0</v>
      </c>
      <c r="K106" s="1">
        <f>'[1]1401'!K106/((1+K$2)^K$1)</f>
        <v>0</v>
      </c>
      <c r="L106" s="1">
        <f>'[1]1401'!L106/((1+L$2)^L$1)</f>
        <v>0</v>
      </c>
      <c r="M106" s="1">
        <f>'[1]1401'!M106/((1+M$2)^M$1)</f>
        <v>0</v>
      </c>
      <c r="N106" s="1">
        <f>'[1]1401'!N106/((1+N$2)^N$1)</f>
        <v>0</v>
      </c>
      <c r="O106" s="4">
        <v>100</v>
      </c>
      <c r="P106" s="71" t="s">
        <v>232</v>
      </c>
      <c r="Q106" s="71">
        <v>1072</v>
      </c>
      <c r="R106" s="54"/>
      <c r="S106" s="54">
        <f t="shared" si="3"/>
        <v>103</v>
      </c>
    </row>
    <row r="107" spans="1:19" ht="22.2" x14ac:dyDescent="0.3">
      <c r="A107" s="54"/>
      <c r="B107" s="6">
        <f t="shared" si="4"/>
        <v>0</v>
      </c>
      <c r="C107" s="1">
        <f>'[1]1401'!C107/((1+C$2)^C$1)</f>
        <v>0</v>
      </c>
      <c r="D107" s="1">
        <f>'[1]1401'!D107/((1+D$2)^D$1)</f>
        <v>0</v>
      </c>
      <c r="E107" s="1">
        <f>'[1]1401'!E107/((1+E$2)^E$1)</f>
        <v>0</v>
      </c>
      <c r="F107" s="1">
        <f>'[1]1401'!F107/((1+F$2)^F$1)</f>
        <v>0</v>
      </c>
      <c r="G107" s="1">
        <f>'[1]1401'!G107/((1+G$2)^G$1)</f>
        <v>0</v>
      </c>
      <c r="H107" s="1">
        <f>'[2]1401'!H107/((1+H$2)^H$1)</f>
        <v>0</v>
      </c>
      <c r="I107" s="1">
        <f>'[1]1401'!I107/((1+I$2)^I$1)</f>
        <v>0</v>
      </c>
      <c r="J107" s="1">
        <f>'[1]1401'!J107/((1+J$2)^J$1)</f>
        <v>0</v>
      </c>
      <c r="K107" s="1">
        <f>'[1]1401'!K107/((1+K$2)^K$1)</f>
        <v>0</v>
      </c>
      <c r="L107" s="1">
        <f>'[1]1401'!L107/((1+L$2)^L$1)</f>
        <v>0</v>
      </c>
      <c r="M107" s="1">
        <f>'[1]1401'!M107/((1+M$2)^M$1)</f>
        <v>0</v>
      </c>
      <c r="N107" s="1">
        <f>'[1]1401'!N107/((1+N$2)^N$1)</f>
        <v>0</v>
      </c>
      <c r="O107" s="4">
        <v>0</v>
      </c>
      <c r="P107" s="71" t="s">
        <v>236</v>
      </c>
      <c r="Q107" s="71">
        <v>1073</v>
      </c>
      <c r="R107" s="54"/>
      <c r="S107" s="54">
        <f t="shared" si="3"/>
        <v>104</v>
      </c>
    </row>
    <row r="108" spans="1:19" ht="22.2" x14ac:dyDescent="0.3">
      <c r="A108" s="54"/>
      <c r="B108" s="6">
        <f t="shared" si="4"/>
        <v>149.76819531781433</v>
      </c>
      <c r="C108" s="1">
        <f>'[1]1401'!C108/((1+C$2)^C$1)</f>
        <v>0</v>
      </c>
      <c r="D108" s="1">
        <f>'[1]1401'!D108/((1+D$2)^D$1)</f>
        <v>0</v>
      </c>
      <c r="E108" s="1">
        <f>'[1]1401'!E108/((1+E$2)^E$1)</f>
        <v>0</v>
      </c>
      <c r="F108" s="1">
        <f>'[1]1401'!F108/((1+F$2)^F$1)</f>
        <v>0</v>
      </c>
      <c r="G108" s="1">
        <f>'[1]1401'!G108/((1+G$2)^G$1)</f>
        <v>0</v>
      </c>
      <c r="H108" s="1">
        <f>'[2]1401'!H108/((1+H$2)^H$1)</f>
        <v>74.265220818750905</v>
      </c>
      <c r="I108" s="1">
        <f>'[1]1401'!I108/((1+I$2)^I$1)</f>
        <v>75.502974499063413</v>
      </c>
      <c r="J108" s="1">
        <f>'[1]1401'!J108/((1+J$2)^J$1)</f>
        <v>0</v>
      </c>
      <c r="K108" s="1">
        <f>'[1]1401'!K108/((1+K$2)^K$1)</f>
        <v>0</v>
      </c>
      <c r="L108" s="1">
        <f>'[1]1401'!L108/((1+L$2)^L$1)</f>
        <v>0</v>
      </c>
      <c r="M108" s="1">
        <f>'[1]1401'!M108/((1+M$2)^M$1)</f>
        <v>0</v>
      </c>
      <c r="N108" s="1">
        <f>'[1]1401'!N108/((1+N$2)^N$1)</f>
        <v>0</v>
      </c>
      <c r="O108" s="4">
        <v>100</v>
      </c>
      <c r="P108" s="71" t="s">
        <v>231</v>
      </c>
      <c r="Q108" s="71">
        <v>1105</v>
      </c>
      <c r="R108" s="54"/>
      <c r="S108" s="54">
        <v>105</v>
      </c>
    </row>
    <row r="109" spans="1:19" ht="22.2" x14ac:dyDescent="0.3">
      <c r="A109" s="54"/>
      <c r="B109" s="6">
        <f t="shared" si="4"/>
        <v>299.53639063562866</v>
      </c>
      <c r="C109" s="1">
        <f>'[1]1401'!C109/((1+C$2)^C$1)</f>
        <v>0</v>
      </c>
      <c r="D109" s="1">
        <f>'[1]1401'!D109/((1+D$2)^D$1)</f>
        <v>0</v>
      </c>
      <c r="E109" s="1">
        <f>'[1]1401'!E109/((1+E$2)^E$1)</f>
        <v>0</v>
      </c>
      <c r="F109" s="1">
        <f>'[1]1401'!F109/((1+F$2)^F$1)</f>
        <v>0</v>
      </c>
      <c r="G109" s="1">
        <f>'[1]1401'!G109/((1+G$2)^G$1)</f>
        <v>0</v>
      </c>
      <c r="H109" s="1">
        <f>'[2]1401'!H109/((1+H$2)^H$1)</f>
        <v>148.53044163750181</v>
      </c>
      <c r="I109" s="1">
        <f>'[1]1401'!I109/((1+I$2)^I$1)</f>
        <v>151.00594899812683</v>
      </c>
      <c r="J109" s="1">
        <f>'[1]1401'!J109/((1+J$2)^J$1)</f>
        <v>0</v>
      </c>
      <c r="K109" s="1">
        <f>'[1]1401'!K109/((1+K$2)^K$1)</f>
        <v>0</v>
      </c>
      <c r="L109" s="1">
        <f>'[1]1401'!L109/((1+L$2)^L$1)</f>
        <v>0</v>
      </c>
      <c r="M109" s="1">
        <f>'[1]1401'!M109/((1+M$2)^M$1)</f>
        <v>0</v>
      </c>
      <c r="N109" s="1">
        <f>'[1]1401'!N109/((1+N$2)^N$1)</f>
        <v>0</v>
      </c>
      <c r="O109" s="4">
        <v>200</v>
      </c>
      <c r="P109" s="71" t="s">
        <v>230</v>
      </c>
      <c r="Q109" s="71">
        <v>1106</v>
      </c>
      <c r="R109" s="54"/>
      <c r="S109" s="54">
        <v>106</v>
      </c>
    </row>
    <row r="110" spans="1:19" ht="22.2" x14ac:dyDescent="0.3">
      <c r="A110" s="54"/>
      <c r="B110" s="6">
        <f t="shared" si="4"/>
        <v>0</v>
      </c>
      <c r="C110" s="1">
        <f>'[1]1401'!C110/((1+C$2)^C$1)</f>
        <v>0</v>
      </c>
      <c r="D110" s="1">
        <f>'[1]1401'!D110/((1+D$2)^D$1)</f>
        <v>0</v>
      </c>
      <c r="E110" s="1">
        <f>'[1]1401'!E110/((1+E$2)^E$1)</f>
        <v>0</v>
      </c>
      <c r="F110" s="1">
        <f>'[1]1401'!F110/((1+F$2)^F$1)</f>
        <v>0</v>
      </c>
      <c r="G110" s="1">
        <f>'[1]1401'!G110/((1+G$2)^G$1)</f>
        <v>0</v>
      </c>
      <c r="H110" s="1">
        <f>'[2]1401'!H110/((1+H$2)^H$1)</f>
        <v>0</v>
      </c>
      <c r="I110" s="1">
        <f>'[1]1401'!I110/((1+I$2)^I$1)</f>
        <v>0</v>
      </c>
      <c r="J110" s="1">
        <f>'[1]1401'!J110/((1+J$2)^J$1)</f>
        <v>0</v>
      </c>
      <c r="K110" s="1">
        <f>'[1]1401'!K110/((1+K$2)^K$1)</f>
        <v>0</v>
      </c>
      <c r="L110" s="1">
        <f>'[1]1401'!L110/((1+L$2)^L$1)</f>
        <v>0</v>
      </c>
      <c r="M110" s="1">
        <f>'[1]1401'!M110/((1+M$2)^M$1)</f>
        <v>0</v>
      </c>
      <c r="N110" s="1">
        <f>'[1]1401'!N110/((1+N$2)^N$1)</f>
        <v>0</v>
      </c>
      <c r="O110" s="4">
        <v>0</v>
      </c>
      <c r="P110" s="71" t="s">
        <v>229</v>
      </c>
      <c r="Q110" s="71">
        <v>1107</v>
      </c>
      <c r="R110" s="54"/>
    </row>
    <row r="111" spans="1:19" ht="22.2" x14ac:dyDescent="0.3">
      <c r="A111" s="54"/>
      <c r="B111" s="6">
        <f t="shared" si="4"/>
        <v>59.412176655000721</v>
      </c>
      <c r="C111" s="1">
        <f>'[1]1401'!C111/((1+C$2)^C$1)</f>
        <v>0</v>
      </c>
      <c r="D111" s="1">
        <f>'[1]1401'!D111/((1+D$2)^D$1)</f>
        <v>0</v>
      </c>
      <c r="E111" s="1">
        <f>'[1]1401'!E111/((1+E$2)^E$1)</f>
        <v>0</v>
      </c>
      <c r="F111" s="1">
        <f>'[1]1401'!F111/((1+F$2)^F$1)</f>
        <v>0</v>
      </c>
      <c r="G111" s="1">
        <f>'[1]1401'!G111/((1+G$2)^G$1)</f>
        <v>0</v>
      </c>
      <c r="H111" s="1">
        <f>'[2]1401'!H111/((1+H$2)^H$1)</f>
        <v>59.412176655000721</v>
      </c>
      <c r="I111" s="1">
        <f>'[1]1401'!I111/((1+I$2)^I$1)</f>
        <v>0</v>
      </c>
      <c r="J111" s="1">
        <f>'[1]1401'!J111/((1+J$2)^J$1)</f>
        <v>0</v>
      </c>
      <c r="K111" s="1">
        <f>'[1]1401'!K111/((1+K$2)^K$1)</f>
        <v>0</v>
      </c>
      <c r="L111" s="1">
        <f>'[1]1401'!L111/((1+L$2)^L$1)</f>
        <v>0</v>
      </c>
      <c r="M111" s="1">
        <f>'[1]1401'!M111/((1+M$2)^M$1)</f>
        <v>0</v>
      </c>
      <c r="N111" s="1">
        <f>'[1]1401'!N111/((1+N$2)^N$1)</f>
        <v>0</v>
      </c>
      <c r="O111" s="4">
        <v>50</v>
      </c>
      <c r="P111" s="71" t="s">
        <v>235</v>
      </c>
      <c r="Q111" s="71">
        <v>1108</v>
      </c>
      <c r="R111" s="54"/>
    </row>
    <row r="112" spans="1:19" ht="22.2" x14ac:dyDescent="0.3">
      <c r="A112" s="54"/>
      <c r="B112" s="6">
        <f t="shared" si="4"/>
        <v>0</v>
      </c>
      <c r="C112" s="1">
        <f>'[1]1401'!C112/((1+C$2)^C$1)</f>
        <v>0</v>
      </c>
      <c r="D112" s="1">
        <f>'[1]1401'!D112/((1+D$2)^D$1)</f>
        <v>0</v>
      </c>
      <c r="E112" s="1">
        <f>'[1]1401'!E112/((1+E$2)^E$1)</f>
        <v>0</v>
      </c>
      <c r="F112" s="1">
        <f>'[1]1401'!F112/((1+F$2)^F$1)</f>
        <v>0</v>
      </c>
      <c r="G112" s="1">
        <f>'[1]1401'!G112/((1+G$2)^G$1)</f>
        <v>0</v>
      </c>
      <c r="H112" s="1">
        <f>'[2]1401'!H112/((1+H$2)^H$1)</f>
        <v>0</v>
      </c>
      <c r="I112" s="1">
        <f>'[1]1401'!I112/((1+I$2)^I$1)</f>
        <v>0</v>
      </c>
      <c r="J112" s="1">
        <f>'[1]1401'!J112/((1+J$2)^J$1)</f>
        <v>0</v>
      </c>
      <c r="K112" s="1">
        <f>'[1]1401'!K112/((1+K$2)^K$1)</f>
        <v>0</v>
      </c>
      <c r="L112" s="1">
        <f>'[1]1401'!L112/((1+L$2)^L$1)</f>
        <v>0</v>
      </c>
      <c r="M112" s="1">
        <f>'[1]1401'!M112/((1+M$2)^M$1)</f>
        <v>0</v>
      </c>
      <c r="N112" s="1">
        <f>'[1]1401'!N112/((1+N$2)^N$1)</f>
        <v>0</v>
      </c>
      <c r="O112" s="4">
        <v>0</v>
      </c>
      <c r="P112" s="71" t="s">
        <v>237</v>
      </c>
      <c r="Q112" s="71">
        <v>1109</v>
      </c>
      <c r="R112" s="54"/>
    </row>
    <row r="113" spans="1:18" ht="22.2" x14ac:dyDescent="0.3">
      <c r="A113" s="54"/>
      <c r="B113" s="6">
        <f t="shared" si="4"/>
        <v>148.53044163750181</v>
      </c>
      <c r="C113" s="1">
        <f>'[1]1401'!C113/((1+C$2)^C$1)</f>
        <v>0</v>
      </c>
      <c r="D113" s="1">
        <f>'[1]1401'!D113/((1+D$2)^D$1)</f>
        <v>0</v>
      </c>
      <c r="E113" s="1">
        <f>'[1]1401'!E113/((1+E$2)^E$1)</f>
        <v>0</v>
      </c>
      <c r="F113" s="1">
        <f>'[1]1401'!F113/((1+F$2)^F$1)</f>
        <v>0</v>
      </c>
      <c r="G113" s="1">
        <f>'[1]1401'!G113/((1+G$2)^G$1)</f>
        <v>0</v>
      </c>
      <c r="H113" s="1">
        <f>'[2]1401'!H113/((1+H$2)^H$1)</f>
        <v>148.53044163750181</v>
      </c>
      <c r="I113" s="1">
        <f>'[1]1401'!I113/((1+I$2)^I$1)</f>
        <v>0</v>
      </c>
      <c r="J113" s="1">
        <f>'[1]1401'!J113/((1+J$2)^J$1)</f>
        <v>0</v>
      </c>
      <c r="K113" s="1">
        <f>'[1]1401'!K113/((1+K$2)^K$1)</f>
        <v>0</v>
      </c>
      <c r="L113" s="1">
        <f>'[1]1401'!L113/((1+L$2)^L$1)</f>
        <v>0</v>
      </c>
      <c r="M113" s="1">
        <f>'[1]1401'!M113/((1+M$2)^M$1)</f>
        <v>0</v>
      </c>
      <c r="N113" s="1">
        <f>'[1]1401'!N113/((1+N$2)^N$1)</f>
        <v>0</v>
      </c>
      <c r="O113" s="4">
        <v>50</v>
      </c>
      <c r="P113" s="71" t="s">
        <v>238</v>
      </c>
      <c r="Q113" s="71">
        <v>1110</v>
      </c>
      <c r="R113" s="54"/>
    </row>
    <row r="114" spans="1:18" ht="22.2" x14ac:dyDescent="0.3">
      <c r="A114" s="54"/>
      <c r="B114" s="6">
        <f t="shared" si="4"/>
        <v>74.265220818750905</v>
      </c>
      <c r="C114" s="1">
        <f>'[1]1401'!C114/((1+C$2)^C$1)</f>
        <v>0</v>
      </c>
      <c r="D114" s="1">
        <f>'[1]1401'!D114/((1+D$2)^D$1)</f>
        <v>0</v>
      </c>
      <c r="E114" s="1">
        <f>'[1]1401'!E114/((1+E$2)^E$1)</f>
        <v>0</v>
      </c>
      <c r="F114" s="1">
        <f>'[1]1401'!F114/((1+F$2)^F$1)</f>
        <v>0</v>
      </c>
      <c r="G114" s="1">
        <f>'[1]1401'!G114/((1+G$2)^G$1)</f>
        <v>0</v>
      </c>
      <c r="H114" s="1">
        <f>'[2]1401'!H114/((1+H$2)^H$1)</f>
        <v>74.265220818750905</v>
      </c>
      <c r="I114" s="1">
        <f>'[1]1401'!I114/((1+I$2)^I$1)</f>
        <v>0</v>
      </c>
      <c r="J114" s="1">
        <f>'[1]1401'!J114/((1+J$2)^J$1)</f>
        <v>0</v>
      </c>
      <c r="K114" s="1">
        <f>'[1]1401'!K114/((1+K$2)^K$1)</f>
        <v>0</v>
      </c>
      <c r="L114" s="1">
        <f>'[1]1401'!L114/((1+L$2)^L$1)</f>
        <v>0</v>
      </c>
      <c r="M114" s="1">
        <f>'[1]1401'!M114/((1+M$2)^M$1)</f>
        <v>0</v>
      </c>
      <c r="N114" s="1">
        <f>'[1]1401'!N114/((1+N$2)^N$1)</f>
        <v>0</v>
      </c>
      <c r="O114" s="4">
        <v>100</v>
      </c>
      <c r="P114" s="71" t="s">
        <v>239</v>
      </c>
      <c r="Q114" s="71">
        <v>1111</v>
      </c>
      <c r="R114" s="54"/>
    </row>
    <row r="115" spans="1:18" ht="22.2" x14ac:dyDescent="0.3">
      <c r="A115" s="54"/>
      <c r="B115" s="6">
        <f t="shared" si="4"/>
        <v>0</v>
      </c>
      <c r="C115" s="54"/>
      <c r="H115" s="1">
        <f>'[2]1401'!H119/((1+H$2)^H$1)</f>
        <v>0</v>
      </c>
      <c r="N115"/>
      <c r="O115" s="4">
        <v>50</v>
      </c>
      <c r="P115" s="71" t="s">
        <v>242</v>
      </c>
      <c r="Q115" s="71">
        <v>1112</v>
      </c>
      <c r="R115" s="54"/>
    </row>
    <row r="116" spans="1:18" ht="22.2" x14ac:dyDescent="0.3">
      <c r="A116" s="54"/>
      <c r="B116" s="6">
        <f t="shared" si="4"/>
        <v>0</v>
      </c>
      <c r="C116" s="54"/>
      <c r="H116" s="1">
        <f>'[2]1401'!H120/((1+H$2)^H$1)</f>
        <v>0</v>
      </c>
      <c r="N116"/>
      <c r="O116" s="4">
        <v>50</v>
      </c>
      <c r="P116" s="71" t="s">
        <v>241</v>
      </c>
      <c r="Q116" s="71">
        <v>1113</v>
      </c>
      <c r="R116" s="54"/>
    </row>
    <row r="117" spans="1:18" ht="22.2" x14ac:dyDescent="0.3">
      <c r="A117" s="54"/>
      <c r="B117" s="6">
        <f t="shared" si="4"/>
        <v>0</v>
      </c>
      <c r="C117" s="54"/>
      <c r="H117" s="1">
        <f>'[2]1401'!H121/((1+H$2)^H$1)</f>
        <v>0</v>
      </c>
      <c r="N117"/>
      <c r="O117" s="4"/>
      <c r="Q117" s="71">
        <v>1115</v>
      </c>
    </row>
    <row r="118" spans="1:18" ht="22.2" x14ac:dyDescent="0.3">
      <c r="A118" s="54"/>
      <c r="B118" s="6">
        <f t="shared" si="4"/>
        <v>0</v>
      </c>
      <c r="C118" s="54"/>
      <c r="H118" s="1">
        <f>'[2]1401'!H122/((1+H$2)^H$1)</f>
        <v>0</v>
      </c>
      <c r="N118"/>
      <c r="O118" s="4"/>
      <c r="Q118" s="71">
        <v>1116</v>
      </c>
    </row>
    <row r="119" spans="1:18" ht="14.4" customHeight="1" x14ac:dyDescent="0.3">
      <c r="A119" s="54"/>
      <c r="B119" s="6">
        <f t="shared" si="4"/>
        <v>0</v>
      </c>
      <c r="C119" s="54"/>
      <c r="D119" s="54"/>
      <c r="E119" s="54"/>
      <c r="F119" s="54"/>
      <c r="G119" s="54"/>
      <c r="H119" s="1">
        <f>'[2]1401'!H123/((1+H$2)^H$1)</f>
        <v>0</v>
      </c>
      <c r="I119" s="58"/>
      <c r="J119" s="54"/>
      <c r="K119" s="54"/>
      <c r="L119" s="54"/>
      <c r="M119" s="54"/>
      <c r="N119" s="54"/>
      <c r="O119" s="4"/>
      <c r="Q119" s="71">
        <v>1117</v>
      </c>
    </row>
    <row r="120" spans="1:18" ht="18" customHeight="1" x14ac:dyDescent="0.3">
      <c r="A120" s="54"/>
      <c r="B120" s="6">
        <f t="shared" si="4"/>
        <v>0</v>
      </c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4"/>
      <c r="Q120" s="71">
        <v>1118</v>
      </c>
    </row>
    <row r="121" spans="1:18" ht="14.4" customHeight="1" x14ac:dyDescent="0.3">
      <c r="A121" s="54"/>
      <c r="B121" s="6">
        <f t="shared" si="4"/>
        <v>0</v>
      </c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1"/>
      <c r="N121" s="54"/>
      <c r="O121" s="4"/>
      <c r="Q121" s="71">
        <v>1119</v>
      </c>
    </row>
    <row r="122" spans="1:18" ht="22.2" x14ac:dyDescent="0.3">
      <c r="A122" s="54"/>
      <c r="B122" s="6">
        <f t="shared" si="4"/>
        <v>0</v>
      </c>
      <c r="C122" s="54"/>
      <c r="D122" s="54"/>
      <c r="E122" s="54"/>
      <c r="F122" s="54"/>
      <c r="G122" s="54"/>
      <c r="H122" s="54"/>
      <c r="I122" s="57"/>
      <c r="J122" s="54"/>
      <c r="K122" s="54"/>
      <c r="L122" s="54"/>
      <c r="M122" s="54"/>
      <c r="N122" s="54"/>
      <c r="O122" s="4"/>
      <c r="Q122" s="71">
        <v>1120</v>
      </c>
    </row>
    <row r="123" spans="1:18" ht="22.2" x14ac:dyDescent="0.3">
      <c r="A123" s="54"/>
      <c r="B123" s="6">
        <f t="shared" si="4"/>
        <v>0</v>
      </c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4"/>
      <c r="Q123" s="71">
        <v>1121</v>
      </c>
      <c r="R123" s="54"/>
    </row>
    <row r="124" spans="1:18" ht="22.2" x14ac:dyDescent="0.3">
      <c r="A124" s="54"/>
      <c r="B124" s="6">
        <f t="shared" si="4"/>
        <v>0</v>
      </c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4"/>
      <c r="P124" s="71"/>
      <c r="Q124" s="71">
        <v>1122</v>
      </c>
      <c r="R124" s="54"/>
    </row>
    <row r="125" spans="1:18" ht="22.2" x14ac:dyDescent="0.3">
      <c r="A125" s="54"/>
      <c r="B125" s="6">
        <f t="shared" si="4"/>
        <v>0</v>
      </c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4"/>
      <c r="P125" s="71"/>
      <c r="Q125" s="71">
        <v>1123</v>
      </c>
      <c r="R125" s="54"/>
    </row>
    <row r="126" spans="1:18" ht="25.8" x14ac:dyDescent="0.3">
      <c r="A126" s="1">
        <f t="shared" ref="A126:N126" si="5">SUM(A3:A125)</f>
        <v>0</v>
      </c>
      <c r="B126" s="6">
        <f t="shared" si="4"/>
        <v>77425.769773982363</v>
      </c>
      <c r="C126" s="1">
        <f t="shared" si="5"/>
        <v>136.74849307364116</v>
      </c>
      <c r="D126" s="1">
        <f t="shared" si="5"/>
        <v>139.02763462486845</v>
      </c>
      <c r="E126" s="1">
        <f t="shared" si="5"/>
        <v>141.34476186861627</v>
      </c>
      <c r="F126" s="1">
        <f t="shared" si="5"/>
        <v>143.70050789975988</v>
      </c>
      <c r="G126" s="1">
        <f t="shared" si="5"/>
        <v>146.09551636475589</v>
      </c>
      <c r="H126" s="1">
        <f t="shared" si="5"/>
        <v>11214.048343631384</v>
      </c>
      <c r="I126" s="1">
        <f t="shared" si="5"/>
        <v>10721.422378867015</v>
      </c>
      <c r="J126" s="1">
        <f t="shared" si="5"/>
        <v>11283.919538885018</v>
      </c>
      <c r="K126" s="1">
        <f t="shared" si="5"/>
        <v>10925.699870983928</v>
      </c>
      <c r="L126" s="1">
        <f t="shared" si="5"/>
        <v>11107.794868833635</v>
      </c>
      <c r="M126" s="1">
        <f t="shared" si="5"/>
        <v>11050.933537957464</v>
      </c>
      <c r="N126" s="1">
        <f t="shared" si="5"/>
        <v>10415.034320992281</v>
      </c>
      <c r="O126" s="7">
        <f>SUM(O3:O125)</f>
        <v>14350</v>
      </c>
      <c r="P126" s="8" t="s">
        <v>228</v>
      </c>
      <c r="R126" s="54"/>
    </row>
    <row r="127" spans="1:18" ht="25.8" x14ac:dyDescent="0.3">
      <c r="A127" s="54"/>
      <c r="B127" s="8">
        <f>SUM(B4:B107)</f>
        <v>76694.257348917716</v>
      </c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71"/>
      <c r="P127" s="62" t="s">
        <v>227</v>
      </c>
      <c r="R127" s="54"/>
    </row>
    <row r="128" spans="1:18" ht="25.8" x14ac:dyDescent="0.3">
      <c r="A128" s="54"/>
      <c r="B128" s="62">
        <v>131600</v>
      </c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71"/>
      <c r="P128" s="61" t="s">
        <v>226</v>
      </c>
      <c r="R128" s="54"/>
    </row>
    <row r="129" spans="1:18" ht="25.8" x14ac:dyDescent="0.3">
      <c r="A129" s="54"/>
      <c r="B129" s="61">
        <f>B127+B128</f>
        <v>208294.25734891772</v>
      </c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71"/>
      <c r="P129" s="60" t="s">
        <v>225</v>
      </c>
      <c r="R129" s="54"/>
    </row>
    <row r="130" spans="1:18" ht="25.8" x14ac:dyDescent="0.3">
      <c r="A130" s="54"/>
      <c r="B130" s="60">
        <f>SUM(C127:H127)-750</f>
        <v>-750</v>
      </c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71"/>
      <c r="P130" s="73" t="s">
        <v>223</v>
      </c>
      <c r="R130" s="54"/>
    </row>
    <row r="131" spans="1:18" x14ac:dyDescent="0.3">
      <c r="A131" s="54"/>
      <c r="B131" s="74">
        <f>100*(B127-B128)/B128</f>
        <v>-41.721688944591406</v>
      </c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71"/>
      <c r="P131" s="73"/>
      <c r="R131" s="54"/>
    </row>
    <row r="132" spans="1:18" x14ac:dyDescent="0.3">
      <c r="A132" s="54"/>
      <c r="B132" s="7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71"/>
      <c r="P132" s="73"/>
      <c r="R132" s="54"/>
    </row>
    <row r="133" spans="1:18" x14ac:dyDescent="0.3">
      <c r="A133" s="54"/>
      <c r="B133" s="7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P133" s="54"/>
      <c r="R133" s="54"/>
    </row>
    <row r="134" spans="1:18" x14ac:dyDescent="0.3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P134" s="54"/>
      <c r="R134" s="54"/>
    </row>
    <row r="135" spans="1:18" x14ac:dyDescent="0.3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P135" s="54"/>
      <c r="R135" s="54"/>
    </row>
    <row r="136" spans="1:18" x14ac:dyDescent="0.3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P136" s="54"/>
      <c r="R136" s="54"/>
    </row>
    <row r="137" spans="1:18" x14ac:dyDescent="0.3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P137" s="54"/>
      <c r="R137" s="54"/>
    </row>
    <row r="138" spans="1:18" x14ac:dyDescent="0.3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P138" s="54"/>
      <c r="R138" s="54"/>
    </row>
    <row r="139" spans="1:18" x14ac:dyDescent="0.3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P139" s="54"/>
      <c r="R139" s="54"/>
    </row>
    <row r="140" spans="1:18" x14ac:dyDescent="0.3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P140" s="54"/>
      <c r="R140" s="54"/>
    </row>
    <row r="141" spans="1:18" x14ac:dyDescent="0.3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P141" s="54"/>
      <c r="R141" s="54"/>
    </row>
    <row r="142" spans="1:18" x14ac:dyDescent="0.3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P142" s="54"/>
      <c r="R142" s="54"/>
    </row>
    <row r="143" spans="1:18" x14ac:dyDescent="0.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P143" s="54"/>
      <c r="R143" s="54"/>
    </row>
    <row r="144" spans="1:18" x14ac:dyDescent="0.3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P144" s="54"/>
      <c r="R144" s="54"/>
    </row>
    <row r="145" spans="1:18" x14ac:dyDescent="0.3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P145" s="54"/>
      <c r="R145" s="54"/>
    </row>
    <row r="146" spans="1:18" x14ac:dyDescent="0.3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P146" s="54"/>
      <c r="R146" s="54"/>
    </row>
    <row r="147" spans="1:18" x14ac:dyDescent="0.3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P147" s="54"/>
      <c r="R147" s="54"/>
    </row>
    <row r="148" spans="1:18" x14ac:dyDescent="0.3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P148" s="54"/>
      <c r="R148" s="54"/>
    </row>
    <row r="149" spans="1:18" x14ac:dyDescent="0.3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P149" s="54"/>
      <c r="R149" s="54"/>
    </row>
    <row r="150" spans="1:18" x14ac:dyDescent="0.3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P150" s="54"/>
      <c r="R150" s="54"/>
    </row>
    <row r="151" spans="1:18" x14ac:dyDescent="0.3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P151" s="54"/>
      <c r="R151" s="54"/>
    </row>
    <row r="152" spans="1:18" x14ac:dyDescent="0.3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P152" s="54"/>
      <c r="R152" s="54"/>
    </row>
    <row r="153" spans="1:18" x14ac:dyDescent="0.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P153" s="54"/>
      <c r="R153" s="54"/>
    </row>
    <row r="154" spans="1:18" x14ac:dyDescent="0.3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P154" s="54"/>
      <c r="R154" s="54"/>
    </row>
    <row r="155" spans="1:18" x14ac:dyDescent="0.3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P155" s="54"/>
      <c r="R155" s="54"/>
    </row>
    <row r="156" spans="1:18" x14ac:dyDescent="0.3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P156" s="54"/>
      <c r="R156" s="54"/>
    </row>
    <row r="157" spans="1:18" x14ac:dyDescent="0.3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P157" s="54"/>
      <c r="R157" s="54"/>
    </row>
    <row r="158" spans="1:18" x14ac:dyDescent="0.3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P158" s="54"/>
      <c r="R158" s="54"/>
    </row>
    <row r="159" spans="1:18" x14ac:dyDescent="0.3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P159" s="54"/>
      <c r="R159" s="54"/>
    </row>
    <row r="160" spans="1:18" x14ac:dyDescent="0.3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P160" s="54"/>
      <c r="R160" s="54"/>
    </row>
    <row r="161" spans="1:18" x14ac:dyDescent="0.3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P161" s="54"/>
      <c r="R161" s="54"/>
    </row>
    <row r="162" spans="1:18" x14ac:dyDescent="0.3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P162" s="54"/>
      <c r="R162" s="54"/>
    </row>
    <row r="163" spans="1:18" x14ac:dyDescent="0.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P163" s="54"/>
      <c r="R163" s="54"/>
    </row>
    <row r="164" spans="1:18" x14ac:dyDescent="0.3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P164" s="54"/>
      <c r="R164" s="54"/>
    </row>
    <row r="165" spans="1:18" x14ac:dyDescent="0.3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P165" s="54"/>
      <c r="R165" s="54"/>
    </row>
    <row r="166" spans="1:18" x14ac:dyDescent="0.3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P166" s="54"/>
      <c r="R166" s="54"/>
    </row>
    <row r="167" spans="1:18" x14ac:dyDescent="0.3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P167" s="54"/>
      <c r="R167" s="54"/>
    </row>
    <row r="168" spans="1:18" x14ac:dyDescent="0.3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P168" s="54"/>
      <c r="R168" s="54"/>
    </row>
    <row r="169" spans="1:18" x14ac:dyDescent="0.3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P169" s="54"/>
      <c r="R169" s="54"/>
    </row>
    <row r="170" spans="1:18" x14ac:dyDescent="0.3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P170" s="54"/>
      <c r="R170" s="54"/>
    </row>
    <row r="171" spans="1:18" x14ac:dyDescent="0.3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P171" s="54"/>
      <c r="R171" s="54"/>
    </row>
    <row r="172" spans="1:18" x14ac:dyDescent="0.3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P172" s="54"/>
      <c r="R172" s="54"/>
    </row>
    <row r="173" spans="1:18" x14ac:dyDescent="0.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P173" s="54"/>
      <c r="R173" s="54"/>
    </row>
    <row r="174" spans="1:18" x14ac:dyDescent="0.3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P174" s="54"/>
      <c r="R174" s="54"/>
    </row>
    <row r="175" spans="1:18" x14ac:dyDescent="0.3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P175" s="54"/>
      <c r="R175" s="54"/>
    </row>
    <row r="176" spans="1:18" x14ac:dyDescent="0.3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P176" s="54"/>
      <c r="R176" s="54"/>
    </row>
    <row r="177" spans="1:18" x14ac:dyDescent="0.3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P177" s="54"/>
      <c r="R177" s="54"/>
    </row>
    <row r="178" spans="1:18" x14ac:dyDescent="0.3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P178" s="54"/>
      <c r="R178" s="54"/>
    </row>
    <row r="179" spans="1:18" x14ac:dyDescent="0.3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P179" s="54"/>
      <c r="R179" s="54"/>
    </row>
    <row r="180" spans="1:18" x14ac:dyDescent="0.3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P180" s="54"/>
      <c r="R180" s="54"/>
    </row>
    <row r="181" spans="1:18" x14ac:dyDescent="0.3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P181" s="54"/>
      <c r="R181" s="54"/>
    </row>
    <row r="182" spans="1:18" x14ac:dyDescent="0.3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P182" s="54"/>
      <c r="R182" s="54"/>
    </row>
    <row r="183" spans="1:18" x14ac:dyDescent="0.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P183" s="54"/>
      <c r="R183" s="54"/>
    </row>
    <row r="184" spans="1:18" x14ac:dyDescent="0.3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P184" s="54"/>
      <c r="R184" s="54"/>
    </row>
    <row r="185" spans="1:18" x14ac:dyDescent="0.3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P185" s="54"/>
      <c r="R185" s="54"/>
    </row>
    <row r="186" spans="1:18" x14ac:dyDescent="0.3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P186" s="54"/>
      <c r="R186" s="54"/>
    </row>
    <row r="187" spans="1:18" x14ac:dyDescent="0.3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P187" s="54"/>
      <c r="R187" s="54"/>
    </row>
    <row r="188" spans="1:18" x14ac:dyDescent="0.3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P188" s="54"/>
      <c r="R188" s="54"/>
    </row>
    <row r="189" spans="1:18" x14ac:dyDescent="0.3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P189" s="54"/>
      <c r="R189" s="54"/>
    </row>
    <row r="190" spans="1:18" x14ac:dyDescent="0.3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P190" s="54"/>
      <c r="R190" s="54"/>
    </row>
    <row r="191" spans="1:18" x14ac:dyDescent="0.3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P191" s="54"/>
      <c r="R191" s="54"/>
    </row>
    <row r="192" spans="1:18" x14ac:dyDescent="0.3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P192" s="54"/>
      <c r="R192" s="54"/>
    </row>
    <row r="193" spans="1:18" x14ac:dyDescent="0.3">
      <c r="A193" s="54"/>
      <c r="B193" s="54"/>
      <c r="P193" s="54"/>
      <c r="R193" s="54"/>
    </row>
    <row r="194" spans="1:18" x14ac:dyDescent="0.3">
      <c r="R194" s="54"/>
    </row>
    <row r="195" spans="1:18" x14ac:dyDescent="0.3">
      <c r="R195" s="54"/>
    </row>
    <row r="196" spans="1:18" x14ac:dyDescent="0.3">
      <c r="R196" s="54"/>
    </row>
    <row r="197" spans="1:18" x14ac:dyDescent="0.3">
      <c r="R197" s="54"/>
    </row>
  </sheetData>
  <mergeCells count="2">
    <mergeCell ref="P130:P132"/>
    <mergeCell ref="B131:B13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G21"/>
  <sheetViews>
    <sheetView workbookViewId="0">
      <selection activeCell="G19" sqref="G19"/>
    </sheetView>
  </sheetViews>
  <sheetFormatPr defaultRowHeight="14.4" x14ac:dyDescent="0.3"/>
  <cols>
    <col min="6" max="6" width="28.88671875" customWidth="1"/>
    <col min="7" max="7" width="32.21875" customWidth="1"/>
  </cols>
  <sheetData>
    <row r="3" spans="6:7" x14ac:dyDescent="0.3">
      <c r="F3" t="s">
        <v>210</v>
      </c>
      <c r="G3" t="s">
        <v>211</v>
      </c>
    </row>
    <row r="4" spans="6:7" x14ac:dyDescent="0.3">
      <c r="F4">
        <f>((کچاد!J6*کچاد!H6)+(شستا!J6*شستا!H6)+(فملی!J6*فملی!H6)+(آریا!J6*آریا!H6)+(فروی!J6*فروی!H6))/(کچاد!H6+شستا!H6+فملی!H6+آریا!H6+فروی!H6)</f>
        <v>3850.589542350423</v>
      </c>
      <c r="G4">
        <f>((AUD!I6*AUD!G6)+(USDT!I6*USDT!G6)+(ETH!I6*ETH!G6)+(BTC!I6*BTC!G6))/(AUD!G6+USDT!G6+ETH!G6+BTC!G6)</f>
        <v>1071878.2297015728</v>
      </c>
    </row>
    <row r="5" spans="6:7" x14ac:dyDescent="0.3">
      <c r="F5">
        <f>((کچاد!J7*کچاد!H7)+(شستا!J7*شستا!H7)+(فملی!J7*فملی!H7)+(آریا!J7*آریا!H7)+(فروی!J7*فروی!H7))/(کچاد!H7+شستا!H7+فملی!H7+آریا!H7+فروی!H7)</f>
        <v>3726.8960647150484</v>
      </c>
      <c r="G5">
        <f>((AUD!I7*AUD!G7)+(USDT!I7*USDT!G7)+(ETH!I7*ETH!G7)+(BTC!I7*BTC!G7))/(AUD!G7+USDT!G7+ETH!G7+BTC!G7)</f>
        <v>1022595.9739823275</v>
      </c>
    </row>
    <row r="6" spans="6:7" x14ac:dyDescent="0.3">
      <c r="F6">
        <f>((کچاد!J8*کچاد!H8)+(شستا!J8*شستا!H8)+(فملی!J8*فملی!H8)+(آریا!J8*آریا!H8)+(فروی!J8*فروی!H8))/(کچاد!H8+شستا!H8+فملی!H8+آریا!H8+فروی!H8)</f>
        <v>3589.1218695707444</v>
      </c>
      <c r="G6">
        <f>((AUD!I8*AUD!G8)+(USDT!I8*USDT!G8)+(ETH!I8*ETH!G8)+(BTC!I8*BTC!G8))/(AUD!G8+USDT!G8+ETH!G8+BTC!G8)</f>
        <v>1004767.5531982542</v>
      </c>
    </row>
    <row r="7" spans="6:7" x14ac:dyDescent="0.3">
      <c r="F7">
        <f>((کچاد!J9*کچاد!H9)+(شستا!J9*شستا!H9)+(فملی!J9*فملی!H9)+(آریا!J9*آریا!H9)+(فروی!J9*فروی!H9))/(کچاد!H9+شستا!H9+فملی!H9+آریا!H9+فروی!H9)</f>
        <v>3620.2981272198904</v>
      </c>
      <c r="G7">
        <f>((AUD!I9*AUD!G9)+(USDT!I9*USDT!G9)+(ETH!I9*ETH!G9)+(BTC!I9*BTC!G9))/(AUD!G9+USDT!G9+ETH!G9+BTC!G9)</f>
        <v>1001771.6183669472</v>
      </c>
    </row>
    <row r="8" spans="6:7" x14ac:dyDescent="0.3">
      <c r="F8">
        <f>((کچاد!J10*کچاد!H10)+(شستا!J10*شستا!H10)+(فملی!J10*فملی!H10)+(آریا!J10*آریا!H10)+(فروی!J10*فروی!H10))/(کچاد!H10+شستا!H10+فملی!H10+آریا!H10+فروی!H10)</f>
        <v>3785.4216847647253</v>
      </c>
      <c r="G8">
        <f>((AUD!I10*AUD!G10)+(USDT!I10*USDT!G10)+(ETH!I10*ETH!G10)+(BTC!I10*BTC!G10))/(AUD!G10+USDT!G10+ETH!G10+BTC!G10)</f>
        <v>1002889.0264768675</v>
      </c>
    </row>
    <row r="9" spans="6:7" x14ac:dyDescent="0.3">
      <c r="F9">
        <f>((کچاد!J11*کچاد!H11)+(شستا!J11*شستا!H11)+(فملی!J11*فملی!H11)+(آریا!J11*آریا!H11)+(فروی!J11*فروی!H11))/(کچاد!H11+شستا!H11+فملی!H11+آریا!H11+فروی!H11)</f>
        <v>3930.3322292813446</v>
      </c>
      <c r="G9">
        <f>((AUD!I11*AUD!G11)+(USDT!I11*USDT!G11)+(ETH!I11*ETH!G11)+(BTC!I11*BTC!G11))/(AUD!G11+USDT!G11+ETH!G11+BTC!G11)</f>
        <v>971445.96899132757</v>
      </c>
    </row>
    <row r="10" spans="6:7" x14ac:dyDescent="0.3">
      <c r="F10">
        <f>((کچاد!J12*کچاد!H12)+(شستا!J12*شستا!H12)+(فملی!J12*فملی!H12)+(آریا!J12*آریا!H12)+(فروی!J12*فروی!H12))/(کچاد!H12+شستا!H12+فملی!H12+آریا!H12+فروی!H12)</f>
        <v>3970.6793860278294</v>
      </c>
      <c r="G10">
        <f>((AUD!I12*AUD!G12)+(USDT!I12*USDT!G12)+(ETH!I12*ETH!G12)+(BTC!I12*BTC!G12))/(AUD!G12+USDT!G12+ETH!G12+BTC!G12)</f>
        <v>955296.15366154641</v>
      </c>
    </row>
    <row r="11" spans="6:7" x14ac:dyDescent="0.3">
      <c r="F11">
        <f>((کچاد!J13*کچاد!H13)+(شستا!J13*شستا!H13)+(فملی!J13*فملی!H13)+(آریا!J13*آریا!H13)+(فروی!J13*فروی!H13))/(کچاد!H13+شستا!H13+فملی!H13+آریا!H13+فروی!H13)</f>
        <v>3996.8336612656071</v>
      </c>
      <c r="G11">
        <f>((AUD!I13*AUD!G13)+(USDT!I13*USDT!G13)+(ETH!I13*ETH!G13)+(BTC!I13*BTC!G13))/(AUD!G13+USDT!G13+ETH!G13+BTC!G13)</f>
        <v>937993.40908399271</v>
      </c>
    </row>
    <row r="12" spans="6:7" x14ac:dyDescent="0.3">
      <c r="F12">
        <f>((کچاد!J14*کچاد!H14)+(شستا!J14*شستا!H14)+(فملی!J14*فملی!H14)+(آریا!J14*آریا!H14)+(فروی!J14*فروی!H14))/(کچاد!H14+شستا!H14+فملی!H14+آریا!H14+فروی!H14)</f>
        <v>3880.1943288074804</v>
      </c>
      <c r="G12">
        <f>((AUD!I14*AUD!G14)+(USDT!I14*USDT!G14)+(ETH!I14*ETH!G14)+(BTC!I14*BTC!G14))/(AUD!G14+USDT!G14+ETH!G14+BTC!G14)</f>
        <v>933425.50646999932</v>
      </c>
    </row>
    <row r="13" spans="6:7" x14ac:dyDescent="0.3">
      <c r="F13">
        <f>((کچاد!J15*کچاد!H15)+(شستا!J15*شستا!H15)+(فملی!J15*فملی!H15)+(آریا!J15*آریا!H15)+(فروی!J15*فروی!H15))/(کچاد!H15+شستا!H15+فملی!H15+آریا!H15+فروی!H15)</f>
        <v>3869.7228330129383</v>
      </c>
      <c r="G13">
        <f>((AUD!I15*AUD!G15)+(USDT!I15*USDT!G15)+(ETH!I15*ETH!G15)+(BTC!I15*BTC!G15))/(AUD!G15+USDT!G15+ETH!G15+BTC!G15)</f>
        <v>930557.50096534495</v>
      </c>
    </row>
    <row r="14" spans="6:7" x14ac:dyDescent="0.3">
      <c r="F14">
        <f>((کچاد!J16*کچاد!H16)+(شستا!J16*شستا!H16)+(فملی!J16*فملی!H16)+(آریا!J16*آریا!H16)+(فروی!J16*فروی!H16))/(کچاد!H16+شستا!H16+فملی!H16+آریا!H16+فروی!H16)</f>
        <v>3848.580914593228</v>
      </c>
      <c r="G14">
        <f>((AUD!I16*AUD!G16)+(USDT!I16*USDT!G16)+(ETH!I16*ETH!G16)+(BTC!I16*BTC!G16))/(AUD!G16+USDT!G16+ETH!G16+BTC!G16)</f>
        <v>946933.51930271601</v>
      </c>
    </row>
    <row r="15" spans="6:7" x14ac:dyDescent="0.3">
      <c r="F15">
        <f>((کچاد!J17*کچاد!H17)+(شستا!J17*شستا!H17)+(فملی!J17*فملی!H17)+(آریا!J17*آریا!H17)+(فروی!J17*فروی!H17))/(کچاد!H17+شستا!H17+فملی!H17+آریا!H17+فروی!H17)</f>
        <v>3838.0063141372461</v>
      </c>
      <c r="G15">
        <f>((AUD!I17*AUD!G17)+(USDT!I17*USDT!G17)+(ETH!I17*ETH!G17)+(BTC!I17*BTC!G17))/(AUD!G17+USDT!G17+ETH!G17+BTC!G17)</f>
        <v>954940.65949566406</v>
      </c>
    </row>
    <row r="16" spans="6:7" x14ac:dyDescent="0.3">
      <c r="F16">
        <f>((کچاد!J18*کچاد!H18)+(شستا!J18*شستا!H18)+(فملی!J18*فملی!H18)+(آریا!J18*آریا!H18)+(فروی!J18*فروی!H18))/(کچاد!H18+شستا!H18+فملی!H18+آریا!H18+فروی!H18)</f>
        <v>3846.9663089674486</v>
      </c>
      <c r="G16">
        <f>((AUD!I18*AUD!G18)+(USDT!I18*USDT!G18)+(ETH!I18*ETH!G18)+(BTC!I18*BTC!G18))/(AUD!G18+USDT!G18+ETH!G18+BTC!G18)</f>
        <v>966725.75644023623</v>
      </c>
    </row>
    <row r="17" spans="6:7" x14ac:dyDescent="0.3">
      <c r="F17">
        <f>((کچاد!J19*کچاد!H19)+(شستا!J19*شستا!H19)+(فملی!J19*فملی!H19)+(آریا!J19*آریا!H19)+(فروی!J19*فروی!H19))/(کچاد!H19+شستا!H19+فملی!H19+آریا!H19+فروی!H19)</f>
        <v>3862.0720274333426</v>
      </c>
      <c r="G17">
        <f>((AUD!I19*AUD!G19)+(USDT!I19*USDT!G19)+(ETH!I19*ETH!G19)+(BTC!I19*BTC!G19))/(AUD!G19+USDT!G19+ETH!G19+BTC!G19)</f>
        <v>979320.90105173166</v>
      </c>
    </row>
    <row r="18" spans="6:7" x14ac:dyDescent="0.3">
      <c r="F18">
        <f>((کچاد!J20*کچاد!H20)+(شستا!J20*شستا!H20)+(فملی!J20*فملی!H20)+(آریا!J20*آریا!H20)+(فروی!J20*فروی!H20))/(کچاد!H20+شستا!H20+فملی!H20+آریا!H20+فروی!H20)</f>
        <v>3843.2671148249165</v>
      </c>
      <c r="G18" t="e">
        <f>((AUD!I20*AUD!G20)+(USDT!I20*USDT!G20)+(ETH!I20*ETH!G20)+(BTC!I20*BTC!G20))/(AUD!G20+USDT!G20+ETH!G20+BTC!G20)</f>
        <v>#DIV/0!</v>
      </c>
    </row>
    <row r="19" spans="6:7" x14ac:dyDescent="0.3">
      <c r="F19">
        <f>((کچاد!J21*کچاد!H21)+(شستا!J21*شستا!H21)+(فملی!J21*فملی!H21)+(آریا!J21*آریا!H21)+(فروی!J21*فروی!H21))/(کچاد!H21+شستا!H21+فملی!H21+آریا!H21+فروی!H21)</f>
        <v>3867.6248110420174</v>
      </c>
      <c r="G19" t="e">
        <f>((AUD!I21*AUD!G21)+(USDT!I21*USDT!G21)+(ETH!I21*ETH!G21)+(BTC!I21*BTC!G21))/(AUD!G21+USDT!G21+ETH!G21+BTC!G21)</f>
        <v>#DIV/0!</v>
      </c>
    </row>
    <row r="20" spans="6:7" x14ac:dyDescent="0.3">
      <c r="F20">
        <f>((کچاد!J22*کچاد!H22)+(شستا!J22*شستا!H22)+(فملی!J22*فملی!H22)+(آریا!J22*آریا!H22)+(فروی!J22*فروی!H22))/(کچاد!H22+شستا!H22+فملی!H22+آریا!H22+فروی!H22)</f>
        <v>3880.5237652532278</v>
      </c>
      <c r="G20">
        <f>((AUD!I22*AUD!G22)+(USDT!I22*USDT!G22)+(ETH!I22*ETH!G22)+(BTC!I22*BTC!G22))/(AUD!G22+USDT!G22+ETH!G22+BTC!G22)</f>
        <v>959289.86685997609</v>
      </c>
    </row>
    <row r="21" spans="6:7" x14ac:dyDescent="0.3">
      <c r="F21">
        <f>((کچاد!J23*کچاد!H23)+(شستا!J23*شستا!H23)+(فملی!J23*فملی!H23)+(آریا!J23*آریا!H23)+(فروی!J23*فروی!H23))/(کچاد!H23+شستا!H23+فملی!H23+آریا!H23+فروی!H23)</f>
        <v>3890.2766877172739</v>
      </c>
      <c r="G21">
        <f>((AUD!I23*AUD!G23)+(USDT!I23*USDT!G23)+(ETH!I23*ETH!G23)+(BTC!I23*BTC!G23))/(AUD!G23+USDT!G23+ETH!G23+BTC!G23)</f>
        <v>973795.49300317757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32"/>
  <sheetViews>
    <sheetView topLeftCell="A16" workbookViewId="0">
      <selection activeCell="B39" sqref="B39"/>
    </sheetView>
  </sheetViews>
  <sheetFormatPr defaultRowHeight="14.4" x14ac:dyDescent="0.3"/>
  <cols>
    <col min="3" max="3" width="16" customWidth="1"/>
    <col min="4" max="4" width="15.77734375" customWidth="1"/>
    <col min="5" max="5" width="13.5546875" customWidth="1"/>
    <col min="6" max="6" width="11.5546875" customWidth="1"/>
    <col min="7" max="8" width="11.44140625" customWidth="1"/>
    <col min="9" max="9" width="11.77734375" customWidth="1"/>
    <col min="10" max="10" width="11.109375" customWidth="1"/>
    <col min="11" max="11" width="12.33203125" customWidth="1"/>
    <col min="12" max="12" width="10.33203125" customWidth="1"/>
    <col min="13" max="13" width="11.33203125" customWidth="1"/>
    <col min="14" max="14" width="12.88671875" customWidth="1"/>
  </cols>
  <sheetData>
    <row r="4" spans="3:15" ht="15" thickBot="1" x14ac:dyDescent="0.35"/>
    <row r="5" spans="3:15" ht="21" thickBot="1" x14ac:dyDescent="0.35">
      <c r="C5" s="51" t="s">
        <v>208</v>
      </c>
      <c r="D5" s="47" t="s">
        <v>206</v>
      </c>
      <c r="E5" s="47" t="s">
        <v>205</v>
      </c>
      <c r="F5" s="47" t="s">
        <v>204</v>
      </c>
      <c r="G5" s="47" t="s">
        <v>203</v>
      </c>
      <c r="H5" s="47" t="s">
        <v>233</v>
      </c>
      <c r="I5" s="47" t="s">
        <v>128</v>
      </c>
      <c r="J5" s="47" t="s">
        <v>127</v>
      </c>
      <c r="K5" s="47" t="s">
        <v>126</v>
      </c>
      <c r="L5" s="47" t="s">
        <v>125</v>
      </c>
      <c r="M5" s="48" t="s">
        <v>202</v>
      </c>
      <c r="N5" s="50" t="s">
        <v>207</v>
      </c>
      <c r="O5" s="75">
        <v>1400</v>
      </c>
    </row>
    <row r="6" spans="3:15" ht="20.399999999999999" x14ac:dyDescent="0.3">
      <c r="C6" s="1">
        <f>(M6*calulator!$G$5)+(مجموع!L6*calulator!$G$6)+(مجموع!K6*calulator!$G$7)+(مجموع!J6*calulator!$G$8)+(مجموع!I6*calulator!$G$9)+(مجموع!H6*calulator!$G$10)+(مجموع!G6*calulator!$G$11)+(مجموع!F6*calulator!$G$12)+(مجموع!E6*calulator!$G$13)+(مجموع!D6*calulator!$G$14)</f>
        <v>63506394.953414246</v>
      </c>
      <c r="D6" s="72">
        <f>Table1[[#This Row],[Shares  bought]]</f>
        <v>5.8699999999999996E-4</v>
      </c>
      <c r="E6" s="72">
        <f>Table118[[#This Row],[Shares  bought]]</f>
        <v>1.8749999999999999E-2</v>
      </c>
      <c r="F6" s="72">
        <f>Table117[[#This Row],[Shares  bought]]</f>
        <v>34.481400000000001</v>
      </c>
      <c r="G6" s="72">
        <f>Table116[[#This Row],[Shares  bought]]</f>
        <v>1.9814999999999999E-2</v>
      </c>
      <c r="H6" s="1">
        <v>0</v>
      </c>
      <c r="I6" s="1">
        <f>Table115[[#This Row],[Shares  bought]]+Table115[[#This Row],[Column1]]</f>
        <v>174</v>
      </c>
      <c r="J6" s="1">
        <f>Table114[[#This Row],[Shares  bought]]+Table114[[#This Row],[Column1]]</f>
        <v>127</v>
      </c>
      <c r="K6" s="1">
        <f>Table113[[#This Row],[Shares  bought]]+Table113[[#This Row],[Column1]]</f>
        <v>1166</v>
      </c>
      <c r="L6" s="1">
        <f>Table112[[#This Row],[Shares  bought]]+Table112[[#This Row],[Column1]]</f>
        <v>7660</v>
      </c>
      <c r="M6" s="1">
        <f>Table111[[#This Row],[Shares  bought]]+Table111[[#This Row],[Column2]]</f>
        <v>684</v>
      </c>
      <c r="N6" s="49" t="s">
        <v>180</v>
      </c>
      <c r="O6" s="76"/>
    </row>
    <row r="7" spans="3:15" ht="20.399999999999999" x14ac:dyDescent="0.3">
      <c r="C7" s="1">
        <f>(M7*calulator!$G$5)+(مجموع!L7*calulator!$G$6)+(مجموع!K7*calulator!$G$7)+(مجموع!J7*calulator!$G$8)+(مجموع!I7*calulator!$G$9)+(مجموع!H7*calulator!$G$10)+(مجموع!G7*calulator!$G$11)+(مجموع!F7*calulator!$G$12)+(مجموع!E7*calulator!$G$13)+(مجموع!D7*calulator!$G$14)</f>
        <v>134143562.4848519</v>
      </c>
      <c r="D7" s="72">
        <f>Table1[[#This Row],[Shares  bought]]</f>
        <v>1.506E-3</v>
      </c>
      <c r="E7" s="72">
        <f>Table118[[#This Row],[Shares  bought]]</f>
        <v>3.2370000000000003E-2</v>
      </c>
      <c r="F7" s="72">
        <f>Table117[[#This Row],[Shares  bought]]</f>
        <v>74.44</v>
      </c>
      <c r="G7" s="72">
        <f>Table116[[#This Row],[Shares  bought]]</f>
        <v>4.1762000000000001E-2</v>
      </c>
      <c r="H7" s="1">
        <v>0</v>
      </c>
      <c r="I7" s="1">
        <f>Table115[[#This Row],[Shares  bought]]+Table115[[#This Row],[Column1]]</f>
        <v>378</v>
      </c>
      <c r="J7" s="1">
        <f>Table114[[#This Row],[Shares  bought]]+Table114[[#This Row],[Column1]]</f>
        <v>267</v>
      </c>
      <c r="K7" s="1">
        <f>Table113[[#This Row],[Shares  bought]]+Table113[[#This Row],[Column1]]</f>
        <v>2710</v>
      </c>
      <c r="L7" s="1">
        <f>Table112[[#This Row],[Shares  bought]]+Table112[[#This Row],[Column1]]</f>
        <v>15517</v>
      </c>
      <c r="M7" s="1">
        <f>Table111[[#This Row],[Shares  bought]]+Table111[[#This Row],[Column2]]</f>
        <v>1480</v>
      </c>
      <c r="N7" s="49" t="s">
        <v>51</v>
      </c>
      <c r="O7" s="76"/>
    </row>
    <row r="8" spans="3:15" ht="20.399999999999999" x14ac:dyDescent="0.3">
      <c r="C8" s="1">
        <f>(M8*calulator!$G$5)+(مجموع!L8*calulator!$G$6)+(مجموع!K8*calulator!$G$7)+(مجموع!J8*calulator!$G$8)+(مجموع!I8*calulator!$G$9)+(مجموع!H8*calulator!$G$10)+(مجموع!G8*calulator!$G$11)+(مجموع!F8*calulator!$G$12)+(مجموع!E8*calulator!$G$13)+(مجموع!D8*calulator!$G$14)</f>
        <v>105599441.54941578</v>
      </c>
      <c r="D8" s="72">
        <f>Table1[[#This Row],[Shares  bought]]</f>
        <v>1.505E-3</v>
      </c>
      <c r="E8" s="72">
        <f>Table118[[#This Row],[Shares  bought]]</f>
        <v>2.1389999999999999E-2</v>
      </c>
      <c r="F8" s="72">
        <f>Table117[[#This Row],[Shares  bought]]</f>
        <v>58.5</v>
      </c>
      <c r="G8" s="72">
        <f>Table116[[#This Row],[Shares  bought]]</f>
        <v>3.0596999999999999E-2</v>
      </c>
      <c r="H8" s="1">
        <v>0</v>
      </c>
      <c r="I8" s="1">
        <f>Table115[[#This Row],[Shares  bought]]+Table115[[#This Row],[Column1]]</f>
        <v>371</v>
      </c>
      <c r="J8" s="1">
        <f>Table114[[#This Row],[Shares  bought]]+Table114[[#This Row],[Column1]]</f>
        <v>222</v>
      </c>
      <c r="K8" s="1">
        <f>Table113[[#This Row],[Shares  bought]]+Table113[[#This Row],[Column1]]</f>
        <v>1928</v>
      </c>
      <c r="L8" s="1">
        <f>Table112[[#This Row],[Shares  bought]]+Table112[[#This Row],[Column1]]</f>
        <v>13432</v>
      </c>
      <c r="M8" s="1">
        <f>Table111[[#This Row],[Shares  bought]]+Table111[[#This Row],[Column2]]</f>
        <v>1082</v>
      </c>
      <c r="N8" s="49" t="s">
        <v>52</v>
      </c>
      <c r="O8" s="76"/>
    </row>
    <row r="9" spans="3:15" ht="20.399999999999999" x14ac:dyDescent="0.3">
      <c r="C9" s="1">
        <f>(M9*calulator!$G$5)+(مجموع!L9*calulator!$G$6)+(مجموع!K9*calulator!$G$7)+(مجموع!J9*calulator!$G$8)+(مجموع!I9*calulator!$G$9)+(مجموع!H9*calulator!$G$10)+(مجموع!G9*calulator!$G$11)+(مجموع!F9*calulator!$G$12)+(مجموع!E9*calulator!$G$13)+(مجموع!D9*calulator!$G$14)</f>
        <v>108087355.25716187</v>
      </c>
      <c r="D9" s="72">
        <f>Table1[[#This Row],[Shares  bought]]</f>
        <v>1.7830000000000001E-3</v>
      </c>
      <c r="E9" s="72">
        <f>Table118[[#This Row],[Shares  bought]]</f>
        <v>3.1280000000000002E-2</v>
      </c>
      <c r="F9" s="72">
        <f>Table117[[#This Row],[Shares  bought]]</f>
        <v>55.3</v>
      </c>
      <c r="G9" s="72">
        <f>Table116[[#This Row],[Shares  bought]]</f>
        <v>3.1119000000000001E-2</v>
      </c>
      <c r="H9" s="1">
        <v>0</v>
      </c>
      <c r="I9" s="1">
        <f>Table115[[#This Row],[Shares  bought]]+Table115[[#This Row],[Column1]]</f>
        <v>0</v>
      </c>
      <c r="J9" s="1">
        <f>Table114[[#This Row],[Shares  bought]]+Table114[[#This Row],[Column1]]</f>
        <v>192</v>
      </c>
      <c r="K9" s="1">
        <f>Table113[[#This Row],[Shares  bought]]+Table113[[#This Row],[Column1]]</f>
        <v>3504</v>
      </c>
      <c r="L9" s="1">
        <f>Table112[[#This Row],[Shares  bought]]+Table112[[#This Row],[Column1]]</f>
        <v>10103</v>
      </c>
      <c r="M9" s="1">
        <f>Table111[[#This Row],[Shares  bought]]+Table111[[#This Row],[Column2]]</f>
        <v>943</v>
      </c>
      <c r="N9" s="49" t="s">
        <v>53</v>
      </c>
      <c r="O9" s="76"/>
    </row>
    <row r="10" spans="3:15" ht="20.399999999999999" x14ac:dyDescent="0.3">
      <c r="C10" s="1">
        <f>(M10*calulator!$G$5)+(مجموع!L10*calulator!$G$6)+(مجموع!K10*calulator!$G$7)+(مجموع!J10*calulator!$G$8)+(مجموع!I10*calulator!$G$9)+(مجموع!H10*calulator!$G$10)+(مجموع!G10*calulator!$G$11)+(مجموع!F10*calulator!$G$12)+(مجموع!E10*calulator!$G$13)+(مجموع!D10*calulator!$G$14)</f>
        <v>85518420.053887904</v>
      </c>
      <c r="D10" s="72">
        <f>Table1[[#This Row],[Shares  bought]]</f>
        <v>1.3439999999999999E-3</v>
      </c>
      <c r="E10" s="72">
        <f>Table118[[#This Row],[Shares  bought]]</f>
        <v>2.2349999999999998E-2</v>
      </c>
      <c r="F10" s="72">
        <f>Table117[[#This Row],[Shares  bought]]</f>
        <v>51.5</v>
      </c>
      <c r="G10" s="72">
        <f>Table116[[#This Row],[Shares  bought]]</f>
        <v>2.8490999999999999E-2</v>
      </c>
      <c r="H10" s="1">
        <v>0</v>
      </c>
      <c r="I10" s="1">
        <f>Table115[[#This Row],[Shares  bought]]+Table115[[#This Row],[Column1]]</f>
        <v>638</v>
      </c>
      <c r="J10" s="1">
        <f>Table114[[#This Row],[Shares  bought]]+Table114[[#This Row],[Column1]]</f>
        <v>172</v>
      </c>
      <c r="K10" s="1">
        <f>Table113[[#This Row],[Shares  bought]]+Table113[[#This Row],[Column1]]</f>
        <v>0</v>
      </c>
      <c r="L10" s="1">
        <f>Table112[[#This Row],[Shares  bought]]+Table112[[#This Row],[Column1]]</f>
        <v>9388</v>
      </c>
      <c r="M10" s="1">
        <f>Table111[[#This Row],[Shares  bought]]+Table111[[#This Row],[Column2]]</f>
        <v>798</v>
      </c>
      <c r="N10" s="49" t="s">
        <v>54</v>
      </c>
      <c r="O10" s="76"/>
    </row>
    <row r="11" spans="3:15" ht="20.399999999999999" x14ac:dyDescent="0.3">
      <c r="C11" s="1">
        <f>(M11*calulator!$G$5)+(مجموع!L11*calulator!$G$6)+(مجموع!K11*calulator!$G$7)+(مجموع!J11*calulator!$G$8)+(مجموع!I11*calulator!$G$9)+(مجموع!H11*calulator!$G$10)+(مجموع!G11*calulator!$G$11)+(مجموع!F11*calulator!$G$12)+(مجموع!E11*calulator!$G$13)+(مجموع!D11*calulator!$G$14)</f>
        <v>78142075.447065413</v>
      </c>
      <c r="D11" s="72">
        <f>Table1[[#This Row],[Shares  bought]]</f>
        <v>1.3699999999999999E-3</v>
      </c>
      <c r="E11" s="72">
        <f>Table118[[#This Row],[Shares  bought]]</f>
        <v>2.07E-2</v>
      </c>
      <c r="F11" s="72">
        <f>Table117[[#This Row],[Shares  bought]]</f>
        <v>68.05</v>
      </c>
      <c r="G11" s="72">
        <f>Table116[[#This Row],[Shares  bought]]</f>
        <v>0</v>
      </c>
      <c r="H11" s="1">
        <v>0</v>
      </c>
      <c r="I11" s="1">
        <f>Table115[[#This Row],[Shares  bought]]+Table115[[#This Row],[Column1]]</f>
        <v>312</v>
      </c>
      <c r="J11" s="1">
        <f>Table114[[#This Row],[Shares  bought]]+Table114[[#This Row],[Column1]]</f>
        <v>147</v>
      </c>
      <c r="K11" s="1">
        <f>Table113[[#This Row],[Shares  bought]]+Table113[[#This Row],[Column1]]</f>
        <v>1582</v>
      </c>
      <c r="L11" s="1">
        <f>Table112[[#This Row],[Shares  bought]]+Table112[[#This Row],[Column1]]</f>
        <v>9066</v>
      </c>
      <c r="M11" s="1">
        <f>Table111[[#This Row],[Shares  bought]]+Table111[[#This Row],[Column2]]</f>
        <v>796</v>
      </c>
      <c r="N11" s="49" t="s">
        <v>55</v>
      </c>
      <c r="O11" s="76"/>
    </row>
    <row r="12" spans="3:15" ht="20.399999999999999" x14ac:dyDescent="0.3">
      <c r="C12" s="1">
        <f>(M12*calulator!$G$5)+(مجموع!L12*calulator!$G$6)+(مجموع!K12*calulator!$G$7)+(مجموع!J12*calulator!$G$8)+(مجموع!I12*calulator!$G$9)+(مجموع!H12*calulator!$G$10)+(مجموع!G12*calulator!$G$11)+(مجموع!F12*calulator!$G$12)+(مجموع!E12*calulator!$G$13)+(مجموع!D12*calulator!$G$14)</f>
        <v>79609854.68241483</v>
      </c>
      <c r="D12" s="72">
        <f>Table1[[#This Row],[Shares  bought]]</f>
        <v>1.4790000000000001E-3</v>
      </c>
      <c r="E12" s="72">
        <f>Table118[[#This Row],[Shares  bought]]</f>
        <v>2.1399999999999999E-2</v>
      </c>
      <c r="F12" s="72">
        <f>Table117[[#This Row],[Shares  bought]]</f>
        <v>62.5</v>
      </c>
      <c r="G12" s="72">
        <f>Table116[[#This Row],[Shares  bought]]</f>
        <v>0</v>
      </c>
      <c r="H12" s="1">
        <v>0</v>
      </c>
      <c r="I12" s="1">
        <f>Table115[[#This Row],[Shares  bought]]+Table115[[#This Row],[Column1]]</f>
        <v>352</v>
      </c>
      <c r="J12" s="1">
        <f>Table114[[#This Row],[Shares  bought]]+Table114[[#This Row],[Column1]]</f>
        <v>151</v>
      </c>
      <c r="K12" s="1">
        <f>Table113[[#This Row],[Shares  bought]]+Table113[[#This Row],[Column1]]</f>
        <v>1656</v>
      </c>
      <c r="L12" s="1">
        <f>Table112[[#This Row],[Shares  bought]]+Table112[[#This Row],[Column1]]</f>
        <v>9745</v>
      </c>
      <c r="M12" s="1">
        <f>Table111[[#This Row],[Shares  bought]]+Table111[[#This Row],[Column2]]</f>
        <v>851</v>
      </c>
      <c r="N12" s="49" t="s">
        <v>56</v>
      </c>
      <c r="O12" s="76"/>
    </row>
    <row r="13" spans="3:15" ht="20.399999999999999" x14ac:dyDescent="0.3">
      <c r="C13" s="1">
        <f>(M13*calulator!$G$5)+(مجموع!L13*calulator!$G$6)+(مجموع!K13*calulator!$G$7)+(مجموع!J13*calulator!$G$8)+(مجموع!I13*calulator!$G$9)+(مجموع!H13*calulator!$G$10)+(مجموع!G13*calulator!$G$11)+(مجموع!F13*calulator!$G$12)+(مجموع!E13*calulator!$G$13)+(مجموع!D13*calulator!$G$14)</f>
        <v>74658129.421138823</v>
      </c>
      <c r="D13" s="72">
        <f>Table1[[#This Row],[Shares  bought]]</f>
        <v>1.0480000000000001E-3</v>
      </c>
      <c r="E13" s="72">
        <f>Table118[[#This Row],[Shares  bought]]</f>
        <v>1.536E-2</v>
      </c>
      <c r="F13" s="72">
        <f>Table117[[#This Row],[Shares  bought]]</f>
        <v>64.5</v>
      </c>
      <c r="G13" s="72">
        <f>Table116[[#This Row],[Shares  bought]]</f>
        <v>0</v>
      </c>
      <c r="H13" s="1">
        <v>0</v>
      </c>
      <c r="I13" s="1">
        <f>Table115[[#This Row],[Shares  bought]]+Table115[[#This Row],[Column1]]</f>
        <v>425</v>
      </c>
      <c r="J13" s="1">
        <f>Table114[[#This Row],[Shares  bought]]+Table114[[#This Row],[Column1]]</f>
        <v>148</v>
      </c>
      <c r="K13" s="1">
        <f>Table113[[#This Row],[Shares  bought]]+Table113[[#This Row],[Column1]]</f>
        <v>1610</v>
      </c>
      <c r="L13" s="1">
        <f>Table112[[#This Row],[Shares  bought]]+Table112[[#This Row],[Column1]]</f>
        <v>9699</v>
      </c>
      <c r="M13" s="1">
        <f>Table111[[#This Row],[Shares  bought]]+Table111[[#This Row],[Column2]]</f>
        <v>811</v>
      </c>
      <c r="N13" s="49" t="s">
        <v>57</v>
      </c>
      <c r="O13" s="76"/>
    </row>
    <row r="14" spans="3:15" ht="20.399999999999999" x14ac:dyDescent="0.3">
      <c r="C14" s="1">
        <f>(M14*calulator!$G$5)+(مجموع!L14*calulator!$G$6)+(مجموع!K14*calulator!$G$7)+(مجموع!J14*calulator!$G$8)+(مجموع!I14*calulator!$G$9)+(مجموع!H14*calulator!$G$10)+(مجموع!G14*calulator!$G$11)+(مجموع!F14*calulator!$G$12)+(مجموع!E14*calulator!$G$13)+(مجموع!D14*calulator!$G$14)</f>
        <v>76424263.111437052</v>
      </c>
      <c r="D14" s="72">
        <f>Table1[[#This Row],[Shares  bought]]</f>
        <v>1.0920000000000001E-3</v>
      </c>
      <c r="E14" s="72">
        <f>Table118[[#This Row],[Shares  bought]]</f>
        <v>1.4500000000000001E-2</v>
      </c>
      <c r="F14" s="72">
        <f>Table117[[#This Row],[Shares  bought]]</f>
        <v>60.06</v>
      </c>
      <c r="G14" s="72">
        <f>Table116[[#This Row],[Shares  bought]]</f>
        <v>0</v>
      </c>
      <c r="H14" s="1">
        <v>0</v>
      </c>
      <c r="I14" s="1">
        <f>Table115[[#This Row],[Shares  bought]]+Table115[[#This Row],[Column1]]</f>
        <v>521</v>
      </c>
      <c r="J14" s="1">
        <f>Table114[[#This Row],[Shares  bought]]+Table114[[#This Row],[Column1]]</f>
        <v>145</v>
      </c>
      <c r="K14" s="1">
        <f>Table113[[#This Row],[Shares  bought]]+Table113[[#This Row],[Column1]]</f>
        <v>1721</v>
      </c>
      <c r="L14" s="1">
        <f>Table112[[#This Row],[Shares  bought]]+Table112[[#This Row],[Column1]]</f>
        <v>11393</v>
      </c>
      <c r="M14" s="1">
        <f>Table111[[#This Row],[Shares  bought]]+Table111[[#This Row],[Column2]]</f>
        <v>845</v>
      </c>
      <c r="N14" s="49" t="s">
        <v>58</v>
      </c>
      <c r="O14" s="76"/>
    </row>
    <row r="15" spans="3:15" ht="20.399999999999999" x14ac:dyDescent="0.3">
      <c r="C15" s="1">
        <f>(M15*calulator!$G$5)+(مجموع!L15*calulator!$G$6)+(مجموع!K15*calulator!$G$7)+(مجموع!J15*calulator!$G$8)+(مجموع!I15*calulator!$G$9)+(مجموع!H15*calulator!$G$10)+(مجموع!G15*calulator!$G$11)+(مجموع!F15*calulator!$G$12)+(مجموع!E15*calulator!$G$13)+(مجموع!D15*calulator!$G$14)</f>
        <v>74775459.489895672</v>
      </c>
      <c r="D15" s="72">
        <f>Table1[[#This Row],[Shares  bought]]</f>
        <v>1.1709999999999999E-3</v>
      </c>
      <c r="E15" s="72">
        <f>Table118[[#This Row],[Shares  bought]]</f>
        <v>1.404E-2</v>
      </c>
      <c r="F15" s="72">
        <f>Table117[[#This Row],[Shares  bought]]</f>
        <v>58.573999999999998</v>
      </c>
      <c r="G15" s="72">
        <f>Table116[[#This Row],[Shares  bought]]</f>
        <v>0</v>
      </c>
      <c r="H15" s="1">
        <v>0</v>
      </c>
      <c r="I15" s="1">
        <f>Table115[[#This Row],[Shares  bought]]+Table115[[#This Row],[Column1]]</f>
        <v>601</v>
      </c>
      <c r="J15" s="1">
        <f>Table114[[#This Row],[Shares  bought]]+Table114[[#This Row],[Column1]]</f>
        <v>144</v>
      </c>
      <c r="K15" s="1">
        <f>Table113[[#This Row],[Shares  bought]]+Table113[[#This Row],[Column1]]</f>
        <v>1518</v>
      </c>
      <c r="L15" s="1">
        <f>Table112[[#This Row],[Shares  bought]]+Table112[[#This Row],[Column1]]</f>
        <v>10967</v>
      </c>
      <c r="M15" s="1">
        <f>Table111[[#This Row],[Shares  bought]]+Table111[[#This Row],[Column2]]</f>
        <v>749</v>
      </c>
      <c r="N15" s="49" t="s">
        <v>49</v>
      </c>
      <c r="O15" s="76"/>
    </row>
    <row r="16" spans="3:15" ht="20.399999999999999" x14ac:dyDescent="0.3">
      <c r="C16" s="1">
        <f>(M16*calulator!$G$5)+(مجموع!L16*calulator!$G$6)+(مجموع!K16*calulator!$G$7)+(مجموع!J16*calulator!$G$8)+(مجموع!I16*calulator!$G$9)+(مجموع!H16*calulator!$G$10)+(مجموع!G16*calulator!$G$11)+(مجموع!F16*calulator!$G$12)+(مجموع!E16*calulator!$G$13)+(مجموع!D16*calulator!$G$14)</f>
        <v>86761289.871192902</v>
      </c>
      <c r="D16" s="72">
        <f>Table1[[#This Row],[Shares  bought]]</f>
        <v>2.5497189000000002E-3</v>
      </c>
      <c r="E16" s="72">
        <f>Table118[[#This Row],[Shares  bought]]</f>
        <v>1.9115281000000001E-2</v>
      </c>
      <c r="F16" s="72">
        <f>Table117[[#This Row],[Shares  bought]]</f>
        <v>46.3</v>
      </c>
      <c r="G16" s="72">
        <f>Table116[[#This Row],[Shares  bought]]</f>
        <v>0</v>
      </c>
      <c r="H16" s="1">
        <v>0</v>
      </c>
      <c r="I16" s="1">
        <f>Table115[[#This Row],[Shares  bought]]+Table115[[#This Row],[Column1]]</f>
        <v>790</v>
      </c>
      <c r="J16" s="1">
        <f>Table114[[#This Row],[Shares  bought]]+Table114[[#This Row],[Column1]]</f>
        <v>153</v>
      </c>
      <c r="K16" s="1">
        <f>Table113[[#This Row],[Shares  bought]]+Table113[[#This Row],[Column1]]</f>
        <v>1679</v>
      </c>
      <c r="L16" s="1">
        <f>Table112[[#This Row],[Shares  bought]]+Table112[[#This Row],[Column1]]</f>
        <v>11146</v>
      </c>
      <c r="M16" s="1">
        <f>Table111[[#This Row],[Shares  bought]]+Table111[[#This Row],[Column2]]</f>
        <v>830</v>
      </c>
      <c r="N16" s="49" t="s">
        <v>48</v>
      </c>
      <c r="O16" s="76"/>
    </row>
    <row r="17" spans="3:15" ht="21" thickBot="1" x14ac:dyDescent="0.35">
      <c r="C17" s="1">
        <f>(M17*calulator!$G$5)+(مجموع!L17*calulator!$G$6)+(مجموع!K17*calulator!$G$7)+(مجموع!J17*calulator!$G$8)+(مجموع!I17*calulator!$G$9)+(مجموع!H17*calulator!$G$10)+(مجموع!G17*calulator!$G$11)+(مجموع!F17*calulator!$G$12)+(مجموع!E17*calulator!$G$13)+(مجموع!D17*calulator!$G$14)</f>
        <v>88288605.458860636</v>
      </c>
      <c r="D17" s="72">
        <f>Table1[[#This Row],[Shares  bought]]</f>
        <v>2.6777330794341679E-3</v>
      </c>
      <c r="E17" s="72">
        <f>Table118[[#This Row],[Shares  bought]]</f>
        <v>1.8770683999999999E-2</v>
      </c>
      <c r="F17" s="72">
        <f>Table117[[#This Row],[Shares  bought]]</f>
        <v>52.0625</v>
      </c>
      <c r="G17" s="72">
        <f>Table116[[#This Row],[Shares  bought]]</f>
        <v>0</v>
      </c>
      <c r="H17" s="1">
        <v>0</v>
      </c>
      <c r="I17" s="1">
        <f>Table115[[#This Row],[Shares  bought]]+Table115[[#This Row],[Column1]]</f>
        <v>778</v>
      </c>
      <c r="J17" s="1">
        <f>Table114[[#This Row],[Shares  bought]]+Table114[[#This Row],[Column1]]</f>
        <v>155</v>
      </c>
      <c r="K17" s="1">
        <f>Table113[[#This Row],[Shares  bought]]+Table113[[#This Row],[Column1]]</f>
        <v>1557</v>
      </c>
      <c r="L17" s="1">
        <f>Table112[[#This Row],[Shares  bought]]+Table112[[#This Row],[Column1]]</f>
        <v>11459</v>
      </c>
      <c r="M17" s="1">
        <f>Table111[[#This Row],[Shares  bought]]+Table111[[#This Row],[Column2]]</f>
        <v>756</v>
      </c>
      <c r="N17" s="64" t="s">
        <v>47</v>
      </c>
      <c r="O17" s="77"/>
    </row>
    <row r="18" spans="3:15" ht="20.399999999999999" x14ac:dyDescent="0.3">
      <c r="C18" s="1">
        <f>(M18*calulator!$G$5)+(مجموع!L18*calulator!$G$6)+(مجموع!K18*calulator!$G$7)+(مجموع!J18*calulator!$G$8)+(مجموع!I18*calulator!$G$9)+(مجموع!H18*calulator!$G$10)+(مجموع!G18*calulator!$G$11)+(مجموع!F18*calulator!$G$12)+(مجموع!E18*calulator!$G$13)+(مجموع!D18*calulator!$G$14)</f>
        <v>90227426.2299591</v>
      </c>
      <c r="D18" s="72">
        <f>Table1[[#This Row],[Shares  bought]]</f>
        <v>2.650892682926829E-3</v>
      </c>
      <c r="E18" s="72">
        <f>Table118[[#This Row],[Shares  bought]]</f>
        <v>1.7033393939393938E-2</v>
      </c>
      <c r="F18" s="72">
        <f>Table117[[#This Row],[Shares  bought]]</f>
        <v>56.846010638297869</v>
      </c>
      <c r="G18" s="72">
        <f>Table116[[#This Row],[Shares  bought]]</f>
        <v>0</v>
      </c>
      <c r="H18" s="1">
        <v>0</v>
      </c>
      <c r="I18" s="1">
        <f>Table115[[#This Row],[Shares  bought]]+Table115[[#This Row],[Column1]]</f>
        <v>803</v>
      </c>
      <c r="J18" s="1">
        <f>Table114[[#This Row],[Shares  bought]]+Table114[[#This Row],[Column1]]</f>
        <v>136</v>
      </c>
      <c r="K18" s="1">
        <f>Table113[[#This Row],[Shares  bought]]+Table113[[#This Row],[Column1]]</f>
        <v>1723</v>
      </c>
      <c r="L18" s="1">
        <f>Table112[[#This Row],[Shares  bought]]+Table112[[#This Row],[Column1]]</f>
        <v>12574</v>
      </c>
      <c r="M18" s="1">
        <f>Table111[[#This Row],[Shares  bought]]+Table111[[#This Row],[Column2]]</f>
        <v>803</v>
      </c>
      <c r="N18" s="49" t="s">
        <v>180</v>
      </c>
      <c r="O18" s="75">
        <v>1401</v>
      </c>
    </row>
    <row r="19" spans="3:15" ht="20.399999999999999" x14ac:dyDescent="0.3">
      <c r="C19" s="1">
        <f>(M19*calulator!$G$5)+(مجموع!L19*calulator!$G$6)+(مجموع!K19*calulator!$G$7)+(مجموع!J19*calulator!$G$8)+(مجموع!I19*calulator!$G$9)+(مجموع!H19*calulator!$G$10)+(مجموع!G19*calulator!$G$11)+(مجموع!F19*calulator!$G$12)+(مجموع!E19*calulator!$G$13)+(مجموع!D19*calulator!$G$14)</f>
        <v>98601385.597542286</v>
      </c>
      <c r="D19" s="72">
        <f>Table1[[#This Row],[Shares  bought]]</f>
        <v>3.019042944785276E-3</v>
      </c>
      <c r="E19" s="72">
        <f>Table118[[#This Row],[Shares  bought]]</f>
        <v>2.0045705521472394E-2</v>
      </c>
      <c r="F19" s="72">
        <f>Table117[[#This Row],[Shares  bought]]</f>
        <v>59.897300469483568</v>
      </c>
      <c r="G19" s="72">
        <f>Table116[[#This Row],[Shares  bought]]</f>
        <v>0</v>
      </c>
      <c r="H19" s="1">
        <v>0</v>
      </c>
      <c r="I19" s="1">
        <f>Table115[[#This Row],[Shares  bought]]+Table115[[#This Row],[Column1]]</f>
        <v>769</v>
      </c>
      <c r="J19" s="1">
        <f>Table114[[#This Row],[Shares  bought]]+Table114[[#This Row],[Column1]]</f>
        <v>169</v>
      </c>
      <c r="K19" s="1">
        <f>Table113[[#This Row],[Shares  bought]]+Table113[[#This Row],[Column1]]</f>
        <v>1808</v>
      </c>
      <c r="L19" s="1">
        <f>Table112[[#This Row],[Shares  bought]]+Table112[[#This Row],[Column1]]</f>
        <v>13369</v>
      </c>
      <c r="M19" s="1">
        <f>Table111[[#This Row],[Shares  bought]]+Table111[[#This Row],[Column2]]</f>
        <v>867</v>
      </c>
      <c r="N19" s="49" t="s">
        <v>51</v>
      </c>
      <c r="O19" s="76"/>
    </row>
    <row r="20" spans="3:15" ht="20.399999999999999" x14ac:dyDescent="0.3">
      <c r="C20" s="1">
        <f>(M20*calulator!$G$5)+(مجموع!L20*calulator!$G$6)+(مجموع!K20*calulator!$G$7)+(مجموع!J20*calulator!$G$8)+(مجموع!I20*calulator!$G$9)+(مجموع!H20*calulator!$G$10)+(مجموع!G20*calulator!$G$11)+(مجموع!F20*calulator!$G$12)+(مجموع!E20*calulator!$G$13)+(مجموع!D20*calulator!$G$14)</f>
        <v>106191491.88669792</v>
      </c>
      <c r="D20" s="72">
        <f>Table1[[#This Row],[Shares  bought]]</f>
        <v>3.4957894736842099E-3</v>
      </c>
      <c r="E20" s="72">
        <f>Table118[[#This Row],[Shares  bought]]</f>
        <v>2.8141830065359478E-2</v>
      </c>
      <c r="F20" s="72">
        <f>Table117[[#This Row],[Shares  bought]]</f>
        <v>56.304862</v>
      </c>
      <c r="G20" s="72">
        <v>0</v>
      </c>
      <c r="H20" s="1">
        <f>فزر!F6+فزر!G6</f>
        <v>244</v>
      </c>
      <c r="I20" s="1">
        <f>Table115[[#This Row],[Shares  bought]]+Table115[[#This Row],[Column1]]</f>
        <v>435</v>
      </c>
      <c r="J20" s="1">
        <f>Table114[[#This Row],[Shares  bought]]+Table114[[#This Row],[Column1]]</f>
        <v>173</v>
      </c>
      <c r="K20" s="1">
        <f>Table113[[#This Row],[Shares  bought]]+Table113[[#This Row],[Column1]]</f>
        <v>1890</v>
      </c>
      <c r="L20" s="1">
        <f>Table112[[#This Row],[Shares  bought]]+Table112[[#This Row],[Column1]]</f>
        <v>13949</v>
      </c>
      <c r="M20" s="1">
        <f>Table111[[#This Row],[Shares  bought]]+Table111[[#This Row],[Column2]]</f>
        <v>862</v>
      </c>
      <c r="N20" s="49" t="s">
        <v>52</v>
      </c>
      <c r="O20" s="76"/>
    </row>
    <row r="21" spans="3:15" ht="20.399999999999999" x14ac:dyDescent="0.3">
      <c r="C21" s="1">
        <f>(M21*calulator!$G$5)+(مجموع!L21*calulator!$G$6)+(مجموع!K21*calulator!$G$7)+(مجموع!J21*calulator!$G$8)+(مجموع!I21*calulator!$G$9)+(مجموع!H21*calulator!$G$10)+(مجموع!G21*calulator!$G$11)+(مجموع!F21*calulator!$G$12)+(مجموع!E21*calulator!$G$13)+(مجموع!D21*calulator!$G$14)</f>
        <v>132356635.57477365</v>
      </c>
      <c r="D21" s="72">
        <f>Table1[[#This Row],[Shares  bought]]</f>
        <v>5.6291666666666651E-3</v>
      </c>
      <c r="E21" s="72">
        <f>Table118[[#This Row],[Shares  bought]]</f>
        <v>5.1074074074074077E-2</v>
      </c>
      <c r="F21" s="72">
        <f>Table117[[#This Row],[Shares  bought]]</f>
        <v>53.707830000000001</v>
      </c>
      <c r="G21" s="72">
        <v>0</v>
      </c>
      <c r="H21" s="1">
        <f>فزر!F7+فزر!G7</f>
        <v>342</v>
      </c>
      <c r="I21" s="1">
        <f>Table115[[#This Row],[Shares  bought]]+Table115[[#This Row],[Column1]]</f>
        <v>602</v>
      </c>
      <c r="J21" s="1">
        <f>Table114[[#This Row],[Shares  bought]]+Table114[[#This Row],[Column1]]</f>
        <v>182</v>
      </c>
      <c r="K21" s="1">
        <f>Table113[[#This Row],[Shares  bought]]+Table113[[#This Row],[Column1]]</f>
        <v>2070</v>
      </c>
      <c r="L21" s="1">
        <f>Table112[[#This Row],[Shares  bought]]+Table112[[#This Row],[Column1]]</f>
        <v>10599</v>
      </c>
      <c r="M21" s="1">
        <f>Table111[[#This Row],[Shares  bought]]+Table111[[#This Row],[Column2]]</f>
        <v>879</v>
      </c>
      <c r="N21" s="49" t="s">
        <v>53</v>
      </c>
      <c r="O21" s="76"/>
    </row>
    <row r="22" spans="3:15" ht="20.399999999999999" x14ac:dyDescent="0.3">
      <c r="C22" s="1">
        <f>(M22*calulator!$G$5)+(مجموع!L22*calulator!$G$6)+(مجموع!K22*calulator!$G$7)+(مجموع!J22*calulator!$G$8)+(مجموع!I22*calulator!$G$9)+(مجموع!H22*calulator!$G$10)+(مجموع!G22*calulator!$G$11)+(مجموع!F22*calulator!$G$12)+(مجموع!E22*calulator!$G$13)+(مجموع!D22*calulator!$G$14)</f>
        <v>133117716.81487498</v>
      </c>
      <c r="D22" s="72">
        <f>Table1[[#This Row],[Shares  bought]]</f>
        <v>4.9230151515151513E-3</v>
      </c>
      <c r="E22" s="72">
        <f>Table118[[#This Row],[Shares  bought]]</f>
        <v>3.513151515151515E-2</v>
      </c>
      <c r="F22" s="72">
        <f>Table117[[#This Row],[Shares  bought]]</f>
        <v>57.118107104541856</v>
      </c>
      <c r="G22" s="72">
        <v>0</v>
      </c>
      <c r="H22" s="1">
        <f>فزر!F8+فزر!G8</f>
        <v>460</v>
      </c>
      <c r="I22" s="1">
        <f>Table115[[#This Row],[Shares  bought]]+Table115[[#This Row],[Column1]]</f>
        <v>815</v>
      </c>
      <c r="J22" s="1">
        <f>Table114[[#This Row],[Shares  bought]]+Table114[[#This Row],[Column1]]</f>
        <v>208</v>
      </c>
      <c r="K22" s="1">
        <f>Table113[[#This Row],[Shares  bought]]+Table113[[#This Row],[Column1]]</f>
        <v>2696</v>
      </c>
      <c r="L22" s="1">
        <f>Table112[[#This Row],[Shares  bought]]+Table112[[#This Row],[Column1]]</f>
        <v>10842</v>
      </c>
      <c r="M22" s="1">
        <f>Table111[[#This Row],[Shares  bought]]+Table111[[#This Row],[Column2]]</f>
        <v>1055</v>
      </c>
      <c r="N22" s="49" t="s">
        <v>54</v>
      </c>
      <c r="O22" s="76"/>
    </row>
    <row r="23" spans="3:15" ht="20.399999999999999" x14ac:dyDescent="0.3">
      <c r="C23" s="1">
        <f>(M23*calulator!$G$5)+(مجموع!L23*calulator!$G$6)+(مجموع!K23*calulator!$G$7)+(مجموع!J23*calulator!$G$8)+(مجموع!I23*calulator!$G$9)+(مجموع!H23*calulator!$G$10)+(مجموع!G23*calulator!$G$11)+(مجموع!F23*calulator!$G$12)+(مجموع!E23*calulator!$G$13)+(مجموع!D23*calulator!$G$14)</f>
        <v>139153657.2774927</v>
      </c>
      <c r="D23" s="72">
        <f>Table1[[#This Row],[Shares  bought]]</f>
        <v>5.8765050505050504E-3</v>
      </c>
      <c r="E23" s="72">
        <f>Table118[[#This Row],[Shares  bought]]</f>
        <v>3.7888181818181821E-2</v>
      </c>
      <c r="F23" s="72">
        <f>Table117[[#This Row],[Shares  bought]]</f>
        <v>58.402999999999999</v>
      </c>
      <c r="G23" s="72">
        <v>0</v>
      </c>
      <c r="H23" s="1">
        <f>فزر!F9+فزر!G9</f>
        <v>447</v>
      </c>
      <c r="I23" s="1">
        <f>Table115[[#This Row],[Shares  bought]]+Table115[[#This Row],[Column1]]</f>
        <v>680</v>
      </c>
      <c r="J23" s="1">
        <f>Table114[[#This Row],[Shares  bought]]+Table114[[#This Row],[Column1]]</f>
        <v>200</v>
      </c>
      <c r="K23" s="1">
        <f>Table113[[#This Row],[Shares  bought]]+Table113[[#This Row],[Column1]]</f>
        <v>2642</v>
      </c>
      <c r="L23" s="1">
        <f>Table112[[#This Row],[Shares  bought]]+Table112[[#This Row],[Column1]]</f>
        <v>10336</v>
      </c>
      <c r="M23" s="1">
        <f>Table111[[#This Row],[Shares  bought]]+Table111[[#This Row],[Column2]]</f>
        <v>1162</v>
      </c>
      <c r="N23" s="49" t="s">
        <v>55</v>
      </c>
      <c r="O23" s="76"/>
    </row>
    <row r="24" spans="3:15" ht="20.399999999999999" x14ac:dyDescent="0.3">
      <c r="C24" s="1">
        <f>(M24*calulator!$G$5)+(مجموع!L24*calulator!$G$6)+(مجموع!K24*calulator!$G$7)+(مجموع!J24*calulator!$G$8)+(مجموع!I24*calulator!$G$9)+(مجموع!H24*calulator!$G$10)+(مجموع!G24*calulator!$G$11)+(مجموع!F24*calulator!$G$12)+(مجموع!E24*calulator!$G$13)+(مجموع!D24*calulator!$G$14)</f>
        <v>0</v>
      </c>
      <c r="D24" s="72">
        <v>0</v>
      </c>
      <c r="E24" s="72">
        <v>0</v>
      </c>
      <c r="F24" s="72">
        <v>0</v>
      </c>
      <c r="G24" s="72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49" t="s">
        <v>56</v>
      </c>
      <c r="O24" s="76"/>
    </row>
    <row r="25" spans="3:15" ht="20.399999999999999" x14ac:dyDescent="0.3">
      <c r="C25" s="1">
        <f>(M25*calulator!$G$5)+(مجموع!L25*calulator!$G$6)+(مجموع!K25*calulator!$G$7)+(مجموع!J25*calulator!$G$8)+(مجموع!I25*calulator!$G$9)+(مجموع!H25*calulator!$G$10)+(مجموع!G25*calulator!$G$11)+(مجموع!F25*calulator!$G$12)+(مجموع!E25*calulator!$G$13)+(مجموع!D25*calulator!$G$14)</f>
        <v>0</v>
      </c>
      <c r="D25" s="72">
        <v>0</v>
      </c>
      <c r="E25" s="72">
        <v>0</v>
      </c>
      <c r="F25" s="72">
        <v>0</v>
      </c>
      <c r="G25" s="72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49" t="s">
        <v>57</v>
      </c>
      <c r="O25" s="76"/>
    </row>
    <row r="26" spans="3:15" ht="20.399999999999999" x14ac:dyDescent="0.3">
      <c r="C26" s="1">
        <f>(M26*calulator!$G$5)+(مجموع!L26*calulator!$G$6)+(مجموع!K26*calulator!$G$7)+(مجموع!J26*calulator!$G$8)+(مجموع!I26*calulator!$G$9)+(مجموع!H26*calulator!$G$10)+(مجموع!G26*calulator!$G$11)+(مجموع!F26*calulator!$G$12)+(مجموع!E26*calulator!$G$13)+(مجموع!D26*calulator!$G$14)</f>
        <v>0</v>
      </c>
      <c r="D26" s="72">
        <v>0</v>
      </c>
      <c r="E26" s="72">
        <v>0</v>
      </c>
      <c r="F26" s="72">
        <v>0</v>
      </c>
      <c r="G26" s="7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49" t="s">
        <v>58</v>
      </c>
      <c r="O26" s="76"/>
    </row>
    <row r="27" spans="3:15" ht="20.399999999999999" x14ac:dyDescent="0.3">
      <c r="C27" s="1">
        <f>(M27*calulator!$G$5)+(مجموع!L27*calulator!$G$6)+(مجموع!K27*calulator!$G$7)+(مجموع!J27*calulator!$G$8)+(مجموع!I27*calulator!$G$9)+(مجموع!H27*calulator!$G$10)+(مجموع!G27*calulator!$G$11)+(مجموع!F27*calulator!$G$12)+(مجموع!E27*calulator!$G$13)+(مجموع!D27*calulator!$G$14)</f>
        <v>0</v>
      </c>
      <c r="D27" s="72">
        <v>0</v>
      </c>
      <c r="E27" s="72">
        <v>0</v>
      </c>
      <c r="F27" s="72">
        <v>0</v>
      </c>
      <c r="G27" s="72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49" t="s">
        <v>49</v>
      </c>
      <c r="O27" s="76"/>
    </row>
    <row r="28" spans="3:15" ht="20.399999999999999" x14ac:dyDescent="0.3">
      <c r="C28" s="1">
        <f>(M28*calulator!$G$5)+(مجموع!L28*calulator!$G$6)+(مجموع!K28*calulator!$G$7)+(مجموع!J28*calulator!$G$8)+(مجموع!I28*calulator!$G$9)+(مجموع!H28*calulator!$G$10)+(مجموع!G28*calulator!$G$11)+(مجموع!F28*calulator!$G$12)+(مجموع!E28*calulator!$G$13)+(مجموع!D28*calulator!$G$14)</f>
        <v>0</v>
      </c>
      <c r="D28" s="72">
        <v>0</v>
      </c>
      <c r="E28" s="72">
        <v>0</v>
      </c>
      <c r="F28" s="72">
        <v>0</v>
      </c>
      <c r="G28" s="72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49" t="s">
        <v>48</v>
      </c>
      <c r="O28" s="76"/>
    </row>
    <row r="29" spans="3:15" ht="21" thickBot="1" x14ac:dyDescent="0.35">
      <c r="C29" s="1">
        <f>(M29*calulator!$G$5)+(مجموع!L29*calulator!$G$6)+(مجموع!K29*calulator!$G$7)+(مجموع!J29*calulator!$G$8)+(مجموع!I29*calulator!$G$9)+(مجموع!H29*calulator!$G$10)+(مجموع!G29*calulator!$G$11)+(مجموع!F29*calulator!$G$12)+(مجموع!E29*calulator!$G$13)+(مجموع!D29*calulator!$G$14)</f>
        <v>0</v>
      </c>
      <c r="D29" s="72">
        <v>0</v>
      </c>
      <c r="E29" s="72">
        <v>0</v>
      </c>
      <c r="F29" s="72">
        <v>0</v>
      </c>
      <c r="G29" s="72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49" t="s">
        <v>47</v>
      </c>
      <c r="O29" s="77"/>
    </row>
    <row r="30" spans="3:15" ht="21" thickBot="1" x14ac:dyDescent="0.35">
      <c r="C30" s="1">
        <f>SUM(C6:C29)</f>
        <v>1755163165.1620777</v>
      </c>
      <c r="D30" s="72">
        <f t="shared" ref="D30:L30" si="0">SUM(D6:D29)</f>
        <v>4.3706863949517345E-2</v>
      </c>
      <c r="E30" s="72">
        <f t="shared" si="0"/>
        <v>0.4393406655699969</v>
      </c>
      <c r="F30" s="72">
        <f t="shared" si="0"/>
        <v>1028.5450102123232</v>
      </c>
      <c r="G30" s="72">
        <f t="shared" si="0"/>
        <v>0.151784</v>
      </c>
      <c r="H30" s="1">
        <f t="shared" si="0"/>
        <v>1493</v>
      </c>
      <c r="I30" s="1">
        <f t="shared" si="0"/>
        <v>9444</v>
      </c>
      <c r="J30" s="1">
        <f t="shared" si="0"/>
        <v>3091</v>
      </c>
      <c r="K30" s="1">
        <f t="shared" si="0"/>
        <v>33460</v>
      </c>
      <c r="L30" s="1">
        <f t="shared" si="0"/>
        <v>201244</v>
      </c>
      <c r="M30" s="1">
        <f>SUM(M6:M29)</f>
        <v>16253</v>
      </c>
      <c r="N30" s="52" t="s">
        <v>134</v>
      </c>
    </row>
    <row r="32" spans="3:15" x14ac:dyDescent="0.3">
      <c r="C32" s="70">
        <f>SUM(C6:C17)</f>
        <v>1055514851.780737</v>
      </c>
    </row>
  </sheetData>
  <mergeCells count="2">
    <mergeCell ref="O5:O17"/>
    <mergeCell ref="O18:O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topLeftCell="A2" workbookViewId="0">
      <selection activeCell="G24" sqref="G24"/>
    </sheetView>
  </sheetViews>
  <sheetFormatPr defaultRowHeight="14.4" x14ac:dyDescent="0.3"/>
  <cols>
    <col min="2" max="2" width="14.6640625" bestFit="1" customWidth="1"/>
    <col min="4" max="4" width="14.21875" customWidth="1"/>
    <col min="5" max="5" width="13.109375" customWidth="1"/>
    <col min="6" max="6" width="12.5546875" customWidth="1"/>
    <col min="7" max="7" width="15.6640625" customWidth="1"/>
    <col min="8" max="8" width="17.6640625" customWidth="1"/>
    <col min="9" max="9" width="15.6640625" customWidth="1"/>
    <col min="10" max="10" width="16.33203125" customWidth="1"/>
    <col min="11" max="11" width="12.21875" customWidth="1"/>
    <col min="12" max="12" width="16" customWidth="1"/>
  </cols>
  <sheetData>
    <row r="2" spans="2:13" ht="31.2" x14ac:dyDescent="0.6">
      <c r="G2" s="15"/>
    </row>
    <row r="4" spans="2:13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140</v>
      </c>
      <c r="H4" s="16" t="s">
        <v>122</v>
      </c>
      <c r="I4" s="16" t="s">
        <v>141</v>
      </c>
      <c r="J4" s="16" t="s">
        <v>142</v>
      </c>
      <c r="K4" s="16" t="s">
        <v>123</v>
      </c>
      <c r="L4" s="16" t="s">
        <v>143</v>
      </c>
      <c r="M4" s="16" t="s">
        <v>144</v>
      </c>
    </row>
    <row r="5" spans="2:13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150</v>
      </c>
      <c r="H5" s="18" t="s">
        <v>151</v>
      </c>
      <c r="I5" s="18" t="s">
        <v>152</v>
      </c>
      <c r="J5" s="18" t="s">
        <v>153</v>
      </c>
      <c r="K5" s="18" t="s">
        <v>154</v>
      </c>
      <c r="L5" s="18" t="s">
        <v>155</v>
      </c>
      <c r="M5" s="19" t="s">
        <v>156</v>
      </c>
    </row>
    <row r="6" spans="2:13" ht="16.2" thickBot="1" x14ac:dyDescent="0.35">
      <c r="B6" s="20">
        <v>44254.975983796299</v>
      </c>
      <c r="C6" s="21">
        <v>1</v>
      </c>
      <c r="D6" s="21">
        <f>58057.7*Table1[[#This Row],[Column1]]</f>
        <v>15709600812.199999</v>
      </c>
      <c r="E6" s="21">
        <f t="shared" ref="E6:E17" si="0">D6*F6</f>
        <v>9221535.6767613981</v>
      </c>
      <c r="F6" s="21">
        <v>5.8699999999999996E-4</v>
      </c>
      <c r="G6" s="21">
        <v>5.8699999999999996E-4</v>
      </c>
      <c r="H6" s="21">
        <v>9221535.6767613981</v>
      </c>
      <c r="I6" s="21">
        <f>H6/G6</f>
        <v>15709600812.199999</v>
      </c>
      <c r="J6" s="21">
        <f>G6*D6</f>
        <v>9221535.6767613981</v>
      </c>
      <c r="K6" s="21">
        <f>J6-H6</f>
        <v>0</v>
      </c>
      <c r="L6" s="21">
        <f>100*(J6-H6)/H6</f>
        <v>0</v>
      </c>
      <c r="M6" s="22" t="s">
        <v>157</v>
      </c>
    </row>
    <row r="7" spans="2:13" ht="15.6" x14ac:dyDescent="0.3">
      <c r="B7" s="20">
        <v>44261.863576388889</v>
      </c>
      <c r="C7" s="21">
        <v>2</v>
      </c>
      <c r="D7" s="21">
        <f>49777.04*Table1[[#This Row],[Column1]]</f>
        <v>12386070640.24</v>
      </c>
      <c r="E7" s="21">
        <f t="shared" si="0"/>
        <v>18653422.384201441</v>
      </c>
      <c r="F7" s="21">
        <v>1.506E-3</v>
      </c>
      <c r="G7" s="21">
        <f t="shared" ref="G7:G19" si="1">G6+F7</f>
        <v>2.0929999999999998E-3</v>
      </c>
      <c r="H7" s="21">
        <f t="shared" ref="H7:H19" si="2">H6+E7</f>
        <v>27874958.060962841</v>
      </c>
      <c r="I7" s="21">
        <f>H7/G7</f>
        <v>13318183497.832224</v>
      </c>
      <c r="J7" s="21">
        <f t="shared" ref="J7" si="3">G7*D7</f>
        <v>25924045.850022316</v>
      </c>
      <c r="K7" s="21">
        <f t="shared" ref="K7:K19" si="4">J7-H7</f>
        <v>-1950912.2109405249</v>
      </c>
      <c r="L7" s="21">
        <f t="shared" ref="L7:L19" si="5">100*(J7-H7)/H7</f>
        <v>-6.9987987306522879</v>
      </c>
      <c r="M7" s="23">
        <v>248831</v>
      </c>
    </row>
    <row r="8" spans="2:13" ht="15.6" x14ac:dyDescent="0.3">
      <c r="B8" s="24">
        <v>44342</v>
      </c>
      <c r="C8" s="23">
        <v>3</v>
      </c>
      <c r="D8" s="21">
        <f>38831.03*M8</f>
        <v>9451708142.0623398</v>
      </c>
      <c r="E8" s="21">
        <f t="shared" si="0"/>
        <v>14224820.753803821</v>
      </c>
      <c r="F8" s="23">
        <v>1.505E-3</v>
      </c>
      <c r="G8" s="21">
        <f t="shared" si="1"/>
        <v>3.5979999999999996E-3</v>
      </c>
      <c r="H8" s="21">
        <f t="shared" si="2"/>
        <v>42099778.81476666</v>
      </c>
      <c r="I8" s="23">
        <f>H8/G8</f>
        <v>11700883494.932369</v>
      </c>
      <c r="J8" s="23">
        <f>G8*D8</f>
        <v>34007245.895140298</v>
      </c>
      <c r="K8" s="23">
        <f t="shared" si="4"/>
        <v>-8092532.9196263626</v>
      </c>
      <c r="L8" s="23">
        <f t="shared" si="5"/>
        <v>-19.22226944524439</v>
      </c>
      <c r="M8" s="23">
        <f>(57000000+5700)/234.2</f>
        <v>243406.06319385141</v>
      </c>
    </row>
    <row r="9" spans="2:13" ht="15.6" x14ac:dyDescent="0.3">
      <c r="B9" s="25">
        <v>44373.427210648151</v>
      </c>
      <c r="C9" s="23">
        <v>4</v>
      </c>
      <c r="D9" s="21">
        <f>30950.8*Table1[[#This Row],[Column1]]</f>
        <v>7695723327.3056059</v>
      </c>
      <c r="E9" s="21">
        <f t="shared" si="0"/>
        <v>13721474.692585897</v>
      </c>
      <c r="F9" s="23">
        <v>1.7830000000000001E-3</v>
      </c>
      <c r="G9" s="21">
        <f t="shared" si="1"/>
        <v>5.3809999999999995E-3</v>
      </c>
      <c r="H9" s="21">
        <f t="shared" si="2"/>
        <v>55821253.507352561</v>
      </c>
      <c r="I9" s="23">
        <f t="shared" ref="I9:I19" si="6">H9/G9</f>
        <v>10373769468.008282</v>
      </c>
      <c r="J9" s="23">
        <f t="shared" ref="J9:J19" si="7">G9*D9</f>
        <v>41410687.224231459</v>
      </c>
      <c r="K9" s="23">
        <f t="shared" si="4"/>
        <v>-14410566.283121102</v>
      </c>
      <c r="L9" s="23">
        <f t="shared" si="5"/>
        <v>-25.815554789042846</v>
      </c>
      <c r="M9" s="23">
        <v>248643.76130198917</v>
      </c>
    </row>
    <row r="10" spans="2:13" ht="15.6" x14ac:dyDescent="0.3">
      <c r="B10" s="20">
        <v>44404.632384259261</v>
      </c>
      <c r="C10" s="23">
        <v>5</v>
      </c>
      <c r="D10" s="21">
        <f>38306.92*Table1[[#This Row],[Column1]]</f>
        <v>9661733055.4799995</v>
      </c>
      <c r="E10" s="21">
        <f t="shared" si="0"/>
        <v>12985369.226565119</v>
      </c>
      <c r="F10" s="23">
        <v>1.3439999999999999E-3</v>
      </c>
      <c r="G10" s="21">
        <f t="shared" si="1"/>
        <v>6.7249999999999992E-3</v>
      </c>
      <c r="H10" s="21">
        <f t="shared" si="2"/>
        <v>68806622.733917683</v>
      </c>
      <c r="I10" s="23">
        <f t="shared" si="6"/>
        <v>10231468064.523077</v>
      </c>
      <c r="J10" s="23">
        <f t="shared" si="7"/>
        <v>64975154.79810299</v>
      </c>
      <c r="K10" s="23">
        <f t="shared" si="4"/>
        <v>-3831467.9358146936</v>
      </c>
      <c r="L10" s="23">
        <f t="shared" si="5"/>
        <v>-5.5684580692637331</v>
      </c>
      <c r="M10" s="21">
        <v>252219</v>
      </c>
    </row>
    <row r="11" spans="2:13" ht="15.6" x14ac:dyDescent="0.3">
      <c r="B11" t="s">
        <v>158</v>
      </c>
      <c r="C11" s="23">
        <v>6</v>
      </c>
      <c r="D11" s="21">
        <f>48902.87*Table1[[#This Row],[Column1]]</f>
        <v>13907976228</v>
      </c>
      <c r="E11" s="21">
        <f t="shared" si="0"/>
        <v>19053927.432359997</v>
      </c>
      <c r="F11" s="23">
        <v>1.3699999999999999E-3</v>
      </c>
      <c r="G11" s="21">
        <f t="shared" si="1"/>
        <v>8.0949999999999998E-3</v>
      </c>
      <c r="H11" s="21">
        <f t="shared" si="2"/>
        <v>87860550.166277677</v>
      </c>
      <c r="I11" s="23">
        <f t="shared" si="6"/>
        <v>10853681305.284456</v>
      </c>
      <c r="J11" s="23">
        <f t="shared" si="7"/>
        <v>112585067.56566</v>
      </c>
      <c r="K11" s="23">
        <f t="shared" si="4"/>
        <v>24724517.399382323</v>
      </c>
      <c r="L11" s="23">
        <f t="shared" si="5"/>
        <v>28.14063576040752</v>
      </c>
      <c r="M11" s="21">
        <v>284400</v>
      </c>
    </row>
    <row r="12" spans="2:13" ht="15.6" x14ac:dyDescent="0.3">
      <c r="B12" s="20" t="s">
        <v>159</v>
      </c>
      <c r="C12" s="23">
        <v>7</v>
      </c>
      <c r="D12" s="21">
        <f>42297.1*Table1[[#This Row],[Column1]]</f>
        <v>12224919327.5</v>
      </c>
      <c r="E12" s="21">
        <f t="shared" si="0"/>
        <v>18080655.685372502</v>
      </c>
      <c r="F12" s="23">
        <v>1.4790000000000001E-3</v>
      </c>
      <c r="G12" s="21">
        <f t="shared" si="1"/>
        <v>9.5739999999999992E-3</v>
      </c>
      <c r="H12" s="21">
        <f t="shared" si="2"/>
        <v>105941205.85165018</v>
      </c>
      <c r="I12" s="23">
        <f t="shared" si="6"/>
        <v>11065511369.505974</v>
      </c>
      <c r="J12" s="23">
        <f t="shared" si="7"/>
        <v>117041377.64148499</v>
      </c>
      <c r="K12" s="23">
        <f t="shared" si="4"/>
        <v>11100171.789834812</v>
      </c>
      <c r="L12" s="23">
        <f t="shared" si="5"/>
        <v>10.477671743116101</v>
      </c>
      <c r="M12" s="23">
        <v>289025</v>
      </c>
    </row>
    <row r="13" spans="2:13" ht="15.6" x14ac:dyDescent="0.3">
      <c r="B13" s="20" t="s">
        <v>160</v>
      </c>
      <c r="C13" s="23">
        <v>8</v>
      </c>
      <c r="D13" s="21">
        <f>59368.225*Table1[[#This Row],[Column1]]</f>
        <v>16832008677.795444</v>
      </c>
      <c r="E13" s="21">
        <f t="shared" si="0"/>
        <v>17639945.094329629</v>
      </c>
      <c r="F13" s="23">
        <v>1.0480000000000001E-3</v>
      </c>
      <c r="G13" s="21">
        <f t="shared" si="1"/>
        <v>1.0621999999999999E-2</v>
      </c>
      <c r="H13" s="21">
        <f t="shared" si="2"/>
        <v>123581150.9459798</v>
      </c>
      <c r="I13" s="23">
        <f t="shared" si="6"/>
        <v>11634452169.646</v>
      </c>
      <c r="J13" s="23">
        <f t="shared" si="7"/>
        <v>178789596.17554319</v>
      </c>
      <c r="K13" s="23">
        <f t="shared" si="4"/>
        <v>55208445.229563385</v>
      </c>
      <c r="L13" s="23">
        <f t="shared" si="5"/>
        <v>44.673839664833906</v>
      </c>
      <c r="M13" s="21">
        <v>283518.81293057767</v>
      </c>
    </row>
    <row r="14" spans="2:13" ht="15.6" x14ac:dyDescent="0.3">
      <c r="B14" s="20" t="s">
        <v>161</v>
      </c>
      <c r="C14" s="23">
        <v>9</v>
      </c>
      <c r="D14" s="21">
        <f>54478.26*Table1[[#This Row],[Column1]]</f>
        <v>16460497170.796022</v>
      </c>
      <c r="E14" s="21">
        <f t="shared" si="0"/>
        <v>17974862.910509259</v>
      </c>
      <c r="F14" s="23">
        <v>1.0920000000000001E-3</v>
      </c>
      <c r="G14" s="21">
        <f t="shared" si="1"/>
        <v>1.1713999999999999E-2</v>
      </c>
      <c r="H14" s="21">
        <f t="shared" si="2"/>
        <v>141556013.85648906</v>
      </c>
      <c r="I14" s="23">
        <f t="shared" si="6"/>
        <v>12084344703.473543</v>
      </c>
      <c r="J14" s="23">
        <f t="shared" si="7"/>
        <v>192818263.8587046</v>
      </c>
      <c r="K14" s="23">
        <f t="shared" si="4"/>
        <v>51262250.002215534</v>
      </c>
      <c r="L14" s="23">
        <f t="shared" si="5"/>
        <v>36.213403165043722</v>
      </c>
      <c r="M14" s="23">
        <v>302147.99758281599</v>
      </c>
    </row>
    <row r="15" spans="2:13" ht="15.6" x14ac:dyDescent="0.3">
      <c r="B15" s="20" t="s">
        <v>162</v>
      </c>
      <c r="C15" s="23">
        <v>10</v>
      </c>
      <c r="D15" s="21">
        <f>50216.94*Table1[[#This Row],[Column1]]</f>
        <v>15252136504.297995</v>
      </c>
      <c r="E15" s="21">
        <f t="shared" si="0"/>
        <v>17860251.846532952</v>
      </c>
      <c r="F15" s="23">
        <v>1.1709999999999999E-3</v>
      </c>
      <c r="G15" s="21">
        <f t="shared" si="1"/>
        <v>1.2884999999999999E-2</v>
      </c>
      <c r="H15" s="21">
        <f t="shared" si="2"/>
        <v>159416265.703022</v>
      </c>
      <c r="I15" s="23">
        <f t="shared" si="6"/>
        <v>12372236375.865116</v>
      </c>
      <c r="J15" s="23">
        <f t="shared" si="7"/>
        <v>196523778.85787964</v>
      </c>
      <c r="K15" s="23">
        <f t="shared" si="4"/>
        <v>37107513.154857635</v>
      </c>
      <c r="L15" s="23">
        <f t="shared" si="5"/>
        <v>23.27711854948701</v>
      </c>
      <c r="M15" s="23">
        <v>303724.92836676218</v>
      </c>
    </row>
    <row r="16" spans="2:13" ht="15.6" x14ac:dyDescent="0.3">
      <c r="B16" s="20" t="s">
        <v>163</v>
      </c>
      <c r="C16" s="26">
        <v>11</v>
      </c>
      <c r="D16" s="21">
        <f>36289.5*Table1[[#This Row],[Column1]]</f>
        <v>10488572737.5</v>
      </c>
      <c r="E16" s="21">
        <f t="shared" si="0"/>
        <v>26742912.142828491</v>
      </c>
      <c r="F16" s="23">
        <v>2.5497189000000002E-3</v>
      </c>
      <c r="G16" s="21">
        <f t="shared" si="1"/>
        <v>1.5434718899999998E-2</v>
      </c>
      <c r="H16" s="21">
        <f t="shared" si="2"/>
        <v>186159177.8458505</v>
      </c>
      <c r="I16" s="26">
        <f t="shared" si="6"/>
        <v>12061066939.537884</v>
      </c>
      <c r="J16" s="26">
        <f t="shared" si="7"/>
        <v>161888171.86551598</v>
      </c>
      <c r="K16" s="26">
        <f t="shared" si="4"/>
        <v>-24271005.98033452</v>
      </c>
      <c r="L16" s="26">
        <f t="shared" si="5"/>
        <v>-13.037770289484293</v>
      </c>
      <c r="M16" s="23">
        <v>289025</v>
      </c>
    </row>
    <row r="17" spans="2:13" ht="15.6" x14ac:dyDescent="0.3">
      <c r="B17" s="20" t="s">
        <v>164</v>
      </c>
      <c r="C17" s="23">
        <v>12</v>
      </c>
      <c r="D17" s="21">
        <f>38773.06*Table1[[#This Row],[Column1]]</f>
        <v>10233358216.575998</v>
      </c>
      <c r="E17" s="21">
        <f t="shared" si="0"/>
        <v>27402201.810224991</v>
      </c>
      <c r="F17" s="23">
        <v>2.6777330794341679E-3</v>
      </c>
      <c r="G17" s="21">
        <f t="shared" si="1"/>
        <v>1.8112451979434167E-2</v>
      </c>
      <c r="H17" s="21">
        <f t="shared" si="2"/>
        <v>213561379.65607548</v>
      </c>
      <c r="I17" s="23">
        <f t="shared" si="6"/>
        <v>11790859674.800756</v>
      </c>
      <c r="J17" s="23">
        <f t="shared" si="7"/>
        <v>185351209.28608084</v>
      </c>
      <c r="K17" s="23">
        <f t="shared" si="4"/>
        <v>-28210170.36999464</v>
      </c>
      <c r="L17" s="23">
        <f t="shared" si="5"/>
        <v>-13.209396949684908</v>
      </c>
      <c r="M17" s="21">
        <v>263929.59999999998</v>
      </c>
    </row>
    <row r="18" spans="2:13" ht="15.6" x14ac:dyDescent="0.3">
      <c r="B18" s="20">
        <v>44838</v>
      </c>
      <c r="C18" s="23">
        <v>13</v>
      </c>
      <c r="D18" s="21">
        <v>11946905704.099821</v>
      </c>
      <c r="E18" s="21">
        <v>31669964.914615013</v>
      </c>
      <c r="F18" s="23">
        <v>2.650892682926829E-3</v>
      </c>
      <c r="G18" s="21">
        <f t="shared" si="1"/>
        <v>2.0763344662360995E-2</v>
      </c>
      <c r="H18" s="21">
        <f t="shared" si="2"/>
        <v>245231344.57069048</v>
      </c>
      <c r="I18" s="23">
        <f t="shared" si="6"/>
        <v>11810782345.449217</v>
      </c>
      <c r="J18" s="23">
        <f t="shared" si="7"/>
        <v>248057720.78295115</v>
      </c>
      <c r="K18" s="23">
        <f t="shared" si="4"/>
        <v>2826376.2122606635</v>
      </c>
      <c r="L18" s="23">
        <f t="shared" si="5"/>
        <v>1.1525346473178641</v>
      </c>
      <c r="M18" s="23"/>
    </row>
    <row r="19" spans="2:13" ht="15.6" x14ac:dyDescent="0.3">
      <c r="B19" s="20" t="s">
        <v>221</v>
      </c>
      <c r="C19" s="23">
        <v>14</v>
      </c>
      <c r="D19" s="21">
        <v>11312944630.872484</v>
      </c>
      <c r="E19" s="21">
        <v>34154265.672582045</v>
      </c>
      <c r="F19" s="23">
        <v>3.019042944785276E-3</v>
      </c>
      <c r="G19" s="21">
        <f t="shared" si="1"/>
        <v>2.3782387607146273E-2</v>
      </c>
      <c r="H19" s="21">
        <f t="shared" si="2"/>
        <v>279385610.24327254</v>
      </c>
      <c r="I19" s="23">
        <f t="shared" si="6"/>
        <v>11747584593.202118</v>
      </c>
      <c r="J19" s="23">
        <f t="shared" si="7"/>
        <v>269048834.18959373</v>
      </c>
      <c r="K19" s="23">
        <f t="shared" si="4"/>
        <v>-10336776.053678811</v>
      </c>
      <c r="L19" s="23">
        <f t="shared" si="5"/>
        <v>-3.6998240692060533</v>
      </c>
      <c r="M19" s="23"/>
    </row>
    <row r="20" spans="2:13" ht="15.6" x14ac:dyDescent="0.3">
      <c r="B20" s="20" t="s">
        <v>222</v>
      </c>
      <c r="C20" s="23">
        <v>15</v>
      </c>
      <c r="D20" s="23">
        <v>9995700903.4770012</v>
      </c>
      <c r="E20" s="23">
        <v>34942866.000470653</v>
      </c>
      <c r="F20" s="23">
        <v>3.4957894736842099E-3</v>
      </c>
      <c r="G20" s="21">
        <f t="shared" ref="G20:G24" si="8">G19+F20</f>
        <v>2.7278177080830482E-2</v>
      </c>
      <c r="H20" s="21">
        <f t="shared" ref="H20:H24" si="9">H19+E20</f>
        <v>314328476.24374318</v>
      </c>
      <c r="I20" s="23">
        <f>H20/G20</f>
        <v>11523074848.89212</v>
      </c>
      <c r="J20" s="23">
        <f>G20*D20</f>
        <v>272664499.29206288</v>
      </c>
      <c r="K20" s="23">
        <f>J20-H20</f>
        <v>-41663976.951680303</v>
      </c>
      <c r="L20" s="23">
        <f>100*(J20-H20)/H20</f>
        <v>-13.254916464956979</v>
      </c>
      <c r="M20" s="23"/>
    </row>
    <row r="21" spans="2:13" ht="15.6" x14ac:dyDescent="0.3">
      <c r="B21" s="20">
        <v>44599</v>
      </c>
      <c r="C21" s="23">
        <v>16</v>
      </c>
      <c r="D21" s="23">
        <v>6215439931.4061728</v>
      </c>
      <c r="E21" s="23">
        <v>34987747.280540571</v>
      </c>
      <c r="F21" s="23">
        <v>5.6291666666666651E-3</v>
      </c>
      <c r="G21" s="21">
        <f t="shared" si="8"/>
        <v>3.2907343747497146E-2</v>
      </c>
      <c r="H21" s="21">
        <f t="shared" si="9"/>
        <v>349316223.52428377</v>
      </c>
      <c r="I21" s="23">
        <f>H21/G21</f>
        <v>10615144941.647013</v>
      </c>
      <c r="J21" s="23">
        <f>G21*D21</f>
        <v>204533618.364703</v>
      </c>
      <c r="K21" s="23">
        <f>J21-H21</f>
        <v>-144782605.15958077</v>
      </c>
      <c r="L21" s="23">
        <f>100*(J21-H21)/H21</f>
        <v>-41.447432271783896</v>
      </c>
      <c r="M21" s="23"/>
    </row>
    <row r="22" spans="2:13" ht="15.6" x14ac:dyDescent="0.3">
      <c r="B22" s="24">
        <v>44775</v>
      </c>
      <c r="C22" s="23">
        <v>17</v>
      </c>
      <c r="D22" s="23">
        <v>7418675994.014267</v>
      </c>
      <c r="E22" s="23">
        <v>36522254.322713964</v>
      </c>
      <c r="F22" s="23">
        <v>4.9230151515151513E-3</v>
      </c>
      <c r="G22" s="21">
        <f t="shared" si="8"/>
        <v>3.7830358899012297E-2</v>
      </c>
      <c r="H22" s="21">
        <f t="shared" si="9"/>
        <v>385838477.84699774</v>
      </c>
      <c r="I22" s="23">
        <f>H22/G22</f>
        <v>10199175716.968191</v>
      </c>
      <c r="J22" s="23">
        <f>G22*D22</f>
        <v>280651175.40904653</v>
      </c>
      <c r="K22" s="23">
        <f>J22-H22</f>
        <v>-105187302.43795121</v>
      </c>
      <c r="L22" s="23">
        <f>100*(J22-H22)/H22</f>
        <v>-27.262004304211121</v>
      </c>
      <c r="M22" s="23"/>
    </row>
    <row r="23" spans="2:13" ht="15.6" x14ac:dyDescent="0.3">
      <c r="B23" s="24">
        <v>44570</v>
      </c>
      <c r="C23" s="23">
        <v>18</v>
      </c>
      <c r="D23" s="23">
        <v>6040329349.0079994</v>
      </c>
      <c r="E23" s="23">
        <v>35496025.926159389</v>
      </c>
      <c r="F23" s="23">
        <v>5.8765050505050504E-3</v>
      </c>
      <c r="G23" s="21">
        <f t="shared" si="8"/>
        <v>4.3706863949517345E-2</v>
      </c>
      <c r="H23" s="21">
        <f t="shared" si="9"/>
        <v>421334503.77315712</v>
      </c>
      <c r="I23" s="23">
        <f>H23/G23</f>
        <v>9640007671.5595589</v>
      </c>
      <c r="J23" s="23">
        <f>G23*D23</f>
        <v>264003853.06736931</v>
      </c>
      <c r="K23" s="23">
        <f>J23-H23</f>
        <v>-157330650.70578781</v>
      </c>
      <c r="L23" s="23">
        <f>100*(J23-H23)/H23</f>
        <v>-37.341031721079574</v>
      </c>
      <c r="M23" s="23"/>
    </row>
    <row r="24" spans="2:13" ht="15.6" x14ac:dyDescent="0.3">
      <c r="B24" s="24">
        <v>43992</v>
      </c>
      <c r="C24" s="23">
        <v>19</v>
      </c>
      <c r="D24" s="23">
        <f>20199.13*Table1[[#This Row],[Column1]]</f>
        <v>6663237981.3976202</v>
      </c>
      <c r="E24" s="23">
        <f>Table1[[#This Row],[Shares price]]*Table1[[#This Row],[Shares  bought]]</f>
        <v>37920223.170892298</v>
      </c>
      <c r="F24" s="23">
        <v>5.6909603524229069E-3</v>
      </c>
      <c r="G24" s="21">
        <f t="shared" si="8"/>
        <v>4.939782430194025E-2</v>
      </c>
      <c r="H24" s="21">
        <f t="shared" si="9"/>
        <v>459254726.94404942</v>
      </c>
      <c r="I24" s="23">
        <f>H24/G24</f>
        <v>9297063857.2438259</v>
      </c>
      <c r="J24" s="23">
        <f>G24*D24</f>
        <v>329149459.08709466</v>
      </c>
      <c r="K24" s="23">
        <f>J24-H24</f>
        <v>-130105267.85695475</v>
      </c>
      <c r="L24" s="23">
        <f>100*(J24-H24)/H24</f>
        <v>-28.329652418102459</v>
      </c>
      <c r="M24" s="23">
        <v>329877.47399999999</v>
      </c>
    </row>
    <row r="25" spans="2:13" x14ac:dyDescent="0.3">
      <c r="F25">
        <f>SUM(F6:F17)</f>
        <v>1.8112451979434167E-2</v>
      </c>
    </row>
    <row r="27" spans="2:13" x14ac:dyDescent="0.3">
      <c r="G27">
        <f>SUM(G20:G21)</f>
        <v>6.0185520828327628E-2</v>
      </c>
      <c r="H27">
        <f t="shared" ref="H27:I27" si="10">SUM(H20:H21)</f>
        <v>663644699.76802695</v>
      </c>
      <c r="I27">
        <f t="shared" si="10"/>
        <v>22138219790.539131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topLeftCell="A4" workbookViewId="0">
      <selection activeCell="G24" sqref="G24"/>
    </sheetView>
  </sheetViews>
  <sheetFormatPr defaultRowHeight="14.4" x14ac:dyDescent="0.3"/>
  <cols>
    <col min="2" max="2" width="14.6640625" bestFit="1" customWidth="1"/>
    <col min="3" max="3" width="11" bestFit="1" customWidth="1"/>
    <col min="4" max="5" width="13.109375" customWidth="1"/>
    <col min="6" max="6" width="13.6640625" customWidth="1"/>
    <col min="7" max="7" width="20" customWidth="1"/>
    <col min="8" max="8" width="18.5546875" customWidth="1"/>
    <col min="9" max="9" width="13.21875" customWidth="1"/>
    <col min="10" max="10" width="16.109375" customWidth="1"/>
    <col min="11" max="11" width="16.77734375" bestFit="1" customWidth="1"/>
    <col min="12" max="12" width="21.109375" customWidth="1"/>
    <col min="13" max="13" width="11.21875" customWidth="1"/>
  </cols>
  <sheetData>
    <row r="2" spans="2:13" ht="31.2" x14ac:dyDescent="0.6">
      <c r="G2" s="15"/>
    </row>
    <row r="4" spans="2:13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140</v>
      </c>
      <c r="H4" s="16" t="s">
        <v>122</v>
      </c>
      <c r="I4" s="16" t="s">
        <v>141</v>
      </c>
      <c r="J4" s="16" t="s">
        <v>142</v>
      </c>
      <c r="K4" s="16" t="s">
        <v>123</v>
      </c>
      <c r="L4" s="16" t="s">
        <v>143</v>
      </c>
      <c r="M4" s="16" t="s">
        <v>144</v>
      </c>
    </row>
    <row r="5" spans="2:13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150</v>
      </c>
      <c r="H5" s="18" t="s">
        <v>151</v>
      </c>
      <c r="I5" s="18" t="s">
        <v>152</v>
      </c>
      <c r="J5" s="18" t="s">
        <v>153</v>
      </c>
      <c r="K5" s="18" t="s">
        <v>154</v>
      </c>
      <c r="L5" s="18" t="s">
        <v>155</v>
      </c>
      <c r="M5" s="19" t="s">
        <v>165</v>
      </c>
    </row>
    <row r="6" spans="2:13" ht="16.2" thickBot="1" x14ac:dyDescent="0.35">
      <c r="B6" s="20">
        <v>44254.975983796299</v>
      </c>
      <c r="C6" s="21">
        <v>1</v>
      </c>
      <c r="D6" s="21">
        <f>1818*Table118[[#This Row],[dolar]]</f>
        <v>491925348</v>
      </c>
      <c r="E6" s="21">
        <f>D6*F6</f>
        <v>9223600.2750000004</v>
      </c>
      <c r="F6" s="21">
        <v>1.8749999999999999E-2</v>
      </c>
      <c r="G6" s="21">
        <v>1.8749999999999999E-2</v>
      </c>
      <c r="H6" s="21">
        <v>9223600.2750000004</v>
      </c>
      <c r="I6" s="21">
        <f>H6/G6</f>
        <v>491925348.00000006</v>
      </c>
      <c r="J6" s="21">
        <f>G6*D6</f>
        <v>9223600.2750000004</v>
      </c>
      <c r="K6" s="21">
        <f>J6-H6</f>
        <v>0</v>
      </c>
      <c r="L6" s="21">
        <f>100*(J6-H6)/H6</f>
        <v>0</v>
      </c>
      <c r="M6" s="22" t="s">
        <v>157</v>
      </c>
    </row>
    <row r="7" spans="2:13" ht="15.6" x14ac:dyDescent="0.3">
      <c r="B7" s="20">
        <v>44261.863576388889</v>
      </c>
      <c r="C7" s="21">
        <v>2</v>
      </c>
      <c r="D7" s="21">
        <f>2316.6*Table118[[#This Row],[dolar]]</f>
        <v>576441894.60000002</v>
      </c>
      <c r="E7" s="21">
        <f t="shared" ref="E7:E17" si="0">D7*F7</f>
        <v>18659424.128202002</v>
      </c>
      <c r="F7" s="21">
        <v>3.2370000000000003E-2</v>
      </c>
      <c r="G7" s="21">
        <f t="shared" ref="G7:G19" si="1">G6+F7</f>
        <v>5.1119999999999999E-2</v>
      </c>
      <c r="H7" s="21">
        <f t="shared" ref="H7:H19" si="2">H6+E7</f>
        <v>27883024.403202005</v>
      </c>
      <c r="I7" s="21">
        <f t="shared" ref="I7:I19" si="3">H7/G7</f>
        <v>545442574.39753532</v>
      </c>
      <c r="J7" s="21">
        <f t="shared" ref="J7:J19" si="4">G7*D7</f>
        <v>29467709.651952002</v>
      </c>
      <c r="K7" s="21">
        <f t="shared" ref="K7:K19" si="5">J7-H7</f>
        <v>1584685.2487499975</v>
      </c>
      <c r="L7" s="21">
        <f t="shared" ref="L7:L19" si="6">100*(J7-H7)/H7</f>
        <v>5.6833334355509049</v>
      </c>
      <c r="M7" s="23">
        <v>248831</v>
      </c>
    </row>
    <row r="8" spans="2:13" ht="15.6" x14ac:dyDescent="0.3">
      <c r="B8" s="24">
        <v>44342</v>
      </c>
      <c r="C8" s="23">
        <v>3</v>
      </c>
      <c r="D8" s="21">
        <f>2725.45*M8</f>
        <v>663391054.93168223</v>
      </c>
      <c r="E8" s="21">
        <f t="shared" si="0"/>
        <v>14189934.664988682</v>
      </c>
      <c r="F8" s="21">
        <v>2.1389999999999999E-2</v>
      </c>
      <c r="G8" s="21">
        <f t="shared" si="1"/>
        <v>7.2509999999999991E-2</v>
      </c>
      <c r="H8" s="21">
        <f t="shared" si="2"/>
        <v>42072959.068190686</v>
      </c>
      <c r="I8" s="23">
        <f t="shared" si="3"/>
        <v>580236644.16205621</v>
      </c>
      <c r="J8" s="23">
        <f t="shared" si="4"/>
        <v>48102485.393096276</v>
      </c>
      <c r="K8" s="23">
        <f t="shared" si="5"/>
        <v>6029526.3249055892</v>
      </c>
      <c r="L8" s="21">
        <f t="shared" si="6"/>
        <v>14.331120174202864</v>
      </c>
      <c r="M8" s="23">
        <f>(57000000+5700)/234.2</f>
        <v>243406.06319385141</v>
      </c>
    </row>
    <row r="9" spans="2:13" ht="15.6" x14ac:dyDescent="0.3">
      <c r="B9" s="25">
        <v>44373.427210648151</v>
      </c>
      <c r="C9" s="23">
        <v>4</v>
      </c>
      <c r="D9" s="21">
        <f>1766.41*Table118[[#This Row],[dolar]]</f>
        <v>439206826.4014467</v>
      </c>
      <c r="E9" s="21">
        <f t="shared" si="0"/>
        <v>13738389.529837254</v>
      </c>
      <c r="F9" s="21">
        <v>3.1280000000000002E-2</v>
      </c>
      <c r="G9" s="21">
        <f t="shared" si="1"/>
        <v>0.10378999999999999</v>
      </c>
      <c r="H9" s="21">
        <f t="shared" si="2"/>
        <v>55811348.598027945</v>
      </c>
      <c r="I9" s="23">
        <f t="shared" si="3"/>
        <v>537733390.48104775</v>
      </c>
      <c r="J9" s="23">
        <f t="shared" si="4"/>
        <v>45585276.512206152</v>
      </c>
      <c r="K9" s="23">
        <f t="shared" si="5"/>
        <v>-10226072.085821792</v>
      </c>
      <c r="L9" s="23">
        <f t="shared" si="6"/>
        <v>-18.32256761877122</v>
      </c>
      <c r="M9" s="23">
        <v>248643.76130198917</v>
      </c>
    </row>
    <row r="10" spans="2:13" ht="15.6" x14ac:dyDescent="0.3">
      <c r="B10" s="20">
        <v>44404.632384259261</v>
      </c>
      <c r="C10" s="23">
        <v>5</v>
      </c>
      <c r="D10" s="21">
        <f>2303.75*Table118[[#This Row],[dolar]]</f>
        <v>581049521.25</v>
      </c>
      <c r="E10" s="21">
        <f t="shared" si="0"/>
        <v>12986456.7999375</v>
      </c>
      <c r="F10" s="21">
        <v>2.2349999999999998E-2</v>
      </c>
      <c r="G10" s="21">
        <f t="shared" si="1"/>
        <v>0.12614</v>
      </c>
      <c r="H10" s="21">
        <f t="shared" si="2"/>
        <v>68797805.397965446</v>
      </c>
      <c r="I10" s="23">
        <f t="shared" si="3"/>
        <v>545408319.31160176</v>
      </c>
      <c r="J10" s="23">
        <f t="shared" si="4"/>
        <v>73293586.610475004</v>
      </c>
      <c r="K10" s="23">
        <f t="shared" si="5"/>
        <v>4495781.2125095576</v>
      </c>
      <c r="L10" s="23">
        <f t="shared" si="6"/>
        <v>6.5347741639481294</v>
      </c>
      <c r="M10" s="21">
        <v>252219</v>
      </c>
    </row>
    <row r="11" spans="2:13" ht="15.6" x14ac:dyDescent="0.3">
      <c r="B11" t="s">
        <v>158</v>
      </c>
      <c r="C11" s="23">
        <v>6</v>
      </c>
      <c r="D11" s="21">
        <f>3242.64*Table118[[#This Row],[dolar]]</f>
        <v>922206816</v>
      </c>
      <c r="E11" s="21">
        <f t="shared" si="0"/>
        <v>19089681.091200002</v>
      </c>
      <c r="F11" s="21">
        <v>2.07E-2</v>
      </c>
      <c r="G11" s="21">
        <f t="shared" si="1"/>
        <v>0.14684</v>
      </c>
      <c r="H11" s="21">
        <f t="shared" si="2"/>
        <v>87887486.489165455</v>
      </c>
      <c r="I11" s="23">
        <f t="shared" si="3"/>
        <v>598525514.09129298</v>
      </c>
      <c r="J11" s="23">
        <f t="shared" si="4"/>
        <v>135416848.86144</v>
      </c>
      <c r="K11" s="23">
        <f t="shared" si="5"/>
        <v>47529362.372274548</v>
      </c>
      <c r="L11" s="23">
        <f t="shared" si="6"/>
        <v>54.079783449187445</v>
      </c>
      <c r="M11" s="21">
        <v>284400</v>
      </c>
    </row>
    <row r="12" spans="2:13" ht="15.6" x14ac:dyDescent="0.3">
      <c r="B12" s="20" t="s">
        <v>159</v>
      </c>
      <c r="C12" s="23">
        <v>7</v>
      </c>
      <c r="D12" s="21">
        <f>2918.38*Table118[[#This Row],[dolar]]</f>
        <v>843484779.5</v>
      </c>
      <c r="E12" s="21">
        <f t="shared" si="0"/>
        <v>18050574.281300001</v>
      </c>
      <c r="F12" s="21">
        <v>2.1399999999999999E-2</v>
      </c>
      <c r="G12" s="21">
        <f t="shared" si="1"/>
        <v>0.16824</v>
      </c>
      <c r="H12" s="21">
        <f t="shared" si="2"/>
        <v>105938060.77046546</v>
      </c>
      <c r="I12" s="23">
        <f t="shared" si="3"/>
        <v>629684146.2818917</v>
      </c>
      <c r="J12" s="23">
        <f t="shared" si="4"/>
        <v>141907879.30307999</v>
      </c>
      <c r="K12" s="23">
        <f t="shared" si="5"/>
        <v>35969818.532614529</v>
      </c>
      <c r="L12" s="23">
        <f t="shared" si="6"/>
        <v>33.953631273796709</v>
      </c>
      <c r="M12" s="29">
        <v>289025</v>
      </c>
    </row>
    <row r="13" spans="2:13" ht="15.6" x14ac:dyDescent="0.3">
      <c r="B13" s="20" t="s">
        <v>160</v>
      </c>
      <c r="C13" s="23">
        <v>8</v>
      </c>
      <c r="D13" s="21">
        <f>Table118[[#This Row],[dolar]]*4036.81</f>
        <v>1144511579.2262852</v>
      </c>
      <c r="E13" s="21">
        <f t="shared" si="0"/>
        <v>17579697.856915742</v>
      </c>
      <c r="F13" s="21">
        <v>1.536E-2</v>
      </c>
      <c r="G13" s="21">
        <f t="shared" si="1"/>
        <v>0.18360000000000001</v>
      </c>
      <c r="H13" s="21">
        <f t="shared" si="2"/>
        <v>123517758.62738121</v>
      </c>
      <c r="I13" s="23">
        <f t="shared" si="3"/>
        <v>672754676.61972332</v>
      </c>
      <c r="J13" s="23">
        <f t="shared" si="4"/>
        <v>210132325.94594598</v>
      </c>
      <c r="K13" s="23">
        <f t="shared" si="5"/>
        <v>86614567.318564773</v>
      </c>
      <c r="L13" s="23">
        <f t="shared" si="6"/>
        <v>70.123169559655693</v>
      </c>
      <c r="M13" s="21">
        <v>283518.81293057767</v>
      </c>
    </row>
    <row r="14" spans="2:13" ht="15.6" x14ac:dyDescent="0.3">
      <c r="B14" s="20" t="s">
        <v>161</v>
      </c>
      <c r="C14" s="23">
        <v>9</v>
      </c>
      <c r="D14" s="21">
        <f>4064.93 *Table118[[#This Row],[dolar]]</f>
        <v>1228210459.8143163</v>
      </c>
      <c r="E14" s="21">
        <f t="shared" si="0"/>
        <v>17809051.667307585</v>
      </c>
      <c r="F14" s="21">
        <v>1.4500000000000001E-2</v>
      </c>
      <c r="G14" s="21">
        <f t="shared" si="1"/>
        <v>0.19810000000000003</v>
      </c>
      <c r="H14" s="21">
        <f t="shared" si="2"/>
        <v>141326810.29468879</v>
      </c>
      <c r="I14" s="23">
        <f t="shared" si="3"/>
        <v>713411460.34673786</v>
      </c>
      <c r="J14" s="23">
        <f t="shared" si="4"/>
        <v>243308492.08921608</v>
      </c>
      <c r="K14" s="23">
        <f t="shared" si="5"/>
        <v>101981681.79452729</v>
      </c>
      <c r="L14" s="23">
        <f t="shared" si="6"/>
        <v>72.160180776654698</v>
      </c>
      <c r="M14" s="23">
        <v>302147.99758281599</v>
      </c>
    </row>
    <row r="15" spans="2:13" ht="15.6" x14ac:dyDescent="0.3">
      <c r="B15" s="20" t="s">
        <v>162</v>
      </c>
      <c r="C15" s="23">
        <v>10</v>
      </c>
      <c r="D15" s="21">
        <f>4068.86 *Table118[[#This Row],[dolar]]</f>
        <v>1235814212.034384</v>
      </c>
      <c r="E15" s="21">
        <f t="shared" si="0"/>
        <v>17350831.536962751</v>
      </c>
      <c r="F15" s="21">
        <v>1.404E-2</v>
      </c>
      <c r="G15" s="21">
        <f t="shared" si="1"/>
        <v>0.21214000000000002</v>
      </c>
      <c r="H15" s="21">
        <f t="shared" si="2"/>
        <v>158677641.83165154</v>
      </c>
      <c r="I15" s="23">
        <f t="shared" si="3"/>
        <v>747985489.92010713</v>
      </c>
      <c r="J15" s="23">
        <f t="shared" si="4"/>
        <v>262165626.94097427</v>
      </c>
      <c r="K15" s="23">
        <f t="shared" si="5"/>
        <v>103487985.10932273</v>
      </c>
      <c r="L15" s="23">
        <f t="shared" si="6"/>
        <v>65.219008749271637</v>
      </c>
      <c r="M15" s="23">
        <v>303724.92836676218</v>
      </c>
    </row>
    <row r="16" spans="2:13" ht="15.6" x14ac:dyDescent="0.3">
      <c r="B16" s="20" t="s">
        <v>163</v>
      </c>
      <c r="C16" s="26">
        <v>11</v>
      </c>
      <c r="D16" s="21">
        <f>2420.45*Table118[[#This Row],[dolar]]</f>
        <v>699570561.25</v>
      </c>
      <c r="E16" s="21">
        <f t="shared" si="0"/>
        <v>13372487.857621463</v>
      </c>
      <c r="F16" s="21">
        <v>1.9115281000000001E-2</v>
      </c>
      <c r="G16" s="21">
        <f>G15+F16</f>
        <v>0.23125528100000003</v>
      </c>
      <c r="H16" s="21">
        <f t="shared" si="2"/>
        <v>172050129.689273</v>
      </c>
      <c r="I16" s="26">
        <f t="shared" si="3"/>
        <v>743983570.64664388</v>
      </c>
      <c r="J16" s="26">
        <f t="shared" si="4"/>
        <v>161779386.72119647</v>
      </c>
      <c r="K16" s="26">
        <f t="shared" si="5"/>
        <v>-10270742.968076527</v>
      </c>
      <c r="L16" s="26">
        <f t="shared" si="6"/>
        <v>-5.9696223342730139</v>
      </c>
      <c r="M16" s="23">
        <v>289025</v>
      </c>
    </row>
    <row r="17" spans="2:13" ht="15.6" x14ac:dyDescent="0.3">
      <c r="B17" s="20" t="s">
        <v>164</v>
      </c>
      <c r="C17" s="23">
        <v>12</v>
      </c>
      <c r="D17" s="21">
        <f>2760.4*Table118[[#This Row],[dolar]]</f>
        <v>728551267.83999991</v>
      </c>
      <c r="E17" s="21">
        <f t="shared" si="0"/>
        <v>13675405.626424</v>
      </c>
      <c r="F17" s="21">
        <v>1.8770683999999999E-2</v>
      </c>
      <c r="G17" s="21">
        <f>G16+F17</f>
        <v>0.25002596500000002</v>
      </c>
      <c r="H17" s="21">
        <f t="shared" si="2"/>
        <v>185725535.31569701</v>
      </c>
      <c r="I17" s="23">
        <f t="shared" si="3"/>
        <v>742824991.45917511</v>
      </c>
      <c r="J17" s="23">
        <f t="shared" si="4"/>
        <v>182156733.79366946</v>
      </c>
      <c r="K17" s="23">
        <f t="shared" si="5"/>
        <v>-3568801.5220275521</v>
      </c>
      <c r="L17" s="23">
        <f t="shared" si="6"/>
        <v>-1.9215459607970917</v>
      </c>
      <c r="M17" s="21">
        <v>263929.59999999998</v>
      </c>
    </row>
    <row r="18" spans="2:13" ht="15.6" x14ac:dyDescent="0.3">
      <c r="B18" s="20">
        <v>44838</v>
      </c>
      <c r="C18" s="23">
        <v>13</v>
      </c>
      <c r="D18" s="21">
        <v>911224717.76589429</v>
      </c>
      <c r="E18" s="21">
        <v>15521249.585019536</v>
      </c>
      <c r="F18" s="21">
        <v>1.7033393939393938E-2</v>
      </c>
      <c r="G18" s="21">
        <f t="shared" si="1"/>
        <v>0.26705935893939398</v>
      </c>
      <c r="H18" s="21">
        <f t="shared" si="2"/>
        <v>201246784.90071654</v>
      </c>
      <c r="I18" s="23">
        <f t="shared" si="3"/>
        <v>753565745.45806193</v>
      </c>
      <c r="J18" s="23">
        <f t="shared" si="4"/>
        <v>243351088.97628993</v>
      </c>
      <c r="K18" s="23">
        <f t="shared" si="5"/>
        <v>42104304.075573385</v>
      </c>
      <c r="L18" s="23">
        <f t="shared" si="6"/>
        <v>20.921727567645465</v>
      </c>
      <c r="M18" s="23"/>
    </row>
    <row r="19" spans="2:13" ht="15.6" x14ac:dyDescent="0.3">
      <c r="B19" s="20" t="s">
        <v>221</v>
      </c>
      <c r="C19" s="23">
        <v>14</v>
      </c>
      <c r="D19" s="21">
        <v>836446711.40939593</v>
      </c>
      <c r="E19" s="21">
        <v>16767164.461316753</v>
      </c>
      <c r="F19" s="21">
        <v>2.0045705521472394E-2</v>
      </c>
      <c r="G19" s="21">
        <f t="shared" si="1"/>
        <v>0.28710506446086637</v>
      </c>
      <c r="H19" s="21">
        <f t="shared" si="2"/>
        <v>218013949.36203331</v>
      </c>
      <c r="I19" s="23">
        <f t="shared" si="3"/>
        <v>759352503.13827026</v>
      </c>
      <c r="J19" s="23">
        <f t="shared" si="4"/>
        <v>240148086.99727431</v>
      </c>
      <c r="K19" s="23">
        <f t="shared" si="5"/>
        <v>22134137.635241002</v>
      </c>
      <c r="L19" s="23">
        <f t="shared" si="6"/>
        <v>10.152624499492516</v>
      </c>
      <c r="M19" s="23"/>
    </row>
    <row r="20" spans="2:13" ht="15.6" x14ac:dyDescent="0.3">
      <c r="B20" s="20" t="s">
        <v>222</v>
      </c>
      <c r="C20" s="55">
        <v>15</v>
      </c>
      <c r="D20" s="55">
        <v>616778371.36500001</v>
      </c>
      <c r="E20" s="55">
        <v>17357272.114943009</v>
      </c>
      <c r="F20" s="55">
        <v>2.8141830065359478E-2</v>
      </c>
      <c r="G20" s="21">
        <f t="shared" ref="G20:G24" si="7">G19+F20</f>
        <v>0.31524689452622584</v>
      </c>
      <c r="H20" s="21">
        <f t="shared" ref="H20:H24" si="8">H19+E20</f>
        <v>235371221.47697631</v>
      </c>
      <c r="I20" s="55">
        <f>H20/G20</f>
        <v>746625028.07746279</v>
      </c>
      <c r="J20" s="55">
        <f>G20*D20</f>
        <v>194437466.18375951</v>
      </c>
      <c r="K20" s="55">
        <f>J20-H20</f>
        <v>-40933755.293216795</v>
      </c>
      <c r="L20" s="55">
        <f>100*(J20-H20)/H20</f>
        <v>-17.391147072421884</v>
      </c>
      <c r="M20" s="55"/>
    </row>
    <row r="21" spans="2:13" ht="15.6" x14ac:dyDescent="0.3">
      <c r="B21" s="20">
        <v>44599</v>
      </c>
      <c r="C21" s="55">
        <v>16</v>
      </c>
      <c r="D21" s="55">
        <v>343173885.35031849</v>
      </c>
      <c r="E21" s="55">
        <v>17527288.440669972</v>
      </c>
      <c r="F21" s="55">
        <v>5.1074074074074077E-2</v>
      </c>
      <c r="G21" s="21">
        <f t="shared" si="7"/>
        <v>0.36632096860029995</v>
      </c>
      <c r="H21" s="21">
        <f t="shared" si="8"/>
        <v>252898509.91764629</v>
      </c>
      <c r="I21" s="55">
        <f>H21/G21</f>
        <v>690374102.48166513</v>
      </c>
      <c r="J21" s="55">
        <f>G21*D21</f>
        <v>125711790.07985695</v>
      </c>
      <c r="K21" s="55">
        <f>J21-H21</f>
        <v>-127186719.83778934</v>
      </c>
      <c r="L21" s="55">
        <f>100*(J21-H21)/H21</f>
        <v>-50.291605070827167</v>
      </c>
      <c r="M21" s="55"/>
    </row>
    <row r="22" spans="2:13" ht="15.6" x14ac:dyDescent="0.3">
      <c r="B22" s="24">
        <v>44775</v>
      </c>
      <c r="C22" s="55">
        <v>17</v>
      </c>
      <c r="D22" s="55">
        <v>522652890.00843334</v>
      </c>
      <c r="E22" s="55">
        <v>18361587.924314458</v>
      </c>
      <c r="F22" s="55">
        <v>3.513151515151515E-2</v>
      </c>
      <c r="G22" s="21">
        <f t="shared" si="7"/>
        <v>0.40145248375181508</v>
      </c>
      <c r="H22" s="21">
        <f t="shared" si="8"/>
        <v>271260097.84196073</v>
      </c>
      <c r="I22" s="55">
        <f>H22/G22</f>
        <v>675696648.59679496</v>
      </c>
      <c r="J22" s="55">
        <f>G22*D22</f>
        <v>209820300.83394977</v>
      </c>
      <c r="K22" s="55">
        <f>J22-H22</f>
        <v>-61439797.008010954</v>
      </c>
      <c r="L22" s="55">
        <f>100*(J22-H22)/H22</f>
        <v>-22.649773223854872</v>
      </c>
      <c r="M22" s="55"/>
    </row>
    <row r="23" spans="2:13" ht="15.6" x14ac:dyDescent="0.3">
      <c r="B23" s="24">
        <v>44570</v>
      </c>
      <c r="C23" s="55">
        <v>18</v>
      </c>
      <c r="D23" s="55">
        <v>468434362.07999992</v>
      </c>
      <c r="E23" s="55">
        <v>17748126.280371051</v>
      </c>
      <c r="F23" s="55">
        <v>3.7888181818181821E-2</v>
      </c>
      <c r="G23" s="21">
        <f t="shared" si="7"/>
        <v>0.4393406655699969</v>
      </c>
      <c r="H23" s="21">
        <f t="shared" si="8"/>
        <v>289008224.1223318</v>
      </c>
      <c r="I23" s="55">
        <f>H23/G23</f>
        <v>657822611.86174273</v>
      </c>
      <c r="J23" s="55">
        <f>G23*D23</f>
        <v>205802264.41208407</v>
      </c>
      <c r="K23" s="55">
        <f>J23-H23</f>
        <v>-83205959.710247725</v>
      </c>
      <c r="L23" s="55">
        <f>100*(J23-H23)/H23</f>
        <v>-28.790170232328126</v>
      </c>
      <c r="M23" s="55"/>
    </row>
    <row r="24" spans="2:13" ht="15.6" x14ac:dyDescent="0.3">
      <c r="B24" s="24">
        <v>43992</v>
      </c>
      <c r="C24" s="55">
        <v>19</v>
      </c>
      <c r="D24" s="55">
        <f>1365.82*Table118[[#This Row],[dolar]]</f>
        <v>450553251.53867996</v>
      </c>
      <c r="E24" s="55">
        <f>Table118[[#This Row],[Shares price]]*Table118[[#This Row],[Shares  bought]]</f>
        <v>18976669.858905401</v>
      </c>
      <c r="F24" s="55">
        <v>4.2118594847775179E-2</v>
      </c>
      <c r="G24" s="21">
        <f t="shared" si="7"/>
        <v>0.48145926041777209</v>
      </c>
      <c r="H24" s="21">
        <f t="shared" si="8"/>
        <v>307984893.98123717</v>
      </c>
      <c r="I24" s="55">
        <f>H24/G24</f>
        <v>639690456.28905833</v>
      </c>
      <c r="J24" s="55">
        <f>G24*D24</f>
        <v>216923035.26463529</v>
      </c>
      <c r="K24" s="55">
        <f>J24-H24</f>
        <v>-91061858.716601878</v>
      </c>
      <c r="L24" s="55">
        <f>100*(J24-H24)/H24</f>
        <v>-29.566988672551417</v>
      </c>
      <c r="M24" s="55">
        <v>329877.47399999999</v>
      </c>
    </row>
    <row r="26" spans="2:13" ht="15.6" x14ac:dyDescent="0.3">
      <c r="F26" s="27"/>
      <c r="G26">
        <f>SUM(G20:G21)</f>
        <v>0.68156786312652584</v>
      </c>
      <c r="H26">
        <f t="shared" ref="H26:I26" si="9">SUM(H20:H21)</f>
        <v>488269731.39462256</v>
      </c>
      <c r="I26">
        <f t="shared" si="9"/>
        <v>1436999130.5591278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topLeftCell="A4" workbookViewId="0">
      <selection activeCell="G24" sqref="G24"/>
    </sheetView>
  </sheetViews>
  <sheetFormatPr defaultRowHeight="14.4" x14ac:dyDescent="0.3"/>
  <cols>
    <col min="2" max="2" width="14.6640625" bestFit="1" customWidth="1"/>
    <col min="4" max="5" width="13.109375" customWidth="1"/>
    <col min="6" max="6" width="14.5546875" customWidth="1"/>
    <col min="7" max="7" width="18.77734375" customWidth="1"/>
    <col min="8" max="8" width="19.88671875" customWidth="1"/>
    <col min="9" max="9" width="11.33203125" customWidth="1"/>
    <col min="10" max="10" width="19.21875" customWidth="1"/>
    <col min="11" max="11" width="14.77734375" customWidth="1"/>
    <col min="12" max="12" width="21.5546875" customWidth="1"/>
  </cols>
  <sheetData>
    <row r="2" spans="2:12" ht="31.2" x14ac:dyDescent="0.6">
      <c r="G2" s="15"/>
    </row>
    <row r="4" spans="2:12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140</v>
      </c>
      <c r="H4" s="16" t="s">
        <v>122</v>
      </c>
      <c r="I4" s="16" t="s">
        <v>141</v>
      </c>
      <c r="J4" s="16" t="s">
        <v>142</v>
      </c>
      <c r="K4" s="16" t="s">
        <v>123</v>
      </c>
      <c r="L4" s="16" t="s">
        <v>143</v>
      </c>
    </row>
    <row r="5" spans="2:12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150</v>
      </c>
      <c r="H5" s="18" t="s">
        <v>151</v>
      </c>
      <c r="I5" s="18" t="s">
        <v>152</v>
      </c>
      <c r="J5" s="18" t="s">
        <v>153</v>
      </c>
      <c r="K5" s="18" t="s">
        <v>154</v>
      </c>
      <c r="L5" s="18" t="s">
        <v>155</v>
      </c>
    </row>
    <row r="6" spans="2:12" ht="15.6" x14ac:dyDescent="0.3">
      <c r="B6" s="20">
        <v>44254.975983796299</v>
      </c>
      <c r="C6" s="21">
        <v>1</v>
      </c>
      <c r="D6" s="21" t="s">
        <v>157</v>
      </c>
      <c r="E6" s="21">
        <f t="shared" ref="E6:E17" si="0">D6*F6</f>
        <v>9330184.1004000008</v>
      </c>
      <c r="F6" s="23">
        <v>34.481400000000001</v>
      </c>
      <c r="G6" s="21">
        <v>34.481400000000001</v>
      </c>
      <c r="H6" s="21">
        <v>9330184.1004000008</v>
      </c>
      <c r="I6" s="21">
        <f>H6/G6</f>
        <v>270586</v>
      </c>
      <c r="J6" s="21">
        <f t="shared" ref="J6:J12" si="1">G6*D6</f>
        <v>9330184.1004000008</v>
      </c>
      <c r="K6" s="21">
        <f>J6-H6</f>
        <v>0</v>
      </c>
      <c r="L6" s="21">
        <f>100*(J6-H6)/H6</f>
        <v>0</v>
      </c>
    </row>
    <row r="7" spans="2:12" ht="15.6" x14ac:dyDescent="0.3">
      <c r="B7" s="20">
        <v>44261.863576388889</v>
      </c>
      <c r="C7" s="21">
        <v>2</v>
      </c>
      <c r="D7" s="23">
        <v>248831</v>
      </c>
      <c r="E7" s="21">
        <f t="shared" si="0"/>
        <v>18522979.640000001</v>
      </c>
      <c r="F7" s="23">
        <v>74.44</v>
      </c>
      <c r="G7" s="21">
        <f>G6+F7</f>
        <v>108.92140000000001</v>
      </c>
      <c r="H7" s="21">
        <f t="shared" ref="H7:H19" si="2">H6+E7</f>
        <v>27853163.740400001</v>
      </c>
      <c r="I7" s="21">
        <f t="shared" ref="I7:I19" si="3">H7/G7</f>
        <v>255718.01078943163</v>
      </c>
      <c r="J7" s="21">
        <f t="shared" si="1"/>
        <v>27103020.883400001</v>
      </c>
      <c r="K7" s="21">
        <f t="shared" ref="K7:K19" si="4">J7-H7</f>
        <v>-750142.85700000077</v>
      </c>
      <c r="L7" s="21">
        <f t="shared" ref="L7:L19" si="5">100*(J7-H7)/H7</f>
        <v>-2.6932052099774428</v>
      </c>
    </row>
    <row r="8" spans="2:12" ht="15.6" x14ac:dyDescent="0.3">
      <c r="B8" s="24">
        <v>44342</v>
      </c>
      <c r="C8" s="23">
        <v>3</v>
      </c>
      <c r="D8" s="23">
        <f>(57000000+5700)/234.2</f>
        <v>243406.06319385141</v>
      </c>
      <c r="E8" s="21">
        <f t="shared" si="0"/>
        <v>14239254.696840307</v>
      </c>
      <c r="F8" s="23">
        <v>58.5</v>
      </c>
      <c r="G8" s="21">
        <f t="shared" ref="G8:G19" si="6">G7+F8</f>
        <v>167.42140000000001</v>
      </c>
      <c r="H8" s="21">
        <f t="shared" si="2"/>
        <v>42092418.43724031</v>
      </c>
      <c r="I8" s="23">
        <f t="shared" si="3"/>
        <v>251415.99841621387</v>
      </c>
      <c r="J8" s="23">
        <f t="shared" si="1"/>
        <v>40751383.868403077</v>
      </c>
      <c r="K8" s="23">
        <f t="shared" si="4"/>
        <v>-1341034.5688372329</v>
      </c>
      <c r="L8" s="23">
        <f t="shared" si="5"/>
        <v>-3.1859290072313429</v>
      </c>
    </row>
    <row r="9" spans="2:12" ht="15.6" x14ac:dyDescent="0.3">
      <c r="B9" s="25">
        <v>44373.427210648151</v>
      </c>
      <c r="C9" s="23">
        <v>4</v>
      </c>
      <c r="D9" s="21">
        <f>55000000/221.2</f>
        <v>248643.76130198917</v>
      </c>
      <c r="E9" s="21">
        <f t="shared" si="0"/>
        <v>13750000</v>
      </c>
      <c r="F9" s="23">
        <v>55.3</v>
      </c>
      <c r="G9" s="21">
        <f t="shared" si="6"/>
        <v>222.72140000000002</v>
      </c>
      <c r="H9" s="21">
        <f t="shared" si="2"/>
        <v>55842418.43724031</v>
      </c>
      <c r="I9" s="23">
        <f t="shared" si="3"/>
        <v>250727.67339483456</v>
      </c>
      <c r="J9" s="23">
        <f t="shared" si="1"/>
        <v>55378286.618444853</v>
      </c>
      <c r="K9" s="23">
        <f t="shared" si="4"/>
        <v>-464131.81879545748</v>
      </c>
      <c r="L9" s="23">
        <f t="shared" si="5"/>
        <v>-0.83114562689845162</v>
      </c>
    </row>
    <row r="10" spans="2:12" ht="15.6" x14ac:dyDescent="0.3">
      <c r="B10" s="20">
        <v>44404.632384259261</v>
      </c>
      <c r="C10" s="23">
        <v>5</v>
      </c>
      <c r="D10" s="21">
        <v>252219</v>
      </c>
      <c r="E10" s="21">
        <f t="shared" si="0"/>
        <v>12989278.5</v>
      </c>
      <c r="F10" s="23">
        <v>51.5</v>
      </c>
      <c r="G10" s="21">
        <f t="shared" si="6"/>
        <v>274.22140000000002</v>
      </c>
      <c r="H10" s="21">
        <f t="shared" si="2"/>
        <v>68831696.937240303</v>
      </c>
      <c r="I10" s="23">
        <f t="shared" si="3"/>
        <v>251007.75117201026</v>
      </c>
      <c r="J10" s="23">
        <f t="shared" si="1"/>
        <v>69163847.286600009</v>
      </c>
      <c r="K10" s="23">
        <f t="shared" si="4"/>
        <v>332150.34935970604</v>
      </c>
      <c r="L10" s="23">
        <f t="shared" si="5"/>
        <v>0.48255435233938182</v>
      </c>
    </row>
    <row r="11" spans="2:12" ht="15.6" x14ac:dyDescent="0.3">
      <c r="B11" t="s">
        <v>158</v>
      </c>
      <c r="C11" s="23">
        <v>6</v>
      </c>
      <c r="D11" s="21">
        <v>284400</v>
      </c>
      <c r="E11" s="21">
        <f t="shared" si="0"/>
        <v>19353420</v>
      </c>
      <c r="F11" s="23">
        <v>68.05</v>
      </c>
      <c r="G11" s="21">
        <f t="shared" si="6"/>
        <v>342.27140000000003</v>
      </c>
      <c r="H11" s="21">
        <f t="shared" si="2"/>
        <v>88185116.937240303</v>
      </c>
      <c r="I11" s="23">
        <f t="shared" si="3"/>
        <v>257646.75908428311</v>
      </c>
      <c r="J11" s="23">
        <f t="shared" si="1"/>
        <v>97341986.160000011</v>
      </c>
      <c r="K11" s="23">
        <f t="shared" si="4"/>
        <v>9156869.2227597088</v>
      </c>
      <c r="L11" s="23">
        <f t="shared" si="5"/>
        <v>10.383690061075137</v>
      </c>
    </row>
    <row r="12" spans="2:12" ht="15.6" x14ac:dyDescent="0.3">
      <c r="B12" s="20" t="s">
        <v>159</v>
      </c>
      <c r="C12" s="23">
        <v>7</v>
      </c>
      <c r="D12" s="29">
        <v>289025</v>
      </c>
      <c r="E12" s="21">
        <f t="shared" si="0"/>
        <v>18064062.5</v>
      </c>
      <c r="F12" s="23">
        <v>62.5</v>
      </c>
      <c r="G12" s="21">
        <f t="shared" si="6"/>
        <v>404.77140000000003</v>
      </c>
      <c r="H12" s="21">
        <f t="shared" si="2"/>
        <v>106249179.4372403</v>
      </c>
      <c r="I12" s="23">
        <f t="shared" si="3"/>
        <v>262491.81497813406</v>
      </c>
      <c r="J12" s="23">
        <f t="shared" si="1"/>
        <v>116989053.88500001</v>
      </c>
      <c r="K12" s="23">
        <f t="shared" si="4"/>
        <v>10739874.447759703</v>
      </c>
      <c r="L12" s="23">
        <f t="shared" si="5"/>
        <v>10.108195192324827</v>
      </c>
    </row>
    <row r="13" spans="2:12" ht="15.6" x14ac:dyDescent="0.3">
      <c r="B13" s="20" t="s">
        <v>160</v>
      </c>
      <c r="C13" s="23">
        <v>8</v>
      </c>
      <c r="D13" s="21">
        <v>283518.81293057767</v>
      </c>
      <c r="E13" s="21">
        <f t="shared" si="0"/>
        <v>18286963.434022259</v>
      </c>
      <c r="F13" s="23">
        <v>64.5</v>
      </c>
      <c r="G13" s="21">
        <f t="shared" si="6"/>
        <v>469.27140000000003</v>
      </c>
      <c r="H13" s="21">
        <f t="shared" si="2"/>
        <v>124536142.87126257</v>
      </c>
      <c r="I13" s="23">
        <f t="shared" si="3"/>
        <v>265381.9151801336</v>
      </c>
      <c r="J13" s="23">
        <f>G13*D13</f>
        <v>133047270.27027029</v>
      </c>
      <c r="K13" s="23">
        <f t="shared" si="4"/>
        <v>8511127.3990077227</v>
      </c>
      <c r="L13" s="23">
        <f t="shared" si="5"/>
        <v>6.8342628917020321</v>
      </c>
    </row>
    <row r="14" spans="2:12" ht="15.6" x14ac:dyDescent="0.3">
      <c r="B14" s="20" t="s">
        <v>161</v>
      </c>
      <c r="C14" s="23">
        <v>9</v>
      </c>
      <c r="D14" s="21">
        <f>55000000/182.03</f>
        <v>302147.99758281599</v>
      </c>
      <c r="E14" s="21">
        <f t="shared" si="0"/>
        <v>18147008.734823931</v>
      </c>
      <c r="F14" s="23">
        <v>60.06</v>
      </c>
      <c r="G14" s="21">
        <f t="shared" si="6"/>
        <v>529.33140000000003</v>
      </c>
      <c r="H14" s="21">
        <f t="shared" si="2"/>
        <v>142683151.60608649</v>
      </c>
      <c r="I14" s="23">
        <f t="shared" si="3"/>
        <v>269553.53792744299</v>
      </c>
      <c r="J14" s="23">
        <f t="shared" ref="J14:J19" si="7">G14*D14</f>
        <v>159936422.56770861</v>
      </c>
      <c r="K14" s="23">
        <f t="shared" si="4"/>
        <v>17253270.961622119</v>
      </c>
      <c r="L14" s="23">
        <f t="shared" si="5"/>
        <v>12.092017009306192</v>
      </c>
    </row>
    <row r="15" spans="2:12" ht="15.6" x14ac:dyDescent="0.3">
      <c r="B15" s="20" t="s">
        <v>162</v>
      </c>
      <c r="C15" s="23">
        <v>10</v>
      </c>
      <c r="D15" s="21">
        <f>53000000/174.5</f>
        <v>303724.92836676218</v>
      </c>
      <c r="E15" s="21">
        <f t="shared" si="0"/>
        <v>17790383.954154726</v>
      </c>
      <c r="F15" s="23">
        <f>(174.5-57.126-58.8)</f>
        <v>58.573999999999998</v>
      </c>
      <c r="G15" s="21">
        <f>G14+F15</f>
        <v>587.90539999999999</v>
      </c>
      <c r="H15" s="21">
        <f t="shared" si="2"/>
        <v>160473535.56024122</v>
      </c>
      <c r="I15" s="23">
        <f t="shared" si="3"/>
        <v>272958.09080889751</v>
      </c>
      <c r="J15" s="23">
        <f t="shared" si="7"/>
        <v>178561525.50143266</v>
      </c>
      <c r="K15" s="23">
        <f t="shared" si="4"/>
        <v>18087989.941191435</v>
      </c>
      <c r="L15" s="23">
        <f t="shared" si="5"/>
        <v>11.271634215600157</v>
      </c>
    </row>
    <row r="16" spans="2:12" ht="15.6" x14ac:dyDescent="0.3">
      <c r="B16" s="20" t="s">
        <v>163</v>
      </c>
      <c r="C16" s="26">
        <v>11</v>
      </c>
      <c r="D16" s="23">
        <v>289025</v>
      </c>
      <c r="E16" s="21">
        <f t="shared" si="0"/>
        <v>13381857.5</v>
      </c>
      <c r="F16" s="23">
        <v>46.3</v>
      </c>
      <c r="G16" s="21">
        <f t="shared" si="6"/>
        <v>634.20539999999994</v>
      </c>
      <c r="H16" s="21">
        <f t="shared" si="2"/>
        <v>173855393.06024122</v>
      </c>
      <c r="I16" s="26">
        <f t="shared" si="3"/>
        <v>274131.05132854631</v>
      </c>
      <c r="J16" s="26">
        <f t="shared" si="7"/>
        <v>183301215.73499998</v>
      </c>
      <c r="K16" s="26">
        <f t="shared" si="4"/>
        <v>9445822.6747587621</v>
      </c>
      <c r="L16" s="26">
        <f t="shared" si="5"/>
        <v>5.4331490720484963</v>
      </c>
    </row>
    <row r="17" spans="2:12" ht="15.6" x14ac:dyDescent="0.3">
      <c r="B17" s="20" t="s">
        <v>164</v>
      </c>
      <c r="C17" s="23">
        <v>12</v>
      </c>
      <c r="D17" s="21">
        <v>263929.59999999998</v>
      </c>
      <c r="E17" s="21">
        <f t="shared" si="0"/>
        <v>13740834.799999999</v>
      </c>
      <c r="F17" s="23">
        <v>52.0625</v>
      </c>
      <c r="G17" s="21">
        <f t="shared" si="6"/>
        <v>686.26789999999994</v>
      </c>
      <c r="H17" s="21">
        <f t="shared" si="2"/>
        <v>187596227.86024123</v>
      </c>
      <c r="I17" s="23">
        <f t="shared" si="3"/>
        <v>273357.13627322688</v>
      </c>
      <c r="J17" s="23">
        <f t="shared" si="7"/>
        <v>181126412.33983997</v>
      </c>
      <c r="K17" s="23">
        <f t="shared" si="4"/>
        <v>-6469815.5204012692</v>
      </c>
      <c r="L17" s="23">
        <f t="shared" si="5"/>
        <v>-3.4487983016488299</v>
      </c>
    </row>
    <row r="18" spans="2:12" ht="15.6" x14ac:dyDescent="0.3">
      <c r="B18" s="20">
        <v>44838</v>
      </c>
      <c r="C18" s="23">
        <v>13</v>
      </c>
      <c r="D18" s="21">
        <v>279263.22043969104</v>
      </c>
      <c r="E18" s="21">
        <v>15875000</v>
      </c>
      <c r="F18" s="23">
        <f>E18/D18</f>
        <v>56.846010638297869</v>
      </c>
      <c r="G18" s="21">
        <f t="shared" si="6"/>
        <v>743.11391063829785</v>
      </c>
      <c r="H18" s="21">
        <f t="shared" si="2"/>
        <v>203471227.86024123</v>
      </c>
      <c r="I18" s="23">
        <f t="shared" si="3"/>
        <v>273808.93419888959</v>
      </c>
      <c r="J18" s="23">
        <f t="shared" si="7"/>
        <v>207524383.83838385</v>
      </c>
      <c r="K18" s="23">
        <f t="shared" si="4"/>
        <v>4053155.9781426191</v>
      </c>
      <c r="L18" s="23">
        <f t="shared" si="5"/>
        <v>1.9920044817966205</v>
      </c>
    </row>
    <row r="19" spans="2:12" ht="15.6" x14ac:dyDescent="0.3">
      <c r="B19" s="20" t="s">
        <v>221</v>
      </c>
      <c r="C19" s="23">
        <v>14</v>
      </c>
      <c r="D19" s="21">
        <v>285906.04026845639</v>
      </c>
      <c r="E19" s="21">
        <v>17125000</v>
      </c>
      <c r="F19" s="23">
        <f>E19/D19</f>
        <v>59.897300469483568</v>
      </c>
      <c r="G19" s="21">
        <f t="shared" si="6"/>
        <v>803.01121110778138</v>
      </c>
      <c r="H19" s="21">
        <f t="shared" si="2"/>
        <v>220596227.86024123</v>
      </c>
      <c r="I19" s="23">
        <f t="shared" si="3"/>
        <v>274711.26779901516</v>
      </c>
      <c r="J19" s="23">
        <f t="shared" si="7"/>
        <v>229585755.65900329</v>
      </c>
      <c r="K19" s="23">
        <f t="shared" si="4"/>
        <v>8989527.7987620533</v>
      </c>
      <c r="L19" s="23">
        <f t="shared" si="5"/>
        <v>4.075104948964662</v>
      </c>
    </row>
    <row r="20" spans="2:12" ht="15.6" x14ac:dyDescent="0.3">
      <c r="B20" s="20" t="s">
        <v>222</v>
      </c>
      <c r="C20" s="55">
        <v>15</v>
      </c>
      <c r="D20" s="55">
        <v>310805.7</v>
      </c>
      <c r="E20" s="55">
        <v>17499872.227357294</v>
      </c>
      <c r="F20" s="23">
        <v>56.304862</v>
      </c>
      <c r="G20" s="21">
        <f>G19+F20</f>
        <v>859.31607310778134</v>
      </c>
      <c r="H20" s="21">
        <f t="shared" ref="H20:H25" si="8">H19+E20</f>
        <v>238096100.08759853</v>
      </c>
      <c r="I20" s="55">
        <f t="shared" ref="I20:I25" si="9">H20/G20</f>
        <v>277076.27907680819</v>
      </c>
      <c r="J20" s="55">
        <f t="shared" ref="J20:J25" si="10">G20*D20</f>
        <v>267080333.62351516</v>
      </c>
      <c r="K20" s="55">
        <f t="shared" ref="K20:K25" si="11">J20-H20</f>
        <v>28984233.535916626</v>
      </c>
      <c r="L20" s="55">
        <f t="shared" ref="L20:L25" si="12">100*(J20-H20)/H20</f>
        <v>12.173334013137117</v>
      </c>
    </row>
    <row r="21" spans="2:12" ht="15.6" x14ac:dyDescent="0.3">
      <c r="B21" s="20">
        <v>44599</v>
      </c>
      <c r="C21" s="55">
        <v>16</v>
      </c>
      <c r="D21" s="55">
        <v>325820.67613914749</v>
      </c>
      <c r="E21" s="55">
        <v>17499123.614932347</v>
      </c>
      <c r="F21" s="23">
        <v>53.707830000000001</v>
      </c>
      <c r="G21" s="21">
        <f>G20+F21</f>
        <v>913.02390310778128</v>
      </c>
      <c r="H21" s="21">
        <f t="shared" si="8"/>
        <v>255595223.70253089</v>
      </c>
      <c r="I21" s="55">
        <f t="shared" si="9"/>
        <v>279943.62779827265</v>
      </c>
      <c r="J21" s="55">
        <f t="shared" si="10"/>
        <v>297482065.44178081</v>
      </c>
      <c r="K21" s="55">
        <f t="shared" si="11"/>
        <v>41886841.739249915</v>
      </c>
      <c r="L21" s="55">
        <f t="shared" si="12"/>
        <v>16.387959498022166</v>
      </c>
    </row>
    <row r="22" spans="2:12" ht="15.6" x14ac:dyDescent="0.3">
      <c r="B22" s="24">
        <v>44775</v>
      </c>
      <c r="C22" s="55">
        <v>17</v>
      </c>
      <c r="D22" s="55">
        <v>321701.83732399798</v>
      </c>
      <c r="E22" s="55">
        <v>18375000.000000019</v>
      </c>
      <c r="F22" s="23">
        <f>E22/D22</f>
        <v>57.118107104541856</v>
      </c>
      <c r="G22" s="21">
        <f>G21+F22</f>
        <v>970.14201021232316</v>
      </c>
      <c r="H22" s="21">
        <f t="shared" si="8"/>
        <v>273970223.70253092</v>
      </c>
      <c r="I22" s="55">
        <f t="shared" si="9"/>
        <v>282402.18526622758</v>
      </c>
      <c r="J22" s="55">
        <f t="shared" si="10"/>
        <v>312096467.15050119</v>
      </c>
      <c r="K22" s="55">
        <f t="shared" si="11"/>
        <v>38126243.447970271</v>
      </c>
      <c r="L22" s="55">
        <f t="shared" si="12"/>
        <v>13.916199699631104</v>
      </c>
    </row>
    <row r="23" spans="2:12" ht="15.6" x14ac:dyDescent="0.3">
      <c r="B23" s="24">
        <v>44570</v>
      </c>
      <c r="C23" s="55">
        <v>18</v>
      </c>
      <c r="D23" s="55">
        <v>303921.59999999998</v>
      </c>
      <c r="E23" s="55">
        <v>17749933.204799999</v>
      </c>
      <c r="F23" s="23">
        <v>58.402999999999999</v>
      </c>
      <c r="G23" s="21">
        <f t="shared" ref="G23:G25" si="13">G22+F23</f>
        <v>1028.5450102123232</v>
      </c>
      <c r="H23" s="21">
        <f t="shared" si="8"/>
        <v>291720156.90733093</v>
      </c>
      <c r="I23" s="55">
        <f t="shared" si="9"/>
        <v>283624.10396323923</v>
      </c>
      <c r="J23" s="55">
        <f t="shared" si="10"/>
        <v>312597045.17574555</v>
      </c>
      <c r="K23" s="55">
        <f t="shared" si="11"/>
        <v>20876888.268414617</v>
      </c>
      <c r="L23" s="55">
        <f t="shared" si="12"/>
        <v>7.1564778004169449</v>
      </c>
    </row>
    <row r="24" spans="2:12" ht="15.6" x14ac:dyDescent="0.3">
      <c r="B24" s="24">
        <v>43992</v>
      </c>
      <c r="C24" s="55">
        <v>19</v>
      </c>
      <c r="D24" s="55">
        <v>329877.47399999999</v>
      </c>
      <c r="E24" s="55">
        <f>Table117[[#This Row],[Shares price]]*Table117[[#This Row],[Shares  bought]]</f>
        <v>18999952.869977999</v>
      </c>
      <c r="F24" s="23">
        <v>57.597000000000001</v>
      </c>
      <c r="G24" s="21">
        <f t="shared" si="13"/>
        <v>1086.1420102123232</v>
      </c>
      <c r="H24" s="21">
        <f t="shared" si="8"/>
        <v>310720109.77730894</v>
      </c>
      <c r="I24" s="55">
        <f t="shared" si="9"/>
        <v>286076.87287279149</v>
      </c>
      <c r="J24" s="55">
        <f t="shared" si="10"/>
        <v>358293782.73412335</v>
      </c>
      <c r="K24" s="55">
        <f t="shared" si="11"/>
        <v>47573672.956814408</v>
      </c>
      <c r="L24" s="55">
        <f t="shared" si="12"/>
        <v>15.310780171553796</v>
      </c>
    </row>
    <row r="25" spans="2:12" ht="15.6" x14ac:dyDescent="0.3">
      <c r="C25" s="55"/>
      <c r="D25" s="55"/>
      <c r="E25" s="55"/>
      <c r="F25" s="23" t="e">
        <f>E25/D25</f>
        <v>#DIV/0!</v>
      </c>
      <c r="G25" s="21" t="e">
        <f t="shared" si="13"/>
        <v>#DIV/0!</v>
      </c>
      <c r="H25" s="21">
        <f t="shared" si="8"/>
        <v>310720109.77730894</v>
      </c>
      <c r="I25" s="55" t="e">
        <f t="shared" si="9"/>
        <v>#DIV/0!</v>
      </c>
      <c r="J25" s="55" t="e">
        <f t="shared" si="10"/>
        <v>#DIV/0!</v>
      </c>
      <c r="K25" s="55" t="e">
        <f t="shared" si="11"/>
        <v>#DIV/0!</v>
      </c>
      <c r="L25" s="55" t="e">
        <f t="shared" si="12"/>
        <v>#DIV/0!</v>
      </c>
    </row>
    <row r="26" spans="2:12" x14ac:dyDescent="0.3">
      <c r="F26">
        <f>SUM(F6:F23)</f>
        <v>1028.5450102123232</v>
      </c>
    </row>
    <row r="28" spans="2:12" x14ac:dyDescent="0.3">
      <c r="G28">
        <f>SUM(G20:G21)</f>
        <v>1772.3399762155627</v>
      </c>
      <c r="H28">
        <f t="shared" ref="H28:I28" si="14">SUM(H20:H21)</f>
        <v>493691323.79012942</v>
      </c>
      <c r="I28">
        <f t="shared" si="14"/>
        <v>557019.90687508089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opLeftCell="B4" workbookViewId="0">
      <selection activeCell="C21" sqref="C21"/>
    </sheetView>
  </sheetViews>
  <sheetFormatPr defaultRowHeight="14.4" x14ac:dyDescent="0.3"/>
  <cols>
    <col min="2" max="2" width="14.6640625" bestFit="1" customWidth="1"/>
    <col min="4" max="4" width="13.109375" customWidth="1"/>
    <col min="5" max="5" width="25" customWidth="1"/>
    <col min="6" max="6" width="16.33203125" customWidth="1"/>
    <col min="7" max="7" width="18.21875" customWidth="1"/>
    <col min="8" max="8" width="17.6640625" customWidth="1"/>
    <col min="9" max="9" width="29.88671875" customWidth="1"/>
    <col min="10" max="10" width="16.33203125" customWidth="1"/>
    <col min="11" max="11" width="11.77734375" customWidth="1"/>
    <col min="12" max="12" width="16.21875" customWidth="1"/>
    <col min="13" max="13" width="11.21875" customWidth="1"/>
  </cols>
  <sheetData>
    <row r="2" spans="2:13" ht="31.2" x14ac:dyDescent="0.6">
      <c r="G2" s="15"/>
    </row>
    <row r="4" spans="2:13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140</v>
      </c>
      <c r="H4" s="16" t="s">
        <v>166</v>
      </c>
      <c r="I4" s="16" t="s">
        <v>141</v>
      </c>
      <c r="J4" s="16" t="s">
        <v>142</v>
      </c>
      <c r="K4" s="16" t="s">
        <v>123</v>
      </c>
      <c r="L4" s="16" t="s">
        <v>143</v>
      </c>
      <c r="M4" s="16" t="s">
        <v>144</v>
      </c>
    </row>
    <row r="5" spans="2:13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150</v>
      </c>
      <c r="H5" s="18" t="s">
        <v>151</v>
      </c>
      <c r="I5" s="18" t="s">
        <v>152</v>
      </c>
      <c r="J5" s="18" t="s">
        <v>153</v>
      </c>
      <c r="K5" s="18" t="s">
        <v>154</v>
      </c>
      <c r="L5" s="18" t="s">
        <v>155</v>
      </c>
      <c r="M5" s="19" t="s">
        <v>165</v>
      </c>
    </row>
    <row r="6" spans="2:13" ht="16.2" thickBot="1" x14ac:dyDescent="0.35">
      <c r="B6" s="20">
        <v>44254.975983796299</v>
      </c>
      <c r="C6" s="21">
        <v>1</v>
      </c>
      <c r="D6" s="21">
        <f>1720.83*Table116[[#This Row],[dolar]]</f>
        <v>465632506.38</v>
      </c>
      <c r="E6" s="21">
        <f>D6*F6</f>
        <v>9226508.1139196996</v>
      </c>
      <c r="F6" s="21">
        <v>1.9814999999999999E-2</v>
      </c>
      <c r="G6" s="21">
        <f>Table116[[#This Row],[Shares  bought]]</f>
        <v>1.9814999999999999E-2</v>
      </c>
      <c r="H6" s="21">
        <v>9226508.1139196996</v>
      </c>
      <c r="I6" s="21">
        <f>H6/G6</f>
        <v>465632506.38</v>
      </c>
      <c r="J6" s="21">
        <f>G6*D6</f>
        <v>9226508.1139196996</v>
      </c>
      <c r="K6" s="21">
        <f>J6-H6</f>
        <v>0</v>
      </c>
      <c r="L6" s="21">
        <f>100*(J6-H6)/H6</f>
        <v>0</v>
      </c>
      <c r="M6" s="19" t="s">
        <v>157</v>
      </c>
    </row>
    <row r="7" spans="2:13" ht="15.6" x14ac:dyDescent="0.3">
      <c r="B7" s="20">
        <v>44261.863576388889</v>
      </c>
      <c r="C7" s="21">
        <v>2</v>
      </c>
      <c r="D7" s="21">
        <f>1795.89*Table116[[#This Row],[dolar]]</f>
        <v>446873104.59000003</v>
      </c>
      <c r="E7" s="21">
        <f>D7*F7</f>
        <v>18662314.593887582</v>
      </c>
      <c r="F7" s="21">
        <v>4.1762000000000001E-2</v>
      </c>
      <c r="G7" s="21">
        <f>G6+F7</f>
        <v>6.1577E-2</v>
      </c>
      <c r="H7" s="21">
        <f t="shared" ref="H7:H19" si="0">H6+E7</f>
        <v>27888822.70780728</v>
      </c>
      <c r="I7" s="21">
        <f t="shared" ref="I7:I19" si="1">H7/G7</f>
        <v>452909734.28077495</v>
      </c>
      <c r="J7" s="21">
        <f t="shared" ref="J7:J19" si="2">G7*D7</f>
        <v>27517105.161338434</v>
      </c>
      <c r="K7" s="21">
        <f t="shared" ref="K7:K19" si="3">J7-H7</f>
        <v>-371717.5464688465</v>
      </c>
      <c r="L7" s="21">
        <f t="shared" ref="L7:L19" si="4">100*(J7-H7)/H7</f>
        <v>-1.3328549231473539</v>
      </c>
      <c r="M7" s="23">
        <v>248831</v>
      </c>
    </row>
    <row r="8" spans="2:13" ht="15.6" x14ac:dyDescent="0.3">
      <c r="B8" s="24">
        <v>44342</v>
      </c>
      <c r="C8" s="23">
        <v>3</v>
      </c>
      <c r="D8" s="21">
        <f>1911.34*Table116[[#This Row],[dolar]]</f>
        <v>465231744.82493591</v>
      </c>
      <c r="E8" s="21">
        <f>D8*F8</f>
        <v>14234695.696408564</v>
      </c>
      <c r="F8" s="21">
        <v>3.0596999999999999E-2</v>
      </c>
      <c r="G8" s="21">
        <f t="shared" ref="G8:G19" si="5">G7+F8</f>
        <v>9.2174000000000006E-2</v>
      </c>
      <c r="H8" s="21">
        <f t="shared" si="0"/>
        <v>42123518.404215842</v>
      </c>
      <c r="I8" s="23">
        <f t="shared" si="1"/>
        <v>457000004.38535637</v>
      </c>
      <c r="J8" s="23">
        <f t="shared" si="2"/>
        <v>42882270.847493649</v>
      </c>
      <c r="K8" s="23">
        <f t="shared" si="3"/>
        <v>758752.44327780604</v>
      </c>
      <c r="L8" s="23">
        <f t="shared" si="4"/>
        <v>1.8012560964087652</v>
      </c>
      <c r="M8" s="23">
        <f>(57000000+5700)/234.2</f>
        <v>243406.06319385141</v>
      </c>
    </row>
    <row r="9" spans="2:13" ht="15.6" x14ac:dyDescent="0.3">
      <c r="B9" s="25">
        <v>44373.427210648151</v>
      </c>
      <c r="C9" s="23">
        <v>4</v>
      </c>
      <c r="D9" s="21">
        <f>1777.09*Table116[[#This Row],[dolar]]</f>
        <v>441862341.77215195</v>
      </c>
      <c r="E9" s="21">
        <f>D9*F9</f>
        <v>13750314.213607596</v>
      </c>
      <c r="F9" s="21">
        <v>3.1119000000000001E-2</v>
      </c>
      <c r="G9" s="21">
        <f t="shared" si="5"/>
        <v>0.12329300000000001</v>
      </c>
      <c r="H9" s="21">
        <f t="shared" si="0"/>
        <v>55873832.617823437</v>
      </c>
      <c r="I9" s="23">
        <f t="shared" si="1"/>
        <v>453179277.15136653</v>
      </c>
      <c r="J9" s="23">
        <f t="shared" si="2"/>
        <v>54478533.704113938</v>
      </c>
      <c r="K9" s="23">
        <f t="shared" si="3"/>
        <v>-1395298.9137094989</v>
      </c>
      <c r="L9" s="23">
        <f t="shared" si="4"/>
        <v>-2.4972314379314771</v>
      </c>
      <c r="M9" s="23">
        <v>248643.76130198917</v>
      </c>
    </row>
    <row r="10" spans="2:13" ht="15.6" x14ac:dyDescent="0.3">
      <c r="B10" s="20">
        <v>44404.632384259261</v>
      </c>
      <c r="C10" s="23">
        <v>5</v>
      </c>
      <c r="D10" s="21">
        <f>1807.57*Table116[[#This Row],[dolar]]</f>
        <v>455903497.82999998</v>
      </c>
      <c r="E10" s="21">
        <f>D10*F10</f>
        <v>12989146.556674529</v>
      </c>
      <c r="F10" s="21">
        <v>2.8490999999999999E-2</v>
      </c>
      <c r="G10" s="21">
        <f>G9+F10</f>
        <v>0.151784</v>
      </c>
      <c r="H10" s="21">
        <f t="shared" si="0"/>
        <v>68862979.174497962</v>
      </c>
      <c r="I10" s="23">
        <f t="shared" si="1"/>
        <v>453690633.89091051</v>
      </c>
      <c r="J10" s="23">
        <f t="shared" si="2"/>
        <v>69198856.514628723</v>
      </c>
      <c r="K10" s="23">
        <f t="shared" si="3"/>
        <v>335877.34013076127</v>
      </c>
      <c r="L10" s="23">
        <f t="shared" si="4"/>
        <v>0.48774732687595773</v>
      </c>
      <c r="M10" s="30">
        <v>252219</v>
      </c>
    </row>
    <row r="11" spans="2:13" ht="15.6" x14ac:dyDescent="0.3">
      <c r="B11" s="20"/>
      <c r="C11" s="23">
        <v>6</v>
      </c>
      <c r="D11" s="21">
        <v>0</v>
      </c>
      <c r="E11" s="21">
        <v>0</v>
      </c>
      <c r="F11" s="21">
        <v>0</v>
      </c>
      <c r="G11" s="21">
        <f t="shared" si="5"/>
        <v>0.151784</v>
      </c>
      <c r="H11" s="21">
        <f t="shared" si="0"/>
        <v>68862979.174497962</v>
      </c>
      <c r="I11" s="23">
        <f t="shared" si="1"/>
        <v>453690633.89091051</v>
      </c>
      <c r="J11" s="23">
        <f t="shared" si="2"/>
        <v>0</v>
      </c>
      <c r="K11" s="23">
        <f t="shared" si="3"/>
        <v>-68862979.174497962</v>
      </c>
      <c r="L11" s="23">
        <f t="shared" si="4"/>
        <v>-100</v>
      </c>
      <c r="M11" s="23"/>
    </row>
    <row r="12" spans="2:13" ht="15.6" x14ac:dyDescent="0.3">
      <c r="B12" s="20"/>
      <c r="C12" s="23">
        <v>7</v>
      </c>
      <c r="D12" s="21">
        <v>0</v>
      </c>
      <c r="E12" s="21">
        <v>0</v>
      </c>
      <c r="F12" s="21">
        <v>0</v>
      </c>
      <c r="G12" s="21">
        <f t="shared" si="5"/>
        <v>0.151784</v>
      </c>
      <c r="H12" s="21">
        <f t="shared" si="0"/>
        <v>68862979.174497962</v>
      </c>
      <c r="I12" s="23">
        <f t="shared" si="1"/>
        <v>453690633.89091051</v>
      </c>
      <c r="J12" s="23">
        <f t="shared" si="2"/>
        <v>0</v>
      </c>
      <c r="K12" s="23">
        <f t="shared" si="3"/>
        <v>-68862979.174497962</v>
      </c>
      <c r="L12" s="23">
        <f t="shared" si="4"/>
        <v>-100</v>
      </c>
      <c r="M12" s="23"/>
    </row>
    <row r="13" spans="2:13" ht="15.6" x14ac:dyDescent="0.3">
      <c r="B13" s="20"/>
      <c r="C13" s="23">
        <v>8</v>
      </c>
      <c r="D13" s="21">
        <v>0</v>
      </c>
      <c r="E13" s="21">
        <v>0</v>
      </c>
      <c r="F13" s="21">
        <v>0</v>
      </c>
      <c r="G13" s="21">
        <f t="shared" si="5"/>
        <v>0.151784</v>
      </c>
      <c r="H13" s="21">
        <f t="shared" si="0"/>
        <v>68862979.174497962</v>
      </c>
      <c r="I13" s="23">
        <f t="shared" si="1"/>
        <v>453690633.89091051</v>
      </c>
      <c r="J13" s="23">
        <f t="shared" si="2"/>
        <v>0</v>
      </c>
      <c r="K13" s="23">
        <f t="shared" si="3"/>
        <v>-68862979.174497962</v>
      </c>
      <c r="L13" s="23">
        <f t="shared" si="4"/>
        <v>-100</v>
      </c>
      <c r="M13" s="23"/>
    </row>
    <row r="14" spans="2:13" ht="15.6" x14ac:dyDescent="0.3">
      <c r="C14" s="23">
        <v>9</v>
      </c>
      <c r="D14" s="21">
        <v>0</v>
      </c>
      <c r="E14" s="21">
        <v>0</v>
      </c>
      <c r="F14" s="21">
        <v>0</v>
      </c>
      <c r="G14" s="21">
        <f t="shared" si="5"/>
        <v>0.151784</v>
      </c>
      <c r="H14" s="21">
        <f t="shared" si="0"/>
        <v>68862979.174497962</v>
      </c>
      <c r="I14" s="23">
        <f t="shared" si="1"/>
        <v>453690633.89091051</v>
      </c>
      <c r="J14" s="23">
        <f t="shared" si="2"/>
        <v>0</v>
      </c>
      <c r="K14" s="23">
        <f t="shared" si="3"/>
        <v>-68862979.174497962</v>
      </c>
      <c r="L14" s="23">
        <f t="shared" si="4"/>
        <v>-100</v>
      </c>
      <c r="M14" s="23"/>
    </row>
    <row r="15" spans="2:13" ht="15.6" x14ac:dyDescent="0.3">
      <c r="C15" s="23">
        <v>10</v>
      </c>
      <c r="D15" s="21">
        <v>0</v>
      </c>
      <c r="E15" s="21">
        <v>0</v>
      </c>
      <c r="F15" s="21">
        <v>0</v>
      </c>
      <c r="G15" s="21">
        <f t="shared" si="5"/>
        <v>0.151784</v>
      </c>
      <c r="H15" s="21">
        <f t="shared" si="0"/>
        <v>68862979.174497962</v>
      </c>
      <c r="I15" s="23">
        <f t="shared" si="1"/>
        <v>453690633.89091051</v>
      </c>
      <c r="J15" s="23">
        <f t="shared" si="2"/>
        <v>0</v>
      </c>
      <c r="K15" s="23">
        <f t="shared" si="3"/>
        <v>-68862979.174497962</v>
      </c>
      <c r="L15" s="23">
        <f t="shared" si="4"/>
        <v>-100</v>
      </c>
      <c r="M15" s="23"/>
    </row>
    <row r="16" spans="2:13" ht="15.6" x14ac:dyDescent="0.3">
      <c r="B16" s="20"/>
      <c r="C16" s="26">
        <v>11</v>
      </c>
      <c r="D16" s="21">
        <v>0</v>
      </c>
      <c r="E16" s="21">
        <v>0</v>
      </c>
      <c r="F16" s="21">
        <v>0</v>
      </c>
      <c r="G16" s="21">
        <f t="shared" si="5"/>
        <v>0.151784</v>
      </c>
      <c r="H16" s="21">
        <f t="shared" si="0"/>
        <v>68862979.174497962</v>
      </c>
      <c r="I16" s="26">
        <f t="shared" si="1"/>
        <v>453690633.89091051</v>
      </c>
      <c r="J16" s="26">
        <f t="shared" si="2"/>
        <v>0</v>
      </c>
      <c r="K16" s="26">
        <f t="shared" si="3"/>
        <v>-68862979.174497962</v>
      </c>
      <c r="L16" s="26">
        <f t="shared" si="4"/>
        <v>-100</v>
      </c>
      <c r="M16" s="23"/>
    </row>
    <row r="17" spans="3:13" ht="15.6" x14ac:dyDescent="0.3">
      <c r="C17" s="23">
        <v>12</v>
      </c>
      <c r="D17" s="21">
        <v>0</v>
      </c>
      <c r="E17" s="21">
        <v>0</v>
      </c>
      <c r="F17" s="21">
        <v>0</v>
      </c>
      <c r="G17" s="21">
        <f t="shared" si="5"/>
        <v>0.151784</v>
      </c>
      <c r="H17" s="21">
        <f t="shared" si="0"/>
        <v>68862979.174497962</v>
      </c>
      <c r="I17" s="23">
        <f t="shared" si="1"/>
        <v>453690633.89091051</v>
      </c>
      <c r="J17" s="23">
        <f t="shared" si="2"/>
        <v>0</v>
      </c>
      <c r="K17" s="23">
        <f t="shared" si="3"/>
        <v>-68862979.174497962</v>
      </c>
      <c r="L17" s="23">
        <f t="shared" si="4"/>
        <v>-100</v>
      </c>
      <c r="M17" s="23"/>
    </row>
    <row r="18" spans="3:13" ht="15.6" x14ac:dyDescent="0.3">
      <c r="C18" s="23">
        <v>13</v>
      </c>
      <c r="D18" s="21">
        <v>0</v>
      </c>
      <c r="E18" s="21">
        <v>0</v>
      </c>
      <c r="F18" s="21">
        <v>0</v>
      </c>
      <c r="G18" s="21">
        <f t="shared" si="5"/>
        <v>0.151784</v>
      </c>
      <c r="H18" s="21">
        <f t="shared" si="0"/>
        <v>68862979.174497962</v>
      </c>
      <c r="I18" s="23">
        <f t="shared" si="1"/>
        <v>453690633.89091051</v>
      </c>
      <c r="J18" s="23">
        <f t="shared" si="2"/>
        <v>0</v>
      </c>
      <c r="K18" s="23">
        <f t="shared" si="3"/>
        <v>-68862979.174497962</v>
      </c>
      <c r="L18" s="23">
        <f t="shared" si="4"/>
        <v>-100</v>
      </c>
      <c r="M18" s="23"/>
    </row>
    <row r="19" spans="3:13" ht="15.6" x14ac:dyDescent="0.3">
      <c r="C19" s="23">
        <v>14</v>
      </c>
      <c r="D19" s="21">
        <v>0</v>
      </c>
      <c r="E19" s="21">
        <v>0</v>
      </c>
      <c r="F19" s="21">
        <v>0</v>
      </c>
      <c r="G19" s="21">
        <f t="shared" si="5"/>
        <v>0.151784</v>
      </c>
      <c r="H19" s="21">
        <f t="shared" si="0"/>
        <v>68862979.174497962</v>
      </c>
      <c r="I19" s="23">
        <f t="shared" si="1"/>
        <v>453690633.89091051</v>
      </c>
      <c r="J19" s="23">
        <f t="shared" si="2"/>
        <v>0</v>
      </c>
      <c r="K19" s="23">
        <f t="shared" si="3"/>
        <v>-68862979.174497962</v>
      </c>
      <c r="L19" s="23">
        <f t="shared" si="4"/>
        <v>-100</v>
      </c>
      <c r="M19" s="23"/>
    </row>
    <row r="20" spans="3:13" ht="15.6" x14ac:dyDescent="0.3">
      <c r="C20" s="55"/>
      <c r="D20" s="55"/>
      <c r="E20" s="55"/>
      <c r="F20" s="55" t="e">
        <f>E20/D20</f>
        <v>#DIV/0!</v>
      </c>
      <c r="G20" s="55"/>
      <c r="H20" s="55"/>
      <c r="I20" s="55" t="e">
        <f>H20/G20</f>
        <v>#DIV/0!</v>
      </c>
      <c r="J20" s="55">
        <f>G20*D20</f>
        <v>0</v>
      </c>
      <c r="K20" s="55">
        <f>J20-H20</f>
        <v>0</v>
      </c>
      <c r="L20" s="55" t="e">
        <f>100*(J20-H20)/H20</f>
        <v>#DIV/0!</v>
      </c>
      <c r="M20" s="55"/>
    </row>
    <row r="21" spans="3:13" ht="15.6" x14ac:dyDescent="0.3">
      <c r="C21" s="55"/>
      <c r="D21" s="55"/>
      <c r="E21" s="55"/>
      <c r="F21" s="55" t="e">
        <f>E21/D21</f>
        <v>#DIV/0!</v>
      </c>
      <c r="G21" s="55"/>
      <c r="H21" s="55"/>
      <c r="I21" s="55" t="e">
        <f>H21/G21</f>
        <v>#DIV/0!</v>
      </c>
      <c r="J21" s="55">
        <f>G21*D21</f>
        <v>0</v>
      </c>
      <c r="K21" s="55">
        <f>J21-H21</f>
        <v>0</v>
      </c>
      <c r="L21" s="55" t="e">
        <f>100*(J21-H21)/H21</f>
        <v>#DIV/0!</v>
      </c>
      <c r="M21" s="55"/>
    </row>
    <row r="22" spans="3:13" x14ac:dyDescent="0.3">
      <c r="F22">
        <f>SUM(F6:F10)</f>
        <v>0.151784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3</vt:i4>
      </vt:variant>
    </vt:vector>
  </HeadingPairs>
  <TitlesOfParts>
    <vt:vector size="20" baseType="lpstr">
      <vt:lpstr>1401</vt:lpstr>
      <vt:lpstr>ارزش 1401</vt:lpstr>
      <vt:lpstr>تنزیل</vt:lpstr>
      <vt:lpstr>شاخص میانگین خرید</vt:lpstr>
      <vt:lpstr>مجموع</vt:lpstr>
      <vt:lpstr>BTC</vt:lpstr>
      <vt:lpstr>ETH</vt:lpstr>
      <vt:lpstr>USDT</vt:lpstr>
      <vt:lpstr>AUD</vt:lpstr>
      <vt:lpstr>فزر</vt:lpstr>
      <vt:lpstr>فروی</vt:lpstr>
      <vt:lpstr>آریا</vt:lpstr>
      <vt:lpstr>فملی</vt:lpstr>
      <vt:lpstr>شستا</vt:lpstr>
      <vt:lpstr>کچاد</vt:lpstr>
      <vt:lpstr>calulator</vt:lpstr>
      <vt:lpstr>نت صندوق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2021-04-20T15:16:40Z</cp:lastPrinted>
  <dcterms:created xsi:type="dcterms:W3CDTF">2021-03-04T17:39:30Z</dcterms:created>
  <dcterms:modified xsi:type="dcterms:W3CDTF">2022-10-22T16:57:47Z</dcterms:modified>
</cp:coreProperties>
</file>