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"/>
    </mc:Choice>
  </mc:AlternateContent>
  <bookViews>
    <workbookView xWindow="0" yWindow="0" windowWidth="23040" windowHeight="9384" activeTab="10"/>
  </bookViews>
  <sheets>
    <sheet name="BTC" sheetId="1" r:id="rId1"/>
    <sheet name="ETH" sheetId="3" r:id="rId2"/>
    <sheet name="USDT" sheetId="2" r:id="rId3"/>
    <sheet name="AUD" sheetId="5" r:id="rId4"/>
    <sheet name="فزر" sheetId="20" r:id="rId5"/>
    <sheet name="فروی" sheetId="6" r:id="rId6"/>
    <sheet name="آریا" sheetId="7" r:id="rId7"/>
    <sheet name="فملی" sheetId="8" r:id="rId8"/>
    <sheet name="شستا" sheetId="9" r:id="rId9"/>
    <sheet name="کچاد" sheetId="10" r:id="rId10"/>
    <sheet name="calulator" sheetId="13" r:id="rId11"/>
    <sheet name="نت صندوق" sheetId="11" r:id="rId12"/>
    <sheet name="Chart1" sheetId="15" r:id="rId13"/>
    <sheet name="Chart2" sheetId="16" r:id="rId14"/>
    <sheet name="chart3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3" l="1"/>
  <c r="H13" i="13"/>
  <c r="H12" i="13"/>
  <c r="H11" i="13"/>
  <c r="H10" i="13"/>
  <c r="H9" i="13"/>
  <c r="H8" i="13"/>
  <c r="H7" i="13"/>
  <c r="H6" i="13"/>
  <c r="H5" i="13"/>
  <c r="I16" i="11" l="1"/>
  <c r="G17" i="10"/>
  <c r="F22" i="8" l="1"/>
  <c r="G10" i="13" l="1"/>
  <c r="G9" i="13"/>
  <c r="G8" i="13"/>
  <c r="G7" i="13"/>
  <c r="G6" i="13"/>
  <c r="G5" i="13"/>
  <c r="H22" i="6"/>
  <c r="G22" i="6"/>
  <c r="E22" i="6"/>
  <c r="H23" i="7"/>
  <c r="G23" i="7"/>
  <c r="E23" i="7"/>
  <c r="G22" i="8"/>
  <c r="E22" i="8"/>
  <c r="H22" i="8" s="1"/>
  <c r="H23" i="9"/>
  <c r="G23" i="9"/>
  <c r="E23" i="9"/>
  <c r="H23" i="10"/>
  <c r="E23" i="10"/>
  <c r="E23" i="1" l="1"/>
  <c r="D23" i="1"/>
  <c r="H23" i="3"/>
  <c r="G23" i="3"/>
  <c r="E23" i="3"/>
  <c r="D23" i="3"/>
  <c r="F24" i="2"/>
  <c r="I24" i="2"/>
  <c r="J24" i="2"/>
  <c r="K24" i="2" s="1"/>
  <c r="L24" i="2"/>
  <c r="G23" i="2"/>
  <c r="E23" i="2"/>
  <c r="H23" i="2" s="1"/>
  <c r="D22" i="1" l="1"/>
  <c r="E22" i="1" s="1"/>
  <c r="G22" i="3"/>
  <c r="E22" i="3"/>
  <c r="H22" i="3" s="1"/>
  <c r="D22" i="3"/>
  <c r="H22" i="2"/>
  <c r="G22" i="2"/>
  <c r="E22" i="2"/>
  <c r="E8" i="20" l="1"/>
  <c r="H21" i="6"/>
  <c r="G21" i="6"/>
  <c r="E21" i="6"/>
  <c r="G22" i="7"/>
  <c r="J22" i="7" s="1"/>
  <c r="E22" i="7"/>
  <c r="H21" i="8"/>
  <c r="G21" i="8"/>
  <c r="E21" i="8"/>
  <c r="G22" i="9"/>
  <c r="E22" i="9"/>
  <c r="H22" i="10"/>
  <c r="E22" i="10"/>
  <c r="F24" i="9"/>
  <c r="I24" i="9"/>
  <c r="J24" i="9"/>
  <c r="K24" i="9" s="1"/>
  <c r="L24" i="9"/>
  <c r="I23" i="9"/>
  <c r="J23" i="9"/>
  <c r="K23" i="9" s="1"/>
  <c r="F23" i="8"/>
  <c r="I23" i="8"/>
  <c r="J23" i="8"/>
  <c r="K23" i="8" s="1"/>
  <c r="L23" i="8"/>
  <c r="I22" i="8"/>
  <c r="J22" i="8"/>
  <c r="L22" i="8" s="1"/>
  <c r="F24" i="7"/>
  <c r="I24" i="7"/>
  <c r="J24" i="7"/>
  <c r="K24" i="7" s="1"/>
  <c r="L24" i="7"/>
  <c r="I23" i="7"/>
  <c r="J23" i="7"/>
  <c r="K23" i="7" s="1"/>
  <c r="F23" i="6"/>
  <c r="I23" i="6"/>
  <c r="J23" i="6"/>
  <c r="K23" i="6" s="1"/>
  <c r="L23" i="6"/>
  <c r="I22" i="6"/>
  <c r="J22" i="6"/>
  <c r="K22" i="6" s="1"/>
  <c r="M19" i="10"/>
  <c r="M23" i="10"/>
  <c r="M22" i="10"/>
  <c r="L23" i="7" l="1"/>
  <c r="L23" i="9"/>
  <c r="L22" i="6"/>
  <c r="I21" i="8"/>
  <c r="J21" i="8"/>
  <c r="K21" i="8" s="1"/>
  <c r="L21" i="8"/>
  <c r="J22" i="9"/>
  <c r="K22" i="8"/>
  <c r="H21" i="2" l="1"/>
  <c r="G21" i="2"/>
  <c r="E21" i="2"/>
  <c r="H21" i="3"/>
  <c r="G21" i="3"/>
  <c r="E21" i="3"/>
  <c r="D21" i="1"/>
  <c r="E21" i="1" s="1"/>
  <c r="D21" i="3"/>
  <c r="D21" i="2" l="1"/>
  <c r="E20" i="6"/>
  <c r="E21" i="7"/>
  <c r="H20" i="8"/>
  <c r="G20" i="8"/>
  <c r="E20" i="8"/>
  <c r="G21" i="9"/>
  <c r="E21" i="9"/>
  <c r="H21" i="10"/>
  <c r="E21" i="10"/>
  <c r="I6" i="13" l="1"/>
  <c r="I7" i="13"/>
  <c r="I8" i="13"/>
  <c r="I9" i="13"/>
  <c r="I10" i="13"/>
  <c r="I11" i="13"/>
  <c r="I12" i="13"/>
  <c r="I13" i="13"/>
  <c r="I14" i="13"/>
  <c r="E20" i="7" l="1"/>
  <c r="E19" i="8"/>
  <c r="G20" i="9"/>
  <c r="E20" i="9"/>
  <c r="H20" i="10"/>
  <c r="E20" i="10"/>
  <c r="E19" i="6"/>
  <c r="J21" i="20"/>
  <c r="L21" i="20" s="1"/>
  <c r="I21" i="20"/>
  <c r="F21" i="20"/>
  <c r="J20" i="20"/>
  <c r="L20" i="20" s="1"/>
  <c r="I20" i="20"/>
  <c r="F20" i="20"/>
  <c r="E18" i="20"/>
  <c r="E17" i="20"/>
  <c r="E16" i="20"/>
  <c r="E15" i="20"/>
  <c r="E14" i="20"/>
  <c r="E13" i="20"/>
  <c r="E12" i="20"/>
  <c r="E11" i="20"/>
  <c r="E10" i="20"/>
  <c r="E9" i="20"/>
  <c r="G7" i="20"/>
  <c r="J7" i="20" s="1"/>
  <c r="E7" i="20"/>
  <c r="J6" i="20"/>
  <c r="E6" i="20"/>
  <c r="H20" i="3"/>
  <c r="G20" i="3"/>
  <c r="E20" i="3"/>
  <c r="D20" i="3"/>
  <c r="D20" i="1"/>
  <c r="E20" i="1" s="1"/>
  <c r="H20" i="2"/>
  <c r="G20" i="2"/>
  <c r="E20" i="2"/>
  <c r="K20" i="20" l="1"/>
  <c r="G8" i="20"/>
  <c r="K21" i="20"/>
  <c r="J8" i="20" l="1"/>
  <c r="G9" i="20"/>
  <c r="J9" i="20" l="1"/>
  <c r="G10" i="20"/>
  <c r="J10" i="20" l="1"/>
  <c r="G11" i="20"/>
  <c r="G12" i="20" l="1"/>
  <c r="J11" i="20"/>
  <c r="G13" i="20" l="1"/>
  <c r="J12" i="20"/>
  <c r="G14" i="20" l="1"/>
  <c r="J13" i="20"/>
  <c r="J14" i="20" l="1"/>
  <c r="G15" i="20"/>
  <c r="M21" i="10"/>
  <c r="M20" i="10"/>
  <c r="J21" i="9"/>
  <c r="J20" i="9"/>
  <c r="I20" i="8"/>
  <c r="J20" i="8"/>
  <c r="K20" i="8" s="1"/>
  <c r="I21" i="6"/>
  <c r="J21" i="6"/>
  <c r="L21" i="6" s="1"/>
  <c r="K21" i="6" l="1"/>
  <c r="J15" i="20"/>
  <c r="G16" i="20"/>
  <c r="L20" i="8"/>
  <c r="J16" i="20" l="1"/>
  <c r="G17" i="20"/>
  <c r="E19" i="7"/>
  <c r="E19" i="10"/>
  <c r="E19" i="9"/>
  <c r="E18" i="6"/>
  <c r="E18" i="8"/>
  <c r="J17" i="20" l="1"/>
  <c r="G18" i="20"/>
  <c r="I23" i="2"/>
  <c r="J23" i="2"/>
  <c r="K23" i="2" s="1"/>
  <c r="I22" i="2"/>
  <c r="J22" i="2"/>
  <c r="K22" i="2" s="1"/>
  <c r="I21" i="2"/>
  <c r="J21" i="2"/>
  <c r="L21" i="2" s="1"/>
  <c r="K21" i="2"/>
  <c r="I20" i="2"/>
  <c r="J20" i="2"/>
  <c r="K20" i="2" s="1"/>
  <c r="L19" i="2"/>
  <c r="E19" i="2"/>
  <c r="I23" i="3"/>
  <c r="J23" i="3"/>
  <c r="L23" i="3" s="1"/>
  <c r="I22" i="3"/>
  <c r="J22" i="3"/>
  <c r="L22" i="3" s="1"/>
  <c r="I21" i="3"/>
  <c r="J21" i="3"/>
  <c r="K21" i="3" s="1"/>
  <c r="I20" i="3"/>
  <c r="J20" i="3"/>
  <c r="K20" i="3" s="1"/>
  <c r="D19" i="3"/>
  <c r="E19" i="3" s="1"/>
  <c r="D19" i="1"/>
  <c r="E19" i="1" s="1"/>
  <c r="K23" i="3" l="1"/>
  <c r="L23" i="2"/>
  <c r="K22" i="3"/>
  <c r="L22" i="2"/>
  <c r="L21" i="3"/>
  <c r="J18" i="20"/>
  <c r="L20" i="3"/>
  <c r="L20" i="2"/>
  <c r="D19" i="2"/>
  <c r="I11" i="11" l="1"/>
  <c r="I12" i="11" s="1"/>
  <c r="I13" i="11" l="1"/>
  <c r="I14" i="11" s="1"/>
  <c r="I15" i="11" s="1"/>
  <c r="H16" i="11" s="1"/>
  <c r="H12" i="11"/>
  <c r="F12" i="11" s="1"/>
  <c r="H11" i="11"/>
  <c r="E18" i="2"/>
  <c r="D18" i="3"/>
  <c r="E18" i="3" s="1"/>
  <c r="D18" i="1"/>
  <c r="E18" i="1" s="1"/>
  <c r="E18" i="9"/>
  <c r="E18" i="10"/>
  <c r="E17" i="8"/>
  <c r="E17" i="6"/>
  <c r="E18" i="7"/>
  <c r="H13" i="11" l="1"/>
  <c r="D18" i="2" l="1"/>
  <c r="E16" i="9" l="1"/>
  <c r="E17" i="9"/>
  <c r="G16" i="9"/>
  <c r="K34" i="9"/>
  <c r="K35" i="9" s="1"/>
  <c r="L33" i="9"/>
  <c r="E17" i="10" l="1"/>
  <c r="F22" i="11" l="1"/>
  <c r="E22" i="11" l="1"/>
  <c r="D22" i="11" s="1"/>
  <c r="D17" i="1"/>
  <c r="E17" i="1" s="1"/>
  <c r="E8" i="1"/>
  <c r="D13" i="1"/>
  <c r="E13" i="1" s="1"/>
  <c r="D13" i="3"/>
  <c r="E13" i="3" s="1"/>
  <c r="D17" i="3"/>
  <c r="E17" i="3" s="1"/>
  <c r="E17" i="2"/>
  <c r="E16" i="6" l="1"/>
  <c r="E17" i="7"/>
  <c r="E16" i="8"/>
  <c r="G35" i="9" l="1"/>
  <c r="M18" i="10" l="1"/>
  <c r="M17" i="10"/>
  <c r="M16" i="10"/>
  <c r="M15" i="10"/>
  <c r="M14" i="10"/>
  <c r="M13" i="10"/>
  <c r="M12" i="10"/>
  <c r="M6" i="10"/>
  <c r="M7" i="10"/>
  <c r="M8" i="10"/>
  <c r="M9" i="10"/>
  <c r="M10" i="10"/>
  <c r="M11" i="10"/>
  <c r="F21" i="11" l="1"/>
  <c r="E21" i="11" s="1"/>
  <c r="D21" i="11" s="1"/>
  <c r="E16" i="2"/>
  <c r="D16" i="1" l="1"/>
  <c r="E16" i="1" s="1"/>
  <c r="G16" i="3"/>
  <c r="D16" i="3"/>
  <c r="E16" i="3" s="1"/>
  <c r="H39" i="7"/>
  <c r="H40" i="7"/>
  <c r="H41" i="7"/>
  <c r="H42" i="7"/>
  <c r="H43" i="7"/>
  <c r="H44" i="7"/>
  <c r="H45" i="7"/>
  <c r="H46" i="7"/>
  <c r="H47" i="7"/>
  <c r="H38" i="7"/>
  <c r="G48" i="7"/>
  <c r="I42" i="8"/>
  <c r="E15" i="6"/>
  <c r="E16" i="7"/>
  <c r="E15" i="8"/>
  <c r="E16" i="10"/>
  <c r="H48" i="7" l="1"/>
  <c r="G16" i="7" s="1"/>
  <c r="F20" i="11"/>
  <c r="E20" i="11" s="1"/>
  <c r="D20" i="11" s="1"/>
  <c r="E15" i="2"/>
  <c r="F15" i="2"/>
  <c r="D15" i="3"/>
  <c r="E15" i="3" s="1"/>
  <c r="D15" i="1"/>
  <c r="E15" i="1" s="1"/>
  <c r="D15" i="2"/>
  <c r="E15" i="10"/>
  <c r="E15" i="9"/>
  <c r="E14" i="8"/>
  <c r="E15" i="7"/>
  <c r="E14" i="6"/>
  <c r="F48" i="7" l="1"/>
  <c r="F49" i="7" s="1"/>
  <c r="E13" i="8"/>
  <c r="I37" i="8"/>
  <c r="I38" i="8"/>
  <c r="I39" i="8"/>
  <c r="I40" i="8"/>
  <c r="I41" i="8"/>
  <c r="I36" i="8"/>
  <c r="D14" i="1" l="1"/>
  <c r="E14" i="1" s="1"/>
  <c r="D14" i="3"/>
  <c r="E14" i="3" s="1"/>
  <c r="E14" i="2"/>
  <c r="D14" i="2"/>
  <c r="E13" i="6"/>
  <c r="E14" i="7"/>
  <c r="E14" i="9"/>
  <c r="E14" i="10"/>
  <c r="F18" i="11" l="1"/>
  <c r="E13" i="9"/>
  <c r="E18" i="11" l="1"/>
  <c r="D18" i="11" s="1"/>
  <c r="E13" i="2" l="1"/>
  <c r="E12" i="6"/>
  <c r="E13" i="7"/>
  <c r="E12" i="8"/>
  <c r="E13" i="10"/>
  <c r="F17" i="11" l="1"/>
  <c r="E17" i="11" s="1"/>
  <c r="D17" i="11" s="1"/>
  <c r="D12" i="1" l="1"/>
  <c r="E12" i="1" s="1"/>
  <c r="D12" i="3"/>
  <c r="E12" i="3" s="1"/>
  <c r="H12" i="2" l="1"/>
  <c r="K12" i="2" s="1"/>
  <c r="J12" i="2"/>
  <c r="E12" i="2"/>
  <c r="E12" i="7"/>
  <c r="E11" i="8"/>
  <c r="E11" i="6"/>
  <c r="E12" i="9"/>
  <c r="E12" i="10"/>
  <c r="F16" i="11" l="1"/>
  <c r="E16" i="11" s="1"/>
  <c r="D16" i="11" s="1"/>
  <c r="D11" i="1"/>
  <c r="E11" i="1" s="1"/>
  <c r="D11" i="3"/>
  <c r="E11" i="3" s="1"/>
  <c r="E11" i="2"/>
  <c r="E10" i="7"/>
  <c r="E11" i="7"/>
  <c r="E9" i="6"/>
  <c r="E10" i="6"/>
  <c r="E10" i="8"/>
  <c r="E11" i="9"/>
  <c r="E10" i="9"/>
  <c r="E11" i="10"/>
  <c r="E10" i="10" l="1"/>
  <c r="D10" i="1"/>
  <c r="E10" i="1" s="1"/>
  <c r="D10" i="3"/>
  <c r="E10" i="3" s="1"/>
  <c r="E10" i="2"/>
  <c r="E10" i="5"/>
  <c r="D10" i="5"/>
  <c r="F38" i="6" l="1"/>
  <c r="G38" i="6" s="1"/>
  <c r="F37" i="6"/>
  <c r="G37" i="6" s="1"/>
  <c r="E36" i="6"/>
  <c r="E12" i="11" l="1"/>
  <c r="D12" i="11" s="1"/>
  <c r="F11" i="11"/>
  <c r="E11" i="11" s="1"/>
  <c r="D11" i="11" s="1"/>
  <c r="H15" i="11" l="1"/>
  <c r="F15" i="11" s="1"/>
  <c r="E15" i="11" s="1"/>
  <c r="D15" i="11" s="1"/>
  <c r="H14" i="11"/>
  <c r="F14" i="11" s="1"/>
  <c r="E14" i="11" s="1"/>
  <c r="D14" i="11" s="1"/>
  <c r="F13" i="11"/>
  <c r="E13" i="11" s="1"/>
  <c r="D13" i="11" s="1"/>
  <c r="G9" i="2"/>
  <c r="H19" i="11" l="1"/>
  <c r="F19" i="11" s="1"/>
  <c r="E19" i="11" s="1"/>
  <c r="D19" i="11" s="1"/>
  <c r="E9" i="10"/>
  <c r="E9" i="8"/>
  <c r="E9" i="7" l="1"/>
  <c r="E9" i="5" l="1"/>
  <c r="D9" i="5"/>
  <c r="D9" i="3"/>
  <c r="E9" i="3" s="1"/>
  <c r="D9" i="1"/>
  <c r="E9" i="1" s="1"/>
  <c r="D8" i="1"/>
  <c r="E9" i="2"/>
  <c r="D9" i="2"/>
  <c r="E9" i="9" l="1"/>
  <c r="E8" i="6" l="1"/>
  <c r="E8" i="8" l="1"/>
  <c r="E8" i="9"/>
  <c r="E8" i="10"/>
  <c r="E8" i="7"/>
  <c r="E8" i="2"/>
  <c r="M8" i="5"/>
  <c r="D8" i="2"/>
  <c r="M8" i="1"/>
  <c r="M8" i="3"/>
  <c r="D8" i="3" s="1"/>
  <c r="E8" i="3" s="1"/>
  <c r="D8" i="5"/>
  <c r="E8" i="5" s="1"/>
  <c r="E7" i="2" l="1"/>
  <c r="E6" i="2"/>
  <c r="D7" i="1"/>
  <c r="E7" i="1" s="1"/>
  <c r="D6" i="1"/>
  <c r="E6" i="1" s="1"/>
  <c r="D7" i="3"/>
  <c r="E7" i="3" s="1"/>
  <c r="D6" i="3"/>
  <c r="E6" i="3" s="1"/>
  <c r="D7" i="5"/>
  <c r="D6" i="5"/>
  <c r="E7" i="5" l="1"/>
  <c r="E6" i="5"/>
  <c r="E7" i="10" l="1"/>
  <c r="E6" i="10"/>
  <c r="E6" i="9"/>
  <c r="E7" i="8"/>
  <c r="H7" i="8" s="1"/>
  <c r="H8" i="8" s="1"/>
  <c r="H9" i="8" s="1"/>
  <c r="E6" i="8"/>
  <c r="I6" i="7"/>
  <c r="E7" i="7"/>
  <c r="H7" i="7" s="1"/>
  <c r="E6" i="7"/>
  <c r="E7" i="6"/>
  <c r="H7" i="6" s="1"/>
  <c r="E6" i="6"/>
  <c r="I6" i="6"/>
  <c r="H7" i="3"/>
  <c r="H8" i="3" s="1"/>
  <c r="H9" i="3" s="1"/>
  <c r="G7" i="3"/>
  <c r="J6" i="3"/>
  <c r="L6" i="3" s="1"/>
  <c r="I6" i="3"/>
  <c r="H7" i="2"/>
  <c r="H8" i="2" s="1"/>
  <c r="H9" i="2" s="1"/>
  <c r="H10" i="2" s="1"/>
  <c r="G7" i="2"/>
  <c r="J6" i="2"/>
  <c r="L6" i="2" s="1"/>
  <c r="I6" i="2"/>
  <c r="F19" i="5"/>
  <c r="F18" i="5"/>
  <c r="F17" i="5"/>
  <c r="F16" i="5"/>
  <c r="F15" i="5"/>
  <c r="F13" i="5"/>
  <c r="F12" i="5"/>
  <c r="F11" i="5"/>
  <c r="H7" i="5"/>
  <c r="H8" i="5" s="1"/>
  <c r="H9" i="5" s="1"/>
  <c r="H10" i="5" s="1"/>
  <c r="H11" i="5" s="1"/>
  <c r="G7" i="5"/>
  <c r="J6" i="5"/>
  <c r="K6" i="5" s="1"/>
  <c r="I6" i="5"/>
  <c r="G7" i="6"/>
  <c r="G8" i="6" s="1"/>
  <c r="J6" i="6"/>
  <c r="L6" i="6" s="1"/>
  <c r="G7" i="7"/>
  <c r="G8" i="7" s="1"/>
  <c r="J6" i="7"/>
  <c r="L6" i="7" s="1"/>
  <c r="G7" i="8"/>
  <c r="G8" i="8" s="1"/>
  <c r="J6" i="8"/>
  <c r="L6" i="8" s="1"/>
  <c r="I6" i="8"/>
  <c r="J6" i="9"/>
  <c r="L6" i="9" s="1"/>
  <c r="I6" i="9"/>
  <c r="H7" i="10"/>
  <c r="H8" i="10" s="1"/>
  <c r="H9" i="10" s="1"/>
  <c r="H10" i="10" s="1"/>
  <c r="H11" i="10" s="1"/>
  <c r="G7" i="10"/>
  <c r="J6" i="10"/>
  <c r="K6" i="10" s="1"/>
  <c r="I6" i="10"/>
  <c r="I6" i="1"/>
  <c r="G8" i="3" l="1"/>
  <c r="G9" i="3" s="1"/>
  <c r="I7" i="2"/>
  <c r="I7" i="3"/>
  <c r="L6" i="5"/>
  <c r="L6" i="10"/>
  <c r="I7" i="8"/>
  <c r="K6" i="8"/>
  <c r="I7" i="7"/>
  <c r="H8" i="7"/>
  <c r="H9" i="7" s="1"/>
  <c r="H10" i="7" s="1"/>
  <c r="K6" i="7"/>
  <c r="K6" i="6"/>
  <c r="H10" i="3"/>
  <c r="J7" i="3"/>
  <c r="K6" i="3"/>
  <c r="J7" i="2"/>
  <c r="G8" i="2"/>
  <c r="I8" i="2" s="1"/>
  <c r="H11" i="2"/>
  <c r="K6" i="2"/>
  <c r="G8" i="5"/>
  <c r="J7" i="5"/>
  <c r="I7" i="5"/>
  <c r="H12" i="5"/>
  <c r="J7" i="6"/>
  <c r="I7" i="6"/>
  <c r="G9" i="7"/>
  <c r="J8" i="7"/>
  <c r="J7" i="7"/>
  <c r="G9" i="8"/>
  <c r="J8" i="8"/>
  <c r="H10" i="8"/>
  <c r="I8" i="8"/>
  <c r="J7" i="8"/>
  <c r="K6" i="9"/>
  <c r="I7" i="10"/>
  <c r="G8" i="10"/>
  <c r="I8" i="10" s="1"/>
  <c r="J7" i="10"/>
  <c r="H12" i="10"/>
  <c r="I8" i="3" l="1"/>
  <c r="J8" i="3"/>
  <c r="L8" i="3" s="1"/>
  <c r="I8" i="7"/>
  <c r="J9" i="3"/>
  <c r="G10" i="3"/>
  <c r="I10" i="3" s="1"/>
  <c r="H11" i="3"/>
  <c r="K7" i="3"/>
  <c r="L7" i="3"/>
  <c r="I9" i="3"/>
  <c r="L7" i="2"/>
  <c r="K7" i="2"/>
  <c r="J8" i="2"/>
  <c r="J8" i="5"/>
  <c r="G9" i="5"/>
  <c r="I8" i="5"/>
  <c r="L7" i="5"/>
  <c r="K7" i="5"/>
  <c r="H13" i="5"/>
  <c r="L7" i="6"/>
  <c r="K7" i="6"/>
  <c r="G10" i="7"/>
  <c r="J9" i="7"/>
  <c r="L7" i="7"/>
  <c r="K7" i="7"/>
  <c r="I9" i="7"/>
  <c r="H11" i="7"/>
  <c r="L8" i="7"/>
  <c r="K8" i="7"/>
  <c r="G10" i="8"/>
  <c r="I10" i="8" s="1"/>
  <c r="J9" i="8"/>
  <c r="L7" i="8"/>
  <c r="K7" i="8"/>
  <c r="H11" i="8"/>
  <c r="I9" i="8"/>
  <c r="L8" i="8"/>
  <c r="K8" i="8"/>
  <c r="J8" i="10"/>
  <c r="G9" i="10"/>
  <c r="J9" i="10" s="1"/>
  <c r="H13" i="10"/>
  <c r="L7" i="10"/>
  <c r="K7" i="10"/>
  <c r="K8" i="3" l="1"/>
  <c r="H12" i="3"/>
  <c r="G11" i="3"/>
  <c r="J10" i="3"/>
  <c r="L9" i="3"/>
  <c r="K9" i="3"/>
  <c r="L8" i="2"/>
  <c r="K8" i="2"/>
  <c r="G10" i="2"/>
  <c r="J9" i="2"/>
  <c r="I9" i="2"/>
  <c r="H13" i="2"/>
  <c r="H14" i="5"/>
  <c r="G10" i="5"/>
  <c r="J9" i="5"/>
  <c r="I9" i="5"/>
  <c r="L8" i="5"/>
  <c r="K8" i="5"/>
  <c r="J10" i="7"/>
  <c r="G11" i="7"/>
  <c r="I11" i="7" s="1"/>
  <c r="H12" i="7"/>
  <c r="I10" i="7"/>
  <c r="L9" i="7"/>
  <c r="K9" i="7"/>
  <c r="H12" i="8"/>
  <c r="J10" i="8"/>
  <c r="G11" i="8"/>
  <c r="L9" i="8"/>
  <c r="K9" i="8"/>
  <c r="H14" i="10"/>
  <c r="G10" i="10"/>
  <c r="I9" i="10"/>
  <c r="L8" i="10"/>
  <c r="K8" i="10"/>
  <c r="K10" i="3" l="1"/>
  <c r="L10" i="3"/>
  <c r="J11" i="3"/>
  <c r="G12" i="3"/>
  <c r="I11" i="3"/>
  <c r="G11" i="2"/>
  <c r="J10" i="2"/>
  <c r="I10" i="2"/>
  <c r="H14" i="2"/>
  <c r="L9" i="2"/>
  <c r="K9" i="2"/>
  <c r="G11" i="5"/>
  <c r="J10" i="5"/>
  <c r="I10" i="5"/>
  <c r="L9" i="5"/>
  <c r="K9" i="5"/>
  <c r="H15" i="5"/>
  <c r="H13" i="7"/>
  <c r="L10" i="7"/>
  <c r="K10" i="7"/>
  <c r="J11" i="7"/>
  <c r="G12" i="7"/>
  <c r="I12" i="7" s="1"/>
  <c r="J11" i="8"/>
  <c r="G12" i="8"/>
  <c r="L10" i="8"/>
  <c r="K10" i="8"/>
  <c r="H13" i="8"/>
  <c r="I11" i="8"/>
  <c r="L9" i="10"/>
  <c r="K9" i="10"/>
  <c r="J10" i="10"/>
  <c r="G11" i="10"/>
  <c r="I10" i="10"/>
  <c r="H15" i="10"/>
  <c r="I12" i="8" l="1"/>
  <c r="G13" i="8"/>
  <c r="I13" i="8" s="1"/>
  <c r="J12" i="3"/>
  <c r="G13" i="3"/>
  <c r="K11" i="3"/>
  <c r="L11" i="3"/>
  <c r="I12" i="3"/>
  <c r="H15" i="2"/>
  <c r="L10" i="2"/>
  <c r="K10" i="2"/>
  <c r="G12" i="2"/>
  <c r="I12" i="2" s="1"/>
  <c r="J11" i="2"/>
  <c r="I11" i="2"/>
  <c r="G12" i="5"/>
  <c r="J11" i="5"/>
  <c r="I11" i="5"/>
  <c r="L10" i="5"/>
  <c r="K10" i="5"/>
  <c r="H16" i="5"/>
  <c r="H14" i="7"/>
  <c r="J12" i="7"/>
  <c r="G13" i="7"/>
  <c r="I13" i="7" s="1"/>
  <c r="K11" i="7"/>
  <c r="L11" i="7"/>
  <c r="J12" i="8"/>
  <c r="H14" i="8"/>
  <c r="L11" i="8"/>
  <c r="K11" i="8"/>
  <c r="J11" i="10"/>
  <c r="G12" i="10"/>
  <c r="I11" i="10"/>
  <c r="H16" i="10"/>
  <c r="L10" i="10"/>
  <c r="K10" i="10"/>
  <c r="K12" i="3" l="1"/>
  <c r="L12" i="3"/>
  <c r="G14" i="3"/>
  <c r="H16" i="2"/>
  <c r="K11" i="2"/>
  <c r="L11" i="2"/>
  <c r="G13" i="2"/>
  <c r="L11" i="5"/>
  <c r="K11" i="5"/>
  <c r="H17" i="5"/>
  <c r="J12" i="5"/>
  <c r="G13" i="5"/>
  <c r="I12" i="5"/>
  <c r="H15" i="7"/>
  <c r="J13" i="7"/>
  <c r="G14" i="7"/>
  <c r="G15" i="7" s="1"/>
  <c r="K12" i="7"/>
  <c r="L12" i="7"/>
  <c r="J13" i="8"/>
  <c r="G14" i="8"/>
  <c r="I14" i="8" s="1"/>
  <c r="H15" i="8"/>
  <c r="K12" i="8"/>
  <c r="L12" i="8"/>
  <c r="H17" i="10"/>
  <c r="J12" i="10"/>
  <c r="G13" i="10"/>
  <c r="I12" i="10"/>
  <c r="K11" i="10"/>
  <c r="L11" i="10"/>
  <c r="G15" i="3" l="1"/>
  <c r="J14" i="3"/>
  <c r="H17" i="2"/>
  <c r="J13" i="2"/>
  <c r="G14" i="2"/>
  <c r="I13" i="2"/>
  <c r="L12" i="2"/>
  <c r="J13" i="5"/>
  <c r="G14" i="5"/>
  <c r="I13" i="5"/>
  <c r="K12" i="5"/>
  <c r="L12" i="5"/>
  <c r="H18" i="5"/>
  <c r="L13" i="7"/>
  <c r="K13" i="7"/>
  <c r="I15" i="7"/>
  <c r="J14" i="7"/>
  <c r="H16" i="7"/>
  <c r="I14" i="7"/>
  <c r="H16" i="8"/>
  <c r="G15" i="8"/>
  <c r="J14" i="8"/>
  <c r="L13" i="8"/>
  <c r="K13" i="8"/>
  <c r="J13" i="10"/>
  <c r="G14" i="10"/>
  <c r="J14" i="10" s="1"/>
  <c r="I13" i="10"/>
  <c r="L12" i="10"/>
  <c r="K12" i="10"/>
  <c r="H18" i="10"/>
  <c r="J15" i="3" l="1"/>
  <c r="J14" i="2"/>
  <c r="G15" i="2"/>
  <c r="I14" i="2"/>
  <c r="H18" i="2"/>
  <c r="K13" i="2"/>
  <c r="L13" i="2"/>
  <c r="L13" i="5"/>
  <c r="K13" i="5"/>
  <c r="H19" i="5"/>
  <c r="J14" i="5"/>
  <c r="G15" i="5"/>
  <c r="I14" i="5"/>
  <c r="L14" i="7"/>
  <c r="K14" i="7"/>
  <c r="H17" i="7"/>
  <c r="J15" i="7"/>
  <c r="G16" i="8"/>
  <c r="I16" i="8" s="1"/>
  <c r="J15" i="8"/>
  <c r="L14" i="8"/>
  <c r="K14" i="8"/>
  <c r="I15" i="8"/>
  <c r="H17" i="8"/>
  <c r="G15" i="10"/>
  <c r="I14" i="10"/>
  <c r="H19" i="10"/>
  <c r="L13" i="10"/>
  <c r="K13" i="10"/>
  <c r="J16" i="3" l="1"/>
  <c r="L14" i="2"/>
  <c r="K14" i="2"/>
  <c r="H19" i="2"/>
  <c r="G16" i="2"/>
  <c r="J15" i="2"/>
  <c r="I15" i="2"/>
  <c r="J15" i="5"/>
  <c r="G16" i="5"/>
  <c r="I15" i="5"/>
  <c r="L14" i="5"/>
  <c r="K14" i="5"/>
  <c r="L15" i="7"/>
  <c r="K15" i="7"/>
  <c r="G17" i="7"/>
  <c r="I17" i="7" s="1"/>
  <c r="J16" i="7"/>
  <c r="I16" i="7"/>
  <c r="H18" i="7"/>
  <c r="H18" i="8"/>
  <c r="L15" i="8"/>
  <c r="K15" i="8"/>
  <c r="G17" i="8"/>
  <c r="I17" i="8" s="1"/>
  <c r="J16" i="8"/>
  <c r="L14" i="10"/>
  <c r="K14" i="10"/>
  <c r="J15" i="10"/>
  <c r="G16" i="10"/>
  <c r="I15" i="10"/>
  <c r="L15" i="2" l="1"/>
  <c r="K15" i="2"/>
  <c r="G17" i="2"/>
  <c r="J16" i="2"/>
  <c r="I16" i="2"/>
  <c r="G17" i="5"/>
  <c r="J16" i="5"/>
  <c r="I16" i="5"/>
  <c r="L15" i="5"/>
  <c r="K15" i="5"/>
  <c r="H19" i="7"/>
  <c r="H20" i="7" s="1"/>
  <c r="H21" i="7" s="1"/>
  <c r="H22" i="7" s="1"/>
  <c r="L16" i="7"/>
  <c r="K16" i="7"/>
  <c r="J17" i="7"/>
  <c r="G18" i="7"/>
  <c r="G18" i="8"/>
  <c r="J17" i="8"/>
  <c r="L16" i="8"/>
  <c r="K16" i="8"/>
  <c r="H19" i="8"/>
  <c r="J16" i="10"/>
  <c r="I16" i="10"/>
  <c r="L15" i="10"/>
  <c r="K15" i="10"/>
  <c r="I22" i="7" l="1"/>
  <c r="L22" i="7"/>
  <c r="K22" i="7"/>
  <c r="G18" i="2"/>
  <c r="J17" i="2"/>
  <c r="I17" i="2"/>
  <c r="L16" i="2"/>
  <c r="K16" i="2"/>
  <c r="G18" i="5"/>
  <c r="J17" i="5"/>
  <c r="I17" i="5"/>
  <c r="L16" i="5"/>
  <c r="K16" i="5"/>
  <c r="L17" i="7"/>
  <c r="K17" i="7"/>
  <c r="J18" i="7"/>
  <c r="G19" i="7"/>
  <c r="I18" i="7"/>
  <c r="J18" i="8"/>
  <c r="G19" i="8"/>
  <c r="J19" i="8" s="1"/>
  <c r="I18" i="8"/>
  <c r="L17" i="8"/>
  <c r="K17" i="8"/>
  <c r="J17" i="10"/>
  <c r="G18" i="10"/>
  <c r="I17" i="10"/>
  <c r="L16" i="10"/>
  <c r="K16" i="10"/>
  <c r="J19" i="7" l="1"/>
  <c r="G20" i="7"/>
  <c r="L17" i="2"/>
  <c r="K17" i="2"/>
  <c r="G19" i="2"/>
  <c r="J18" i="2"/>
  <c r="I18" i="2"/>
  <c r="K17" i="5"/>
  <c r="L17" i="5"/>
  <c r="J18" i="5"/>
  <c r="G19" i="5"/>
  <c r="I18" i="5"/>
  <c r="I19" i="7"/>
  <c r="L18" i="7"/>
  <c r="K18" i="7"/>
  <c r="K19" i="7"/>
  <c r="L19" i="7"/>
  <c r="L18" i="8"/>
  <c r="K18" i="8"/>
  <c r="I19" i="8"/>
  <c r="K19" i="8"/>
  <c r="L19" i="8"/>
  <c r="G19" i="10"/>
  <c r="G20" i="10" s="1"/>
  <c r="J18" i="10"/>
  <c r="I18" i="10"/>
  <c r="L17" i="10"/>
  <c r="K17" i="10"/>
  <c r="G21" i="10" l="1"/>
  <c r="I20" i="10"/>
  <c r="J20" i="10"/>
  <c r="G21" i="7"/>
  <c r="I20" i="7"/>
  <c r="J20" i="7"/>
  <c r="J19" i="2"/>
  <c r="I19" i="2"/>
  <c r="K18" i="2"/>
  <c r="L18" i="2"/>
  <c r="J19" i="5"/>
  <c r="I19" i="5"/>
  <c r="K18" i="5"/>
  <c r="L18" i="5"/>
  <c r="K18" i="10"/>
  <c r="L18" i="10"/>
  <c r="J19" i="10"/>
  <c r="I19" i="10"/>
  <c r="L20" i="10" l="1"/>
  <c r="K20" i="10"/>
  <c r="G22" i="10"/>
  <c r="I21" i="10"/>
  <c r="J21" i="10"/>
  <c r="K20" i="7"/>
  <c r="L20" i="7"/>
  <c r="I21" i="7"/>
  <c r="J21" i="7"/>
  <c r="K19" i="2"/>
  <c r="K19" i="5"/>
  <c r="L19" i="5"/>
  <c r="L19" i="10"/>
  <c r="K19" i="10"/>
  <c r="G23" i="10" l="1"/>
  <c r="I22" i="10"/>
  <c r="J22" i="10"/>
  <c r="K21" i="10"/>
  <c r="L21" i="10"/>
  <c r="K21" i="7"/>
  <c r="L21" i="7"/>
  <c r="J6" i="1"/>
  <c r="K6" i="1" s="1"/>
  <c r="G7" i="1"/>
  <c r="H7" i="1"/>
  <c r="I5" i="13" l="1"/>
  <c r="I15" i="13" s="1"/>
  <c r="J23" i="10"/>
  <c r="I23" i="10"/>
  <c r="K22" i="10"/>
  <c r="L22" i="10"/>
  <c r="I7" i="1"/>
  <c r="H8" i="1"/>
  <c r="I8" i="1" s="1"/>
  <c r="J7" i="1"/>
  <c r="K7" i="1" s="1"/>
  <c r="G8" i="1"/>
  <c r="L6" i="1"/>
  <c r="G9" i="1" l="1"/>
  <c r="G10" i="1" s="1"/>
  <c r="J8" i="1"/>
  <c r="L23" i="10"/>
  <c r="K23" i="10"/>
  <c r="H9" i="1"/>
  <c r="H10" i="1" s="1"/>
  <c r="H11" i="1" s="1"/>
  <c r="L7" i="1"/>
  <c r="H12" i="1" l="1"/>
  <c r="H13" i="1" s="1"/>
  <c r="H14" i="1" s="1"/>
  <c r="H15" i="1" s="1"/>
  <c r="H16" i="1" s="1"/>
  <c r="H17" i="1" s="1"/>
  <c r="H18" i="1" s="1"/>
  <c r="G11" i="1"/>
  <c r="J11" i="1" s="1"/>
  <c r="K11" i="1" s="1"/>
  <c r="J10" i="1"/>
  <c r="I10" i="1"/>
  <c r="K8" i="1"/>
  <c r="L8" i="1"/>
  <c r="J9" i="1"/>
  <c r="I9" i="1"/>
  <c r="H19" i="1" l="1"/>
  <c r="H20" i="1" s="1"/>
  <c r="K10" i="1"/>
  <c r="L10" i="1"/>
  <c r="G12" i="1"/>
  <c r="I11" i="1"/>
  <c r="L9" i="1"/>
  <c r="K9" i="1"/>
  <c r="H21" i="1" l="1"/>
  <c r="I12" i="1"/>
  <c r="G13" i="1"/>
  <c r="J12" i="1"/>
  <c r="L11" i="1"/>
  <c r="H22" i="1" l="1"/>
  <c r="H23" i="1" s="1"/>
  <c r="K12" i="1"/>
  <c r="L12" i="1"/>
  <c r="I13" i="1"/>
  <c r="G14" i="1"/>
  <c r="G15" i="1" s="1"/>
  <c r="J13" i="1"/>
  <c r="G16" i="1" l="1"/>
  <c r="J15" i="1"/>
  <c r="I15" i="1"/>
  <c r="I14" i="1"/>
  <c r="J14" i="1"/>
  <c r="K13" i="1"/>
  <c r="L13" i="1"/>
  <c r="L15" i="1" l="1"/>
  <c r="K15" i="1"/>
  <c r="G17" i="1"/>
  <c r="J16" i="1"/>
  <c r="I16" i="1"/>
  <c r="K14" i="1"/>
  <c r="L14" i="1"/>
  <c r="H8" i="6"/>
  <c r="L16" i="1" l="1"/>
  <c r="K16" i="1"/>
  <c r="J17" i="1"/>
  <c r="I17" i="1"/>
  <c r="G9" i="6"/>
  <c r="J8" i="6"/>
  <c r="I8" i="6"/>
  <c r="H9" i="6"/>
  <c r="K17" i="1" l="1"/>
  <c r="L17" i="1"/>
  <c r="L8" i="6"/>
  <c r="K8" i="6"/>
  <c r="J9" i="6"/>
  <c r="G10" i="6"/>
  <c r="H10" i="6"/>
  <c r="I9" i="6"/>
  <c r="I10" i="6" l="1"/>
  <c r="H11" i="6"/>
  <c r="G11" i="6"/>
  <c r="J10" i="6"/>
  <c r="L9" i="6"/>
  <c r="K9" i="6"/>
  <c r="L10" i="6" l="1"/>
  <c r="K10" i="6"/>
  <c r="J11" i="6"/>
  <c r="G12" i="6"/>
  <c r="I11" i="6"/>
  <c r="H12" i="6"/>
  <c r="H13" i="6" l="1"/>
  <c r="I12" i="6"/>
  <c r="J12" i="6"/>
  <c r="G13" i="6"/>
  <c r="L11" i="6"/>
  <c r="K11" i="6"/>
  <c r="H14" i="6" l="1"/>
  <c r="I13" i="6"/>
  <c r="G14" i="6"/>
  <c r="J13" i="6"/>
  <c r="L12" i="6"/>
  <c r="K12" i="6"/>
  <c r="L13" i="6" l="1"/>
  <c r="K13" i="6"/>
  <c r="J14" i="6"/>
  <c r="G15" i="6"/>
  <c r="H15" i="6"/>
  <c r="I14" i="6"/>
  <c r="I15" i="6" l="1"/>
  <c r="H16" i="6"/>
  <c r="J15" i="6"/>
  <c r="G16" i="6"/>
  <c r="K14" i="6"/>
  <c r="L14" i="6"/>
  <c r="J16" i="6" l="1"/>
  <c r="G17" i="6"/>
  <c r="K15" i="6"/>
  <c r="L15" i="6"/>
  <c r="H17" i="6"/>
  <c r="I16" i="6"/>
  <c r="I17" i="6" l="1"/>
  <c r="H18" i="6"/>
  <c r="G18" i="6"/>
  <c r="J17" i="6"/>
  <c r="L16" i="6"/>
  <c r="K16" i="6"/>
  <c r="L17" i="6" l="1"/>
  <c r="K17" i="6"/>
  <c r="G19" i="6"/>
  <c r="J18" i="6"/>
  <c r="I18" i="6"/>
  <c r="H19" i="6"/>
  <c r="H20" i="6" s="1"/>
  <c r="J19" i="6" l="1"/>
  <c r="K19" i="6" s="1"/>
  <c r="G20" i="6"/>
  <c r="J20" i="6" s="1"/>
  <c r="I19" i="6"/>
  <c r="K18" i="6"/>
  <c r="L18" i="6"/>
  <c r="L19" i="6"/>
  <c r="G7" i="9"/>
  <c r="J7" i="9" s="1"/>
  <c r="E7" i="9"/>
  <c r="H7" i="9" s="1"/>
  <c r="K20" i="6" l="1"/>
  <c r="L20" i="6"/>
  <c r="I20" i="6"/>
  <c r="G8" i="9"/>
  <c r="G9" i="9" s="1"/>
  <c r="G10" i="9"/>
  <c r="J9" i="9"/>
  <c r="I7" i="9"/>
  <c r="H8" i="9"/>
  <c r="L7" i="9"/>
  <c r="K7" i="9"/>
  <c r="J8" i="9"/>
  <c r="K8" i="9" l="1"/>
  <c r="L8" i="9"/>
  <c r="I8" i="9"/>
  <c r="H9" i="9"/>
  <c r="K9" i="9" s="1"/>
  <c r="G11" i="9"/>
  <c r="J10" i="9"/>
  <c r="J11" i="9" l="1"/>
  <c r="G12" i="9"/>
  <c r="H10" i="9"/>
  <c r="I9" i="9"/>
  <c r="L9" i="9"/>
  <c r="H11" i="9" l="1"/>
  <c r="K11" i="9" s="1"/>
  <c r="I10" i="9"/>
  <c r="K10" i="9"/>
  <c r="L10" i="9"/>
  <c r="G13" i="9"/>
  <c r="J12" i="9"/>
  <c r="L11" i="9" l="1"/>
  <c r="J13" i="9"/>
  <c r="G14" i="9"/>
  <c r="H12" i="9"/>
  <c r="I11" i="9"/>
  <c r="I12" i="9" l="1"/>
  <c r="H13" i="9"/>
  <c r="L13" i="9" s="1"/>
  <c r="J14" i="9"/>
  <c r="G15" i="9"/>
  <c r="K12" i="9"/>
  <c r="L12" i="9"/>
  <c r="K13" i="9" l="1"/>
  <c r="J15" i="9"/>
  <c r="H14" i="9"/>
  <c r="L14" i="9" s="1"/>
  <c r="I13" i="9"/>
  <c r="I14" i="9" l="1"/>
  <c r="H15" i="9"/>
  <c r="L15" i="9" s="1"/>
  <c r="K14" i="9"/>
  <c r="G17" i="9"/>
  <c r="J16" i="9"/>
  <c r="G18" i="9" l="1"/>
  <c r="J17" i="9"/>
  <c r="H16" i="9"/>
  <c r="K16" i="9" s="1"/>
  <c r="I15" i="9"/>
  <c r="K15" i="9"/>
  <c r="I16" i="9" l="1"/>
  <c r="H17" i="9"/>
  <c r="K17" i="9" s="1"/>
  <c r="L16" i="9"/>
  <c r="G19" i="9"/>
  <c r="J19" i="9" s="1"/>
  <c r="J18" i="9"/>
  <c r="L17" i="9" l="1"/>
  <c r="H18" i="9"/>
  <c r="I17" i="9"/>
  <c r="H19" i="9" l="1"/>
  <c r="H20" i="9" s="1"/>
  <c r="I18" i="9"/>
  <c r="L18" i="9"/>
  <c r="K18" i="9"/>
  <c r="H21" i="9" l="1"/>
  <c r="I20" i="9"/>
  <c r="K20" i="9"/>
  <c r="L20" i="9"/>
  <c r="I19" i="9"/>
  <c r="L19" i="9"/>
  <c r="K19" i="9"/>
  <c r="H22" i="9" l="1"/>
  <c r="I21" i="9"/>
  <c r="L21" i="9"/>
  <c r="K21" i="9"/>
  <c r="G17" i="3"/>
  <c r="G18" i="3" s="1"/>
  <c r="L22" i="9" l="1"/>
  <c r="I22" i="9"/>
  <c r="K22" i="9"/>
  <c r="G19" i="3"/>
  <c r="J18" i="3"/>
  <c r="J17" i="3"/>
  <c r="J19" i="3" l="1"/>
  <c r="J13" i="3"/>
  <c r="H13" i="3"/>
  <c r="H14" i="3" s="1"/>
  <c r="K13" i="3" l="1"/>
  <c r="L13" i="3"/>
  <c r="H15" i="3"/>
  <c r="L14" i="3"/>
  <c r="K14" i="3"/>
  <c r="I14" i="3"/>
  <c r="I13" i="3"/>
  <c r="L15" i="3" l="1"/>
  <c r="K15" i="3"/>
  <c r="H16" i="3"/>
  <c r="I15" i="3"/>
  <c r="H17" i="3" l="1"/>
  <c r="K16" i="3"/>
  <c r="I16" i="3"/>
  <c r="L16" i="3"/>
  <c r="H18" i="3" l="1"/>
  <c r="K17" i="3"/>
  <c r="L17" i="3"/>
  <c r="I17" i="3"/>
  <c r="I18" i="3" l="1"/>
  <c r="K18" i="3"/>
  <c r="L18" i="3"/>
  <c r="H19" i="3"/>
  <c r="K19" i="3" l="1"/>
  <c r="L19" i="3"/>
  <c r="I19" i="3"/>
  <c r="G18" i="1" l="1"/>
  <c r="J18" i="1" s="1"/>
  <c r="L18" i="1" l="1"/>
  <c r="K18" i="1"/>
  <c r="G19" i="1"/>
  <c r="G20" i="1" s="1"/>
  <c r="I18" i="1"/>
  <c r="G21" i="1" l="1"/>
  <c r="J20" i="1"/>
  <c r="I20" i="1"/>
  <c r="I19" i="1"/>
  <c r="J19" i="1"/>
  <c r="L20" i="1" l="1"/>
  <c r="K20" i="1"/>
  <c r="G22" i="1"/>
  <c r="J21" i="1"/>
  <c r="I21" i="1"/>
  <c r="K19" i="1"/>
  <c r="L19" i="1"/>
  <c r="K21" i="1" l="1"/>
  <c r="L21" i="1"/>
  <c r="G23" i="1"/>
  <c r="J22" i="1"/>
  <c r="I22" i="1"/>
  <c r="L6" i="20"/>
  <c r="K6" i="20"/>
  <c r="I6" i="20"/>
  <c r="H7" i="20"/>
  <c r="L7" i="20" s="1"/>
  <c r="K22" i="1" l="1"/>
  <c r="L22" i="1"/>
  <c r="I23" i="1"/>
  <c r="J23" i="1"/>
  <c r="H8" i="20"/>
  <c r="K8" i="20" s="1"/>
  <c r="I8" i="20"/>
  <c r="L8" i="20"/>
  <c r="K7" i="20"/>
  <c r="I7" i="20"/>
  <c r="K23" i="1" l="1"/>
  <c r="L23" i="1"/>
  <c r="H9" i="20"/>
  <c r="L9" i="20" s="1"/>
  <c r="H10" i="20" l="1"/>
  <c r="K9" i="20"/>
  <c r="I9" i="20"/>
  <c r="I10" i="20" l="1"/>
  <c r="H11" i="20"/>
  <c r="L10" i="20"/>
  <c r="K10" i="20"/>
  <c r="K11" i="20" l="1"/>
  <c r="L11" i="20"/>
  <c r="H12" i="20"/>
  <c r="I11" i="20"/>
  <c r="H13" i="20" l="1"/>
  <c r="L12" i="20"/>
  <c r="I12" i="20"/>
  <c r="K12" i="20"/>
  <c r="L13" i="20" l="1"/>
  <c r="K13" i="20"/>
  <c r="H14" i="20"/>
  <c r="I13" i="20"/>
  <c r="H15" i="20" l="1"/>
  <c r="I14" i="20"/>
  <c r="K14" i="20"/>
  <c r="L14" i="20"/>
  <c r="L15" i="20" l="1"/>
  <c r="H16" i="20"/>
  <c r="K15" i="20"/>
  <c r="I15" i="20"/>
  <c r="K16" i="20" l="1"/>
  <c r="I16" i="20"/>
  <c r="H17" i="20"/>
  <c r="L16" i="20"/>
  <c r="I17" i="20" l="1"/>
  <c r="K17" i="20"/>
  <c r="H18" i="20"/>
  <c r="L17" i="20"/>
  <c r="L18" i="20" l="1"/>
  <c r="I18" i="20"/>
  <c r="K18" i="20"/>
  <c r="H19" i="20"/>
</calcChain>
</file>

<file path=xl/sharedStrings.xml><?xml version="1.0" encoding="utf-8"?>
<sst xmlns="http://schemas.openxmlformats.org/spreadsheetml/2006/main" count="434" uniqueCount="121">
  <si>
    <t>تاریخ</t>
  </si>
  <si>
    <t>دوره</t>
  </si>
  <si>
    <t>قیمت خرید</t>
  </si>
  <si>
    <t>مقدار سرمایه گذاری در دوره</t>
  </si>
  <si>
    <t>تعداد خرید سهم</t>
  </si>
  <si>
    <t>کل تعداد خرید سهم</t>
  </si>
  <si>
    <t>کل سرمایه گذاری</t>
  </si>
  <si>
    <t>میانگین قیمت تمام شده برای هر سهم</t>
  </si>
  <si>
    <t>کل سرمایه</t>
  </si>
  <si>
    <t>سود/ضرر</t>
  </si>
  <si>
    <t>درصد سود/ضرر</t>
  </si>
  <si>
    <t>date</t>
  </si>
  <si>
    <t>Shares price</t>
  </si>
  <si>
    <t>Shares invesment</t>
  </si>
  <si>
    <t>Shares  bought</t>
  </si>
  <si>
    <t>Shares owned</t>
  </si>
  <si>
    <t>shares cost</t>
  </si>
  <si>
    <t>Avarges per Shares</t>
  </si>
  <si>
    <t>Total value</t>
  </si>
  <si>
    <t>Porofit/Loss</t>
  </si>
  <si>
    <t>Pofit%</t>
  </si>
  <si>
    <t>1400/02/05</t>
  </si>
  <si>
    <t xml:space="preserve">1400/01/10 </t>
  </si>
  <si>
    <t>کل سرمایه گذاری (ریال)</t>
  </si>
  <si>
    <t>قیمت دلار</t>
  </si>
  <si>
    <t>270586</t>
  </si>
  <si>
    <t>dolar</t>
  </si>
  <si>
    <t>Column1</t>
  </si>
  <si>
    <t>1400/03/05</t>
  </si>
  <si>
    <t>افزایش سرمایه به مقدار 50 درصد</t>
  </si>
  <si>
    <t>1400/03/22</t>
  </si>
  <si>
    <t>مقدار سهام جایزه 184عدد</t>
  </si>
  <si>
    <t>1400/04/05</t>
  </si>
  <si>
    <t>0.001783</t>
  </si>
  <si>
    <t>0.031119</t>
  </si>
  <si>
    <t>0.03128</t>
  </si>
  <si>
    <t>‌کچاد</t>
  </si>
  <si>
    <t>شستا</t>
  </si>
  <si>
    <t>فملی</t>
  </si>
  <si>
    <t>آریا</t>
  </si>
  <si>
    <t>فروی</t>
  </si>
  <si>
    <t>AUD</t>
  </si>
  <si>
    <t>USDT</t>
  </si>
  <si>
    <t>ETH</t>
  </si>
  <si>
    <t>BTC</t>
  </si>
  <si>
    <t>نام سهم</t>
  </si>
  <si>
    <t>ارزش هر سهم</t>
  </si>
  <si>
    <t>باقی مانده صندوق</t>
  </si>
  <si>
    <t>کل واریزی صندوق</t>
  </si>
  <si>
    <t>ارزش صندوق</t>
  </si>
  <si>
    <t>نت صندوق</t>
  </si>
  <si>
    <t>آخرین قیمت (ریال)</t>
  </si>
  <si>
    <t xml:space="preserve">ماه </t>
  </si>
  <si>
    <t>فروردین</t>
  </si>
  <si>
    <t>اردیبهشت</t>
  </si>
  <si>
    <t>خرداد</t>
  </si>
  <si>
    <t xml:space="preserve">تیر </t>
  </si>
  <si>
    <t>مرداد</t>
  </si>
  <si>
    <t>شهریور</t>
  </si>
  <si>
    <t>مهر</t>
  </si>
  <si>
    <t>آبان</t>
  </si>
  <si>
    <t>آذر</t>
  </si>
  <si>
    <t xml:space="preserve">دی </t>
  </si>
  <si>
    <t>بهمن</t>
  </si>
  <si>
    <t>اسفند</t>
  </si>
  <si>
    <t>مقدار کل سهم خریداری</t>
  </si>
  <si>
    <t>سال</t>
  </si>
  <si>
    <t>تعداد سهام بعد از افزایش سرمایه</t>
  </si>
  <si>
    <t>ارزش سهام خریداری</t>
  </si>
  <si>
    <t xml:space="preserve">تعداد سهام خریداری </t>
  </si>
  <si>
    <t>total</t>
  </si>
  <si>
    <t>1400/05/05</t>
  </si>
  <si>
    <t>ریال</t>
  </si>
  <si>
    <t>1400/06/06</t>
  </si>
  <si>
    <t>28/8/2021</t>
  </si>
  <si>
    <t>1400/07/06</t>
  </si>
  <si>
    <t>29/9/2021</t>
  </si>
  <si>
    <t>1400/08/05</t>
  </si>
  <si>
    <t>27/10/2021</t>
  </si>
  <si>
    <t>1400/08/15</t>
  </si>
  <si>
    <t>1400/09/06</t>
  </si>
  <si>
    <t>28/11/2021</t>
  </si>
  <si>
    <t>تیر</t>
  </si>
  <si>
    <t>افزایش سرمایه 100 درصد در آذر 1400</t>
  </si>
  <si>
    <t>1400/09/16</t>
  </si>
  <si>
    <t>افزایش سرمایه</t>
  </si>
  <si>
    <t>priod</t>
  </si>
  <si>
    <t>1400/10/05</t>
  </si>
  <si>
    <t>26/12/2021</t>
  </si>
  <si>
    <t>مرچع: آخرین قیمت خرید</t>
  </si>
  <si>
    <t>1400/11/05</t>
  </si>
  <si>
    <t>1400/11/06</t>
  </si>
  <si>
    <t>افزایش سرمایه 50 درصد در دی 1400</t>
  </si>
  <si>
    <t>مرداد خرید انجام نشده است</t>
  </si>
  <si>
    <t>مجموع</t>
  </si>
  <si>
    <t>تعداد سهام جایزه</t>
  </si>
  <si>
    <t>27/1/2022</t>
  </si>
  <si>
    <t>انحراف از معیار</t>
  </si>
  <si>
    <t>کل سهام</t>
  </si>
  <si>
    <t>کل جایزه</t>
  </si>
  <si>
    <t>سهام صندوق</t>
  </si>
  <si>
    <t>سهام جایزه صندوق</t>
  </si>
  <si>
    <t>27/2/2022</t>
  </si>
  <si>
    <t>سهام جایزه</t>
  </si>
  <si>
    <t>1400/12/11</t>
  </si>
  <si>
    <t>جایزه صندوق</t>
  </si>
  <si>
    <t>1400/12/07</t>
  </si>
  <si>
    <t>خرید همزمان</t>
  </si>
  <si>
    <t>29/4/2022</t>
  </si>
  <si>
    <t>31/5/2022</t>
  </si>
  <si>
    <t>فزر</t>
  </si>
  <si>
    <t>1401/01/09</t>
  </si>
  <si>
    <t>1401/02/10</t>
  </si>
  <si>
    <t>1401/04/08</t>
  </si>
  <si>
    <t>1401/03/10</t>
  </si>
  <si>
    <t>1401/02/12</t>
  </si>
  <si>
    <t>1401/01/24</t>
  </si>
  <si>
    <t xml:space="preserve">1401/03/10 </t>
  </si>
  <si>
    <t>1401/05/09</t>
  </si>
  <si>
    <t>1401/06/12</t>
  </si>
  <si>
    <t>ارزش تنزیل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</si>
</sst>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22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Iran-sans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22" fontId="0" fillId="0" borderId="0" xfId="0" applyNumberFormat="1"/>
    <xf numFmtId="0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0" applyNumberFormat="1" applyFont="1" applyAlignment="1">
      <alignment horizontal="center"/>
    </xf>
    <xf numFmtId="0" fontId="5" fillId="3" borderId="0" xfId="0" applyFont="1" applyFill="1"/>
    <xf numFmtId="0" fontId="4" fillId="4" borderId="0" xfId="0" applyNumberFormat="1" applyFont="1" applyFill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0" fillId="0" borderId="0" xfId="0" applyAlignment="1"/>
    <xf numFmtId="22" fontId="6" fillId="0" borderId="3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0" xfId="0" applyFont="1"/>
    <xf numFmtId="0" fontId="9" fillId="3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8" borderId="0" xfId="0" applyFill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3" fillId="9" borderId="0" xfId="0" applyNumberFormat="1" applyFont="1" applyFill="1" applyBorder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3" fontId="3" fillId="9" borderId="0" xfId="0" applyNumberFormat="1" applyFont="1" applyFill="1" applyAlignment="1">
      <alignment horizontal="center"/>
    </xf>
    <xf numFmtId="0" fontId="0" fillId="3" borderId="0" xfId="0" applyFill="1"/>
    <xf numFmtId="0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0" fontId="4" fillId="10" borderId="0" xfId="0" applyNumberFormat="1" applyFont="1" applyFill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center"/>
    </xf>
    <xf numFmtId="3" fontId="0" fillId="0" borderId="0" xfId="0" applyNumberFormat="1"/>
    <xf numFmtId="3" fontId="14" fillId="0" borderId="0" xfId="0" applyNumberFormat="1" applyFont="1"/>
    <xf numFmtId="3" fontId="4" fillId="4" borderId="0" xfId="0" applyNumberFormat="1" applyFont="1" applyFill="1" applyAlignment="1">
      <alignment horizontal="center"/>
    </xf>
    <xf numFmtId="3" fontId="8" fillId="0" borderId="0" xfId="0" applyNumberFormat="1" applyFont="1" applyAlignment="1">
      <alignment horizontal="center"/>
    </xf>
    <xf numFmtId="0" fontId="13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2" fillId="6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5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4306924977487"/>
          <c:y val="2.220726900982763E-2"/>
          <c:w val="0.86366395732791479"/>
          <c:h val="0.83990212269381004"/>
        </c:manualLayout>
      </c:layout>
      <c:barChart>
        <c:barDir val="col"/>
        <c:grouping val="clustered"/>
        <c:varyColors val="0"/>
        <c:ser>
          <c:idx val="0"/>
          <c:order val="0"/>
          <c:tx>
            <c:v>مقدار سرمایه گذاری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صندوق'!$K$11:$K$22</c:f>
              <c:numCache>
                <c:formatCode>General</c:formatCode>
                <c:ptCount val="12"/>
                <c:pt idx="0">
                  <c:v>1466750000</c:v>
                </c:pt>
                <c:pt idx="1">
                  <c:v>1603550000</c:v>
                </c:pt>
                <c:pt idx="2">
                  <c:v>1756250000</c:v>
                </c:pt>
                <c:pt idx="3">
                  <c:v>1893550000</c:v>
                </c:pt>
                <c:pt idx="4">
                  <c:v>2027100000</c:v>
                </c:pt>
                <c:pt idx="5">
                  <c:v>2166300000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ارزش صندوق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صندوق'!$F$11:$F$23</c:f>
              <c:numCache>
                <c:formatCode>General</c:formatCode>
                <c:ptCount val="13"/>
                <c:pt idx="0">
                  <c:v>1562851318.3098493</c:v>
                </c:pt>
                <c:pt idx="1">
                  <c:v>1685656375.5797422</c:v>
                </c:pt>
                <c:pt idx="2">
                  <c:v>1751831161.5797422</c:v>
                </c:pt>
                <c:pt idx="3">
                  <c:v>1658034591.0821099</c:v>
                </c:pt>
                <c:pt idx="4">
                  <c:v>1780507616.5079899</c:v>
                </c:pt>
                <c:pt idx="5">
                  <c:v>1815744979.6588354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ارزش تنزیل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'نت صندوق'!$J$11:$J$16</c:f>
              <c:numCache>
                <c:formatCode>General</c:formatCode>
                <c:ptCount val="6"/>
                <c:pt idx="0">
                  <c:v>1308092890.1405201</c:v>
                </c:pt>
                <c:pt idx="1">
                  <c:v>1418602225.5200901</c:v>
                </c:pt>
                <c:pt idx="2">
                  <c:v>1529680174.2084301</c:v>
                </c:pt>
                <c:pt idx="3">
                  <c:v>1638937172.9182701</c:v>
                </c:pt>
                <c:pt idx="4">
                  <c:v>1751776368.3071201</c:v>
                </c:pt>
                <c:pt idx="5">
                  <c:v>1871443989.7434599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0171376"/>
        <c:axId val="-1195866128"/>
      </c:barChart>
      <c:catAx>
        <c:axId val="-120017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 i="0" baseline="0"/>
                  <a:t>سال 1401</a:t>
                </a:r>
                <a:endParaRPr lang="en-US" sz="14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-1195866128"/>
        <c:crossesAt val="0"/>
        <c:auto val="1"/>
        <c:lblAlgn val="ctr"/>
        <c:lblOffset val="100"/>
        <c:noMultiLvlLbl val="0"/>
      </c:catAx>
      <c:valAx>
        <c:axId val="-11958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600" b="1" i="0" baseline="0"/>
                  <a:t>میلیون ریال</a:t>
                </a:r>
                <a:endParaRPr lang="en-US" sz="16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171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6252638141639919"/>
          <c:y val="2.8933989091573277E-2"/>
          <c:w val="0.19084605260119614"/>
          <c:h val="0.1534399886308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سبد سرمایه گذاری (پرتفولیو)</a:t>
            </a:r>
            <a:endParaRPr lang="en-US"/>
          </a:p>
        </c:rich>
      </c:tx>
      <c:layout>
        <c:manualLayout>
          <c:xMode val="edge"/>
          <c:yMode val="edge"/>
          <c:x val="0.34571108596762651"/>
          <c:y val="1.413189846079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calulator!$F$5:$F$14</c:f>
              <c:strCache>
                <c:ptCount val="10"/>
                <c:pt idx="0">
                  <c:v>‌کچاد</c:v>
                </c:pt>
                <c:pt idx="1">
                  <c:v>شستا</c:v>
                </c:pt>
                <c:pt idx="2">
                  <c:v>فملی</c:v>
                </c:pt>
                <c:pt idx="3">
                  <c:v>آریا</c:v>
                </c:pt>
                <c:pt idx="4">
                  <c:v>فروی</c:v>
                </c:pt>
                <c:pt idx="5">
                  <c:v>فزر</c:v>
                </c:pt>
                <c:pt idx="6">
                  <c:v>AUD</c:v>
                </c:pt>
                <c:pt idx="7">
                  <c:v>USDT</c:v>
                </c:pt>
                <c:pt idx="8">
                  <c:v>ETH</c:v>
                </c:pt>
                <c:pt idx="9">
                  <c:v>BTC</c:v>
                </c:pt>
              </c:strCache>
            </c:strRef>
          </c:cat>
          <c:val>
            <c:numRef>
              <c:f>calulator!$I$5:$I$14</c:f>
              <c:numCache>
                <c:formatCode>General</c:formatCode>
                <c:ptCount val="10"/>
                <c:pt idx="0">
                  <c:v>195258580</c:v>
                </c:pt>
                <c:pt idx="1">
                  <c:v>194014640</c:v>
                </c:pt>
                <c:pt idx="2">
                  <c:v>176668800</c:v>
                </c:pt>
                <c:pt idx="3">
                  <c:v>216664650</c:v>
                </c:pt>
                <c:pt idx="4">
                  <c:v>124660800</c:v>
                </c:pt>
                <c:pt idx="5">
                  <c:v>33069950</c:v>
                </c:pt>
                <c:pt idx="6">
                  <c:v>75704394.975999996</c:v>
                </c:pt>
                <c:pt idx="7">
                  <c:v>312597047.33898139</c:v>
                </c:pt>
                <c:pt idx="8">
                  <c:v>205802264.27648467</c:v>
                </c:pt>
                <c:pt idx="9">
                  <c:v>264003853.06736931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05421756298065"/>
          <c:y val="0.2786381173704241"/>
          <c:w val="9.2215577158427042E-2"/>
          <c:h val="0.4164282604268850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سرمایه گذاری (درصد)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calulator!$F$5:$F$14</c:f>
              <c:strCache>
                <c:ptCount val="10"/>
                <c:pt idx="0">
                  <c:v>‌کچاد</c:v>
                </c:pt>
                <c:pt idx="1">
                  <c:v>شستا</c:v>
                </c:pt>
                <c:pt idx="2">
                  <c:v>فملی</c:v>
                </c:pt>
                <c:pt idx="3">
                  <c:v>آریا</c:v>
                </c:pt>
                <c:pt idx="4">
                  <c:v>فروی</c:v>
                </c:pt>
                <c:pt idx="5">
                  <c:v>فزر</c:v>
                </c:pt>
                <c:pt idx="6">
                  <c:v>AUD</c:v>
                </c:pt>
                <c:pt idx="7">
                  <c:v>USDT</c:v>
                </c:pt>
                <c:pt idx="8">
                  <c:v>ETH</c:v>
                </c:pt>
                <c:pt idx="9">
                  <c:v>BTC</c:v>
                </c:pt>
              </c:strCache>
            </c:strRef>
          </c:cat>
          <c:val>
            <c:numRef>
              <c:f>calulator!#REF!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C5:M23" totalsRowShown="0" headerRowDxfId="154" dataDxfId="152" headerRowBorderDxfId="153" tableBorderDxfId="151">
  <autoFilter ref="C5:M23"/>
  <tableColumns count="11">
    <tableColumn id="1" name="priod" dataDxfId="150"/>
    <tableColumn id="2" name="Shares price" dataDxfId="149"/>
    <tableColumn id="3" name="Shares invesment" dataDxfId="148"/>
    <tableColumn id="4" name="Shares  bought" dataDxfId="147">
      <calculatedColumnFormula>E6/D6</calculatedColumnFormula>
    </tableColumn>
    <tableColumn id="5" name="Shares owned" dataDxfId="146"/>
    <tableColumn id="6" name="shares cost" dataDxfId="145"/>
    <tableColumn id="7" name="Avarges per Shares" dataDxfId="144">
      <calculatedColumnFormula>H6/G6</calculatedColumnFormula>
    </tableColumn>
    <tableColumn id="8" name="Total value" dataDxfId="143">
      <calculatedColumnFormula>G6*D6</calculatedColumnFormula>
    </tableColumn>
    <tableColumn id="9" name="Porofit/Loss" dataDxfId="142">
      <calculatedColumnFormula>J6-H6</calculatedColumnFormula>
    </tableColumn>
    <tableColumn id="10" name="Pofit%" dataDxfId="141">
      <calculatedColumnFormula>100*(J6-H6)/H6</calculatedColumnFormula>
    </tableColumn>
    <tableColumn id="11" name="Column1" dataDxfId="140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10" name="Table111" displayName="Table111" ref="C5:M23" totalsRowShown="0" headerRowDxfId="25" dataDxfId="23" headerRowBorderDxfId="24" tableBorderDxfId="22">
  <autoFilter ref="C5:M23"/>
  <tableColumns count="11">
    <tableColumn id="1" name="priod" dataDxfId="21"/>
    <tableColumn id="2" name="Shares price" dataDxfId="20"/>
    <tableColumn id="3" name="Shares invesment" dataDxfId="19"/>
    <tableColumn id="4" name="Shares  bought" dataDxfId="18">
      <calculatedColumnFormula>E6/D6</calculatedColumnFormula>
    </tableColumn>
    <tableColumn id="5" name="Shares owned" dataDxfId="17"/>
    <tableColumn id="6" name="shares cost" dataDxfId="16"/>
    <tableColumn id="7" name="Avarges per Shares" dataDxfId="15">
      <calculatedColumnFormula>H6/G6</calculatedColumnFormula>
    </tableColumn>
    <tableColumn id="8" name="Total value" dataDxfId="14">
      <calculatedColumnFormula>G6*D6</calculatedColumnFormula>
    </tableColumn>
    <tableColumn id="9" name="Porofit/Loss" dataDxfId="13">
      <calculatedColumnFormula>J6-H6</calculatedColumnFormula>
    </tableColumn>
    <tableColumn id="10" name="Pofit%" dataDxfId="12">
      <calculatedColumnFormula>100*(J6-H6)/H6</calculatedColumnFormula>
    </tableColumn>
    <tableColumn id="11" name="Column1" dataDxfId="11">
      <calculatedColumnFormula>_xlfn.STDEV.S(D1:D6)</calculatedColumnFormula>
    </tableColumn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5" name="Table5" displayName="Table5" ref="D9:K22" totalsRowShown="0" headerRowDxfId="10" dataDxfId="8" headerRowBorderDxfId="9">
  <autoFilter ref="D9:K22"/>
  <tableColumns count="8">
    <tableColumn id="1" name="درصد سود/ضرر" dataDxfId="7"/>
    <tableColumn id="2" name="نت صندوق" dataDxfId="6"/>
    <tableColumn id="3" name="ارزش صندوق" dataDxfId="5"/>
    <tableColumn id="4" name="ارزش سهام خریداری" dataDxfId="4"/>
    <tableColumn id="5" name="باقی مانده صندوق" dataDxfId="3"/>
    <tableColumn id="6" name="مقدار کل سهم خریداری" dataDxfId="2"/>
    <tableColumn id="9" name="ارزش تنزیل شده" dataDxfId="1"/>
    <tableColumn id="7" name="کل واریزی صندوق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7" name="Table118" displayName="Table118" ref="C5:M23" totalsRowShown="0" headerRowDxfId="139" dataDxfId="137" headerRowBorderDxfId="138" tableBorderDxfId="136">
  <autoFilter ref="C5:M23"/>
  <tableColumns count="11">
    <tableColumn id="1" name="priod" dataDxfId="135"/>
    <tableColumn id="2" name="Shares price" dataDxfId="134"/>
    <tableColumn id="3" name="Shares invesment" dataDxfId="133"/>
    <tableColumn id="4" name="Shares  bought" dataDxfId="132">
      <calculatedColumnFormula>E6/D6</calculatedColumnFormula>
    </tableColumn>
    <tableColumn id="5" name="Shares owned" dataDxfId="131"/>
    <tableColumn id="6" name="shares cost" dataDxfId="130"/>
    <tableColumn id="7" name="Avarges per Shares" dataDxfId="129">
      <calculatedColumnFormula>H6/G6</calculatedColumnFormula>
    </tableColumn>
    <tableColumn id="8" name="Total value" dataDxfId="128">
      <calculatedColumnFormula>G6*D6</calculatedColumnFormula>
    </tableColumn>
    <tableColumn id="9" name="Porofit/Loss" dataDxfId="127">
      <calculatedColumnFormula>J6-H6</calculatedColumnFormula>
    </tableColumn>
    <tableColumn id="10" name="Pofit%" dataDxfId="126">
      <calculatedColumnFormula>100*(J6-H6)/H6</calculatedColumnFormula>
    </tableColumn>
    <tableColumn id="11" name="dolar" dataDxfId="125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16" name="Table117" displayName="Table117" ref="C5:L24" totalsRowShown="0" headerRowDxfId="124" dataDxfId="122" headerRowBorderDxfId="123" tableBorderDxfId="121">
  <autoFilter ref="C5:L24"/>
  <tableColumns count="10">
    <tableColumn id="1" name="priod" dataDxfId="120"/>
    <tableColumn id="2" name="Shares price" dataDxfId="119"/>
    <tableColumn id="3" name="Shares invesment" dataDxfId="118"/>
    <tableColumn id="4" name="Shares  bought" dataDxfId="117">
      <calculatedColumnFormula>E6/D6</calculatedColumnFormula>
    </tableColumn>
    <tableColumn id="5" name="Shares owned" dataDxfId="116"/>
    <tableColumn id="6" name="shares cost" dataDxfId="115"/>
    <tableColumn id="7" name="Avarges per Shares" dataDxfId="114">
      <calculatedColumnFormula>H6/G6</calculatedColumnFormula>
    </tableColumn>
    <tableColumn id="8" name="Total value" dataDxfId="113">
      <calculatedColumnFormula>G6*D6</calculatedColumnFormula>
    </tableColumn>
    <tableColumn id="9" name="Porofit/Loss" dataDxfId="112">
      <calculatedColumnFormula>J6-H6</calculatedColumnFormula>
    </tableColumn>
    <tableColumn id="10" name="Pofit%" dataDxfId="111">
      <calculatedColumnFormula>100*(J6-H6)/H6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15" name="Table116" displayName="Table116" ref="C5:M19" totalsRowShown="0" headerRowDxfId="110" dataDxfId="108" headerRowBorderDxfId="109" tableBorderDxfId="107">
  <autoFilter ref="C5:M19"/>
  <tableColumns count="11">
    <tableColumn id="1" name="priod" dataDxfId="106"/>
    <tableColumn id="2" name="Shares price" dataDxfId="105"/>
    <tableColumn id="3" name="Shares invesment" dataDxfId="104"/>
    <tableColumn id="4" name="Shares  bought" dataDxfId="103">
      <calculatedColumnFormula>E6/D6</calculatedColumnFormula>
    </tableColumn>
    <tableColumn id="5" name="Shares owned" dataDxfId="102"/>
    <tableColumn id="6" name="shares cost" dataDxfId="101"/>
    <tableColumn id="7" name="Avarges per Shares" dataDxfId="100">
      <calculatedColumnFormula>H6/G6</calculatedColumnFormula>
    </tableColumn>
    <tableColumn id="8" name="Total value" dataDxfId="99">
      <calculatedColumnFormula>G6*D6</calculatedColumnFormula>
    </tableColumn>
    <tableColumn id="9" name="Porofit/Loss" dataDxfId="98">
      <calculatedColumnFormula>J6-H6</calculatedColumnFormula>
    </tableColumn>
    <tableColumn id="10" name="Pofit%" dataDxfId="97">
      <calculatedColumnFormula>100*(J6-H6)/H6</calculatedColumnFormula>
    </tableColumn>
    <tableColumn id="11" name="dolar" dataDxfId="96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9" name="Table11420" displayName="Table11420" ref="C5:L21" totalsRowShown="0" headerRowDxfId="95" dataDxfId="93" headerRowBorderDxfId="94" tableBorderDxfId="92">
  <autoFilter ref="C5:L21"/>
  <tableColumns count="10">
    <tableColumn id="1" name="priod" dataDxfId="91"/>
    <tableColumn id="2" name="Shares price" dataDxfId="90"/>
    <tableColumn id="3" name="Shares invesment" dataDxfId="89"/>
    <tableColumn id="4" name="Shares  bought" dataDxfId="88">
      <calculatedColumnFormula>E6/D6</calculatedColumnFormula>
    </tableColumn>
    <tableColumn id="5" name="Shares owned" dataDxfId="87"/>
    <tableColumn id="6" name="shares cost" dataDxfId="86"/>
    <tableColumn id="7" name="Avarges per Shares" dataDxfId="85">
      <calculatedColumnFormula>H6/G6</calculatedColumnFormula>
    </tableColumn>
    <tableColumn id="8" name="Total value" dataDxfId="84">
      <calculatedColumnFormula>G6*D6</calculatedColumnFormula>
    </tableColumn>
    <tableColumn id="9" name="Porofit/Loss" dataDxfId="83">
      <calculatedColumnFormula>J6-H6</calculatedColumnFormula>
    </tableColumn>
    <tableColumn id="10" name="Pofit%" dataDxfId="82">
      <calculatedColumnFormula>100*(J6-H6)/H6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14" name="Table115" displayName="Table115" ref="C5:L23" totalsRowShown="0" headerRowDxfId="81" dataDxfId="79" headerRowBorderDxfId="80" tableBorderDxfId="78">
  <autoFilter ref="C5:L23"/>
  <tableColumns count="10">
    <tableColumn id="1" name="priod" dataDxfId="77"/>
    <tableColumn id="2" name="Shares price" dataDxfId="76"/>
    <tableColumn id="3" name="Shares invesment" dataDxfId="75"/>
    <tableColumn id="4" name="Shares  bought" dataDxfId="74">
      <calculatedColumnFormula>E6/D6</calculatedColumnFormula>
    </tableColumn>
    <tableColumn id="5" name="Shares owned" dataDxfId="73"/>
    <tableColumn id="6" name="shares cost" dataDxfId="72"/>
    <tableColumn id="7" name="Avarges per Shares" dataDxfId="71">
      <calculatedColumnFormula>H6/G6</calculatedColumnFormula>
    </tableColumn>
    <tableColumn id="8" name="Total value" dataDxfId="70">
      <calculatedColumnFormula>G6*D6</calculatedColumnFormula>
    </tableColumn>
    <tableColumn id="9" name="Porofit/Loss" dataDxfId="69">
      <calculatedColumnFormula>J6-H6</calculatedColumnFormula>
    </tableColumn>
    <tableColumn id="10" name="Pofit%" dataDxfId="68">
      <calculatedColumnFormula>100*(J6-H6)/H6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13" name="Table114" displayName="Table114" ref="C5:L24" totalsRowShown="0" headerRowDxfId="67" dataDxfId="65" headerRowBorderDxfId="66" tableBorderDxfId="64">
  <autoFilter ref="C5:L24"/>
  <tableColumns count="10">
    <tableColumn id="1" name="priod" dataDxfId="63"/>
    <tableColumn id="2" name="Shares price" dataDxfId="62"/>
    <tableColumn id="3" name="Shares invesment" dataDxfId="61"/>
    <tableColumn id="4" name="Shares  bought" dataDxfId="60">
      <calculatedColumnFormula>E6/D6</calculatedColumnFormula>
    </tableColumn>
    <tableColumn id="5" name="Shares owned" dataDxfId="59"/>
    <tableColumn id="6" name="shares cost" dataDxfId="58"/>
    <tableColumn id="7" name="Avarges per Shares" dataDxfId="57">
      <calculatedColumnFormula>H6/G6</calculatedColumnFormula>
    </tableColumn>
    <tableColumn id="8" name="Total value" dataDxfId="56">
      <calculatedColumnFormula>G6*D6</calculatedColumnFormula>
    </tableColumn>
    <tableColumn id="9" name="Porofit/Loss" dataDxfId="55">
      <calculatedColumnFormula>J6-H6</calculatedColumnFormula>
    </tableColumn>
    <tableColumn id="10" name="Pofit%" dataDxfId="54">
      <calculatedColumnFormula>100*(J6-H6)/H6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12" name="Table113" displayName="Table113" ref="C5:L23" totalsRowShown="0" headerRowDxfId="53" dataDxfId="51" headerRowBorderDxfId="52" tableBorderDxfId="50">
  <autoFilter ref="C5:L23"/>
  <tableColumns count="10">
    <tableColumn id="1" name="priod" dataDxfId="49"/>
    <tableColumn id="2" name="Shares price" dataDxfId="48"/>
    <tableColumn id="3" name="Shares invesment" dataDxfId="47"/>
    <tableColumn id="4" name="Shares  bought" dataDxfId="46">
      <calculatedColumnFormula>E6/D6</calculatedColumnFormula>
    </tableColumn>
    <tableColumn id="5" name="Shares owned" dataDxfId="45"/>
    <tableColumn id="6" name="shares cost" dataDxfId="44"/>
    <tableColumn id="7" name="Avarges per Shares" dataDxfId="43">
      <calculatedColumnFormula>H6/G6</calculatedColumnFormula>
    </tableColumn>
    <tableColumn id="8" name="Total value" dataDxfId="42">
      <calculatedColumnFormula>G6*D6</calculatedColumnFormula>
    </tableColumn>
    <tableColumn id="9" name="Porofit/Loss" dataDxfId="41">
      <calculatedColumnFormula>J6-H6</calculatedColumnFormula>
    </tableColumn>
    <tableColumn id="10" name="Pofit%" dataDxfId="40">
      <calculatedColumnFormula>100*(J6-H6)/H6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11" name="Table112" displayName="Table112" ref="C5:L24" totalsRowShown="0" headerRowDxfId="39" dataDxfId="37" headerRowBorderDxfId="38" tableBorderDxfId="36">
  <autoFilter ref="C5:L24"/>
  <tableColumns count="10">
    <tableColumn id="1" name="priod" dataDxfId="35"/>
    <tableColumn id="2" name="Shares price" dataDxfId="34"/>
    <tableColumn id="3" name="Shares invesment" dataDxfId="33"/>
    <tableColumn id="4" name="Shares  bought" dataDxfId="32">
      <calculatedColumnFormula>E6/D6</calculatedColumnFormula>
    </tableColumn>
    <tableColumn id="5" name="Shares owned" dataDxfId="31"/>
    <tableColumn id="6" name="shares cost" dataDxfId="30"/>
    <tableColumn id="7" name="Avarges per Shares" dataDxfId="29">
      <calculatedColumnFormula>H6/G6</calculatedColumnFormula>
    </tableColumn>
    <tableColumn id="8" name="Total value" dataDxfId="28">
      <calculatedColumnFormula>G6*D6</calculatedColumnFormula>
    </tableColumn>
    <tableColumn id="9" name="Porofit/Loss" dataDxfId="27">
      <calculatedColumnFormula>J6-H6</calculatedColumnFormula>
    </tableColumn>
    <tableColumn id="10" name="Pofit%" dataDxfId="26">
      <calculatedColumnFormula>100*(J6-H6)/H6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F8" sqref="F8"/>
    </sheetView>
  </sheetViews>
  <sheetFormatPr defaultRowHeight="14.4"/>
  <cols>
    <col min="2" max="2" width="14.6640625" bestFit="1" customWidth="1"/>
    <col min="4" max="4" width="14.21875" customWidth="1"/>
    <col min="5" max="5" width="13.109375" customWidth="1"/>
    <col min="6" max="6" width="12.5546875" customWidth="1"/>
    <col min="7" max="7" width="15.6640625" customWidth="1"/>
    <col min="8" max="8" width="17.6640625" customWidth="1"/>
    <col min="9" max="9" width="15.6640625" customWidth="1"/>
    <col min="10" max="10" width="16.33203125" customWidth="1"/>
    <col min="11" max="11" width="12.21875" customWidth="1"/>
    <col min="12" max="12" width="16" customWidth="1"/>
  </cols>
  <sheetData>
    <row r="2" spans="2:13" ht="31.2">
      <c r="G2" s="9"/>
    </row>
    <row r="4" spans="2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24</v>
      </c>
    </row>
    <row r="5" spans="2:13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15" t="s">
        <v>27</v>
      </c>
    </row>
    <row r="6" spans="2:13" ht="16.2" thickBot="1">
      <c r="B6" s="5">
        <v>44254.975983796299</v>
      </c>
      <c r="C6" s="4">
        <v>1</v>
      </c>
      <c r="D6" s="4">
        <f>58057.7*Table1[[#This Row],[Column1]]</f>
        <v>15709600812.199999</v>
      </c>
      <c r="E6" s="4">
        <f t="shared" ref="E6:E23" si="0">D6*F6</f>
        <v>9221535.6767613981</v>
      </c>
      <c r="F6" s="4">
        <v>5.8699999999999996E-4</v>
      </c>
      <c r="G6" s="4">
        <v>5.8699999999999996E-4</v>
      </c>
      <c r="H6" s="4">
        <v>9221535.6767613981</v>
      </c>
      <c r="I6" s="4">
        <f>H6/G6</f>
        <v>15709600812.199999</v>
      </c>
      <c r="J6" s="4">
        <f>G6*D6</f>
        <v>9221535.6767613981</v>
      </c>
      <c r="K6" s="4">
        <f>J6-H6</f>
        <v>0</v>
      </c>
      <c r="L6" s="4">
        <f>100*(J6-H6)/H6</f>
        <v>0</v>
      </c>
      <c r="M6" s="16" t="s">
        <v>25</v>
      </c>
    </row>
    <row r="7" spans="2:13" ht="15.6">
      <c r="B7" s="5">
        <v>44261.863576388889</v>
      </c>
      <c r="C7" s="4">
        <v>2</v>
      </c>
      <c r="D7" s="4">
        <f>49777.04*Table1[[#This Row],[Column1]]</f>
        <v>12386070640.24</v>
      </c>
      <c r="E7" s="4">
        <f t="shared" si="0"/>
        <v>18653422.384201441</v>
      </c>
      <c r="F7" s="4">
        <v>1.506E-3</v>
      </c>
      <c r="G7" s="4">
        <f t="shared" ref="G7:G23" si="1">G6+F7</f>
        <v>2.0929999999999998E-3</v>
      </c>
      <c r="H7" s="4">
        <f t="shared" ref="H7:H23" si="2">H6+E7</f>
        <v>27874958.060962841</v>
      </c>
      <c r="I7" s="4">
        <f>H7/G7</f>
        <v>13318183497.832224</v>
      </c>
      <c r="J7" s="4">
        <f t="shared" ref="J7" si="3">G7*D7</f>
        <v>25924045.850022316</v>
      </c>
      <c r="K7" s="4">
        <f t="shared" ref="K7" si="4">J7-H7</f>
        <v>-1950912.2109405249</v>
      </c>
      <c r="L7" s="4">
        <f t="shared" ref="L7" si="5">100*(J7-H7)/H7</f>
        <v>-6.9987987306522879</v>
      </c>
      <c r="M7" s="8">
        <v>248831</v>
      </c>
    </row>
    <row r="8" spans="2:13" ht="15.6">
      <c r="B8" s="7">
        <v>44342</v>
      </c>
      <c r="C8" s="6">
        <v>3</v>
      </c>
      <c r="D8" s="4">
        <f>38831.03*M8</f>
        <v>9451708142.0623398</v>
      </c>
      <c r="E8" s="4">
        <f t="shared" si="0"/>
        <v>14224820.753803821</v>
      </c>
      <c r="F8" s="4">
        <v>1.505E-3</v>
      </c>
      <c r="G8" s="4">
        <f t="shared" si="1"/>
        <v>3.5979999999999996E-3</v>
      </c>
      <c r="H8" s="4">
        <f t="shared" si="2"/>
        <v>42099778.81476666</v>
      </c>
      <c r="I8" s="6">
        <f>H8/G8</f>
        <v>11700883494.932369</v>
      </c>
      <c r="J8" s="6">
        <f>G8*D8</f>
        <v>34007245.895140298</v>
      </c>
      <c r="K8" s="6">
        <f t="shared" ref="K8:K13" si="6">J8-H8</f>
        <v>-8092532.9196263626</v>
      </c>
      <c r="L8" s="6">
        <f t="shared" ref="L8:L13" si="7">100*(J8-H8)/H8</f>
        <v>-19.22226944524439</v>
      </c>
      <c r="M8" s="8">
        <f>(57000000+5700)/234.2</f>
        <v>243406.06319385141</v>
      </c>
    </row>
    <row r="9" spans="2:13" ht="15.6">
      <c r="B9" s="19">
        <v>44373.427210648151</v>
      </c>
      <c r="C9" s="6">
        <v>4</v>
      </c>
      <c r="D9" s="4">
        <f>30950.8*Table1[[#This Row],[Column1]]</f>
        <v>7695723327.3056059</v>
      </c>
      <c r="E9" s="4">
        <f t="shared" si="0"/>
        <v>13721474.692585897</v>
      </c>
      <c r="F9" s="4" t="s">
        <v>33</v>
      </c>
      <c r="G9" s="4">
        <f t="shared" si="1"/>
        <v>5.3809999999999995E-3</v>
      </c>
      <c r="H9" s="4">
        <f t="shared" si="2"/>
        <v>55821253.507352561</v>
      </c>
      <c r="I9" s="6">
        <f t="shared" ref="I9:I13" si="8">H9/G9</f>
        <v>10373769468.008282</v>
      </c>
      <c r="J9" s="6">
        <f t="shared" ref="J9:J13" si="9">G9*D9</f>
        <v>41410687.224231459</v>
      </c>
      <c r="K9" s="6">
        <f t="shared" si="6"/>
        <v>-14410566.283121102</v>
      </c>
      <c r="L9" s="6">
        <f t="shared" si="7"/>
        <v>-25.815554789042846</v>
      </c>
      <c r="M9" s="8">
        <v>248643.76130198917</v>
      </c>
    </row>
    <row r="10" spans="2:13" ht="15.6">
      <c r="B10" s="5">
        <v>44404.632384259261</v>
      </c>
      <c r="C10" s="6">
        <v>5</v>
      </c>
      <c r="D10" s="4">
        <f>38306.92*Table1[[#This Row],[Column1]]</f>
        <v>9661733055.4799995</v>
      </c>
      <c r="E10" s="4">
        <f t="shared" si="0"/>
        <v>12985369.226565119</v>
      </c>
      <c r="F10" s="4">
        <v>1.3439999999999999E-3</v>
      </c>
      <c r="G10" s="4">
        <f t="shared" si="1"/>
        <v>6.7249999999999992E-3</v>
      </c>
      <c r="H10" s="4">
        <f t="shared" si="2"/>
        <v>68806622.733917683</v>
      </c>
      <c r="I10" s="6">
        <f t="shared" si="8"/>
        <v>10231468064.523077</v>
      </c>
      <c r="J10" s="6">
        <f t="shared" si="9"/>
        <v>64975154.79810299</v>
      </c>
      <c r="K10" s="6">
        <f t="shared" si="6"/>
        <v>-3831467.9358146936</v>
      </c>
      <c r="L10" s="6">
        <f t="shared" si="7"/>
        <v>-5.5684580692637331</v>
      </c>
      <c r="M10" s="4">
        <v>252219</v>
      </c>
    </row>
    <row r="11" spans="2:13" ht="15.6">
      <c r="B11" t="s">
        <v>74</v>
      </c>
      <c r="C11" s="6">
        <v>6</v>
      </c>
      <c r="D11" s="4">
        <f>48902.87*Table1[[#This Row],[Column1]]</f>
        <v>13907976228</v>
      </c>
      <c r="E11" s="4">
        <f t="shared" si="0"/>
        <v>19053927.432359997</v>
      </c>
      <c r="F11" s="4">
        <v>1.3699999999999999E-3</v>
      </c>
      <c r="G11" s="4">
        <f t="shared" si="1"/>
        <v>8.0949999999999998E-3</v>
      </c>
      <c r="H11" s="4">
        <f t="shared" si="2"/>
        <v>87860550.166277677</v>
      </c>
      <c r="I11" s="6">
        <f t="shared" si="8"/>
        <v>10853681305.284456</v>
      </c>
      <c r="J11" s="6">
        <f t="shared" si="9"/>
        <v>112585067.56566</v>
      </c>
      <c r="K11" s="6">
        <f t="shared" si="6"/>
        <v>24724517.399382323</v>
      </c>
      <c r="L11" s="6">
        <f t="shared" si="7"/>
        <v>28.14063576040752</v>
      </c>
      <c r="M11" s="4">
        <v>284400</v>
      </c>
    </row>
    <row r="12" spans="2:13" ht="15.6">
      <c r="B12" s="5" t="s">
        <v>76</v>
      </c>
      <c r="C12" s="8">
        <v>7</v>
      </c>
      <c r="D12" s="30">
        <f>42297.1*Table1[[#This Row],[Column1]]</f>
        <v>12224919327.5</v>
      </c>
      <c r="E12" s="4">
        <f t="shared" si="0"/>
        <v>18080655.685372502</v>
      </c>
      <c r="F12" s="4">
        <v>1.4790000000000001E-3</v>
      </c>
      <c r="G12" s="4">
        <f t="shared" si="1"/>
        <v>9.5739999999999992E-3</v>
      </c>
      <c r="H12" s="4">
        <f t="shared" si="2"/>
        <v>105941205.85165018</v>
      </c>
      <c r="I12" s="8">
        <f t="shared" si="8"/>
        <v>11065511369.505974</v>
      </c>
      <c r="J12" s="8">
        <f t="shared" si="9"/>
        <v>117041377.64148499</v>
      </c>
      <c r="K12" s="8">
        <f t="shared" si="6"/>
        <v>11100171.789834812</v>
      </c>
      <c r="L12" s="8">
        <f t="shared" si="7"/>
        <v>10.477671743116101</v>
      </c>
      <c r="M12" s="8">
        <v>289025</v>
      </c>
    </row>
    <row r="13" spans="2:13" ht="15.6">
      <c r="B13" s="5" t="s">
        <v>78</v>
      </c>
      <c r="C13" s="6">
        <v>8</v>
      </c>
      <c r="D13" s="4">
        <f>59368.225*Table1[[#This Row],[Column1]]</f>
        <v>16832008677.795444</v>
      </c>
      <c r="E13" s="4">
        <f t="shared" si="0"/>
        <v>17639945.094329629</v>
      </c>
      <c r="F13" s="4">
        <v>1.0480000000000001E-3</v>
      </c>
      <c r="G13" s="4">
        <f t="shared" si="1"/>
        <v>1.0621999999999999E-2</v>
      </c>
      <c r="H13" s="4">
        <f t="shared" si="2"/>
        <v>123581150.9459798</v>
      </c>
      <c r="I13" s="6">
        <f t="shared" si="8"/>
        <v>11634452169.646</v>
      </c>
      <c r="J13" s="6">
        <f t="shared" si="9"/>
        <v>178789596.17554319</v>
      </c>
      <c r="K13" s="6">
        <f t="shared" si="6"/>
        <v>55208445.229563385</v>
      </c>
      <c r="L13" s="6">
        <f t="shared" si="7"/>
        <v>44.673839664833906</v>
      </c>
      <c r="M13" s="4">
        <v>283518.81293057767</v>
      </c>
    </row>
    <row r="14" spans="2:13" ht="15.6">
      <c r="B14" s="5" t="s">
        <v>81</v>
      </c>
      <c r="C14" s="6">
        <v>9</v>
      </c>
      <c r="D14" s="4">
        <f>54478.26*Table1[[#This Row],[Column1]]</f>
        <v>16460497170.796022</v>
      </c>
      <c r="E14" s="4">
        <f t="shared" si="0"/>
        <v>17974862.910509259</v>
      </c>
      <c r="F14" s="4">
        <v>1.0920000000000001E-3</v>
      </c>
      <c r="G14" s="4">
        <f t="shared" si="1"/>
        <v>1.1713999999999999E-2</v>
      </c>
      <c r="H14" s="4">
        <f t="shared" si="2"/>
        <v>141556013.85648906</v>
      </c>
      <c r="I14" s="6">
        <f t="shared" ref="I14:I19" si="10">H14/G14</f>
        <v>12084344703.473543</v>
      </c>
      <c r="J14" s="6">
        <f t="shared" ref="J14:J19" si="11">G14*D14</f>
        <v>192818263.8587046</v>
      </c>
      <c r="K14" s="6">
        <f t="shared" ref="K14:K19" si="12">J14-H14</f>
        <v>51262250.002215534</v>
      </c>
      <c r="L14" s="6">
        <f t="shared" ref="L14:L19" si="13">100*(J14-H14)/H14</f>
        <v>36.213403165043722</v>
      </c>
      <c r="M14" s="8">
        <v>302147.99758281599</v>
      </c>
    </row>
    <row r="15" spans="2:13" ht="15.6">
      <c r="B15" s="5" t="s">
        <v>88</v>
      </c>
      <c r="C15" s="6">
        <v>10</v>
      </c>
      <c r="D15" s="4">
        <f>50216.94*Table1[[#This Row],[Column1]]</f>
        <v>15252136504.297995</v>
      </c>
      <c r="E15" s="4">
        <f t="shared" si="0"/>
        <v>17860251.846532952</v>
      </c>
      <c r="F15" s="4">
        <v>1.1709999999999999E-3</v>
      </c>
      <c r="G15" s="4">
        <f t="shared" si="1"/>
        <v>1.2884999999999999E-2</v>
      </c>
      <c r="H15" s="4">
        <f t="shared" si="2"/>
        <v>159416265.703022</v>
      </c>
      <c r="I15" s="6">
        <f t="shared" si="10"/>
        <v>12372236375.865116</v>
      </c>
      <c r="J15" s="6">
        <f t="shared" si="11"/>
        <v>196523778.85787964</v>
      </c>
      <c r="K15" s="6">
        <f t="shared" si="12"/>
        <v>37107513.154857635</v>
      </c>
      <c r="L15" s="6">
        <f t="shared" si="13"/>
        <v>23.27711854948701</v>
      </c>
      <c r="M15" s="8">
        <v>303724.92836676218</v>
      </c>
    </row>
    <row r="16" spans="2:13" ht="15.6">
      <c r="B16" s="5" t="s">
        <v>96</v>
      </c>
      <c r="C16" s="10">
        <v>11</v>
      </c>
      <c r="D16" s="4">
        <f>36289.5*Table1[[#This Row],[Column1]]</f>
        <v>10488572737.5</v>
      </c>
      <c r="E16" s="4">
        <f t="shared" si="0"/>
        <v>26742912.142828491</v>
      </c>
      <c r="F16" s="4">
        <v>2.5497189000000002E-3</v>
      </c>
      <c r="G16" s="4">
        <f t="shared" si="1"/>
        <v>1.5434718899999998E-2</v>
      </c>
      <c r="H16" s="4">
        <f t="shared" si="2"/>
        <v>186159177.8458505</v>
      </c>
      <c r="I16" s="10">
        <f t="shared" si="10"/>
        <v>12061066939.537884</v>
      </c>
      <c r="J16" s="10">
        <f t="shared" si="11"/>
        <v>161888171.86551598</v>
      </c>
      <c r="K16" s="10">
        <f t="shared" si="12"/>
        <v>-24271005.98033452</v>
      </c>
      <c r="L16" s="10">
        <f t="shared" si="13"/>
        <v>-13.037770289484293</v>
      </c>
      <c r="M16" s="8">
        <v>289025</v>
      </c>
    </row>
    <row r="17" spans="2:13" ht="15.6">
      <c r="B17" s="5" t="s">
        <v>102</v>
      </c>
      <c r="C17" s="8">
        <v>12</v>
      </c>
      <c r="D17" s="4">
        <f>38773.06*Table1[[#This Row],[Column1]]</f>
        <v>10233358216.575998</v>
      </c>
      <c r="E17" s="4">
        <f t="shared" si="0"/>
        <v>27402201.810224991</v>
      </c>
      <c r="F17" s="4">
        <v>2.6777330794341679E-3</v>
      </c>
      <c r="G17" s="4">
        <f t="shared" si="1"/>
        <v>1.8112451979434167E-2</v>
      </c>
      <c r="H17" s="4">
        <f t="shared" si="2"/>
        <v>213561379.65607548</v>
      </c>
      <c r="I17" s="8">
        <f t="shared" si="10"/>
        <v>11790859674.800756</v>
      </c>
      <c r="J17" s="8">
        <f t="shared" si="11"/>
        <v>185351209.28608084</v>
      </c>
      <c r="K17" s="8">
        <f t="shared" si="12"/>
        <v>-28210170.36999464</v>
      </c>
      <c r="L17" s="8">
        <f t="shared" si="13"/>
        <v>-13.209396949684908</v>
      </c>
      <c r="M17" s="4">
        <v>263929.59999999998</v>
      </c>
    </row>
    <row r="18" spans="2:13" ht="15.6">
      <c r="B18" s="7">
        <v>44838</v>
      </c>
      <c r="C18" s="8">
        <v>13</v>
      </c>
      <c r="D18" s="4">
        <f>42780.09*Table1[[#This Row],[Column1]]</f>
        <v>11946905704.099821</v>
      </c>
      <c r="E18" s="4">
        <f t="shared" si="0"/>
        <v>31669964.914615013</v>
      </c>
      <c r="F18" s="4">
        <v>2.650892682926829E-3</v>
      </c>
      <c r="G18" s="4">
        <f t="shared" si="1"/>
        <v>2.0763344662360995E-2</v>
      </c>
      <c r="H18" s="4">
        <f t="shared" si="2"/>
        <v>245231344.57069048</v>
      </c>
      <c r="I18" s="8">
        <f t="shared" si="10"/>
        <v>11810782345.449217</v>
      </c>
      <c r="J18" s="8">
        <f t="shared" si="11"/>
        <v>248057720.78295115</v>
      </c>
      <c r="K18" s="8">
        <f t="shared" si="12"/>
        <v>2826376.2122606635</v>
      </c>
      <c r="L18" s="8">
        <f t="shared" si="13"/>
        <v>1.1525346473178641</v>
      </c>
      <c r="M18" s="8">
        <v>279263.22043969104</v>
      </c>
    </row>
    <row r="19" spans="2:13" ht="15.6">
      <c r="B19" s="5" t="s">
        <v>108</v>
      </c>
      <c r="C19" s="8">
        <v>14</v>
      </c>
      <c r="D19" s="4">
        <f>39568.75*Table1[[#This Row],[Column1]]</f>
        <v>11312944630.872484</v>
      </c>
      <c r="E19" s="4">
        <f t="shared" si="0"/>
        <v>34154265.672582045</v>
      </c>
      <c r="F19" s="4">
        <v>3.019042944785276E-3</v>
      </c>
      <c r="G19" s="4">
        <f t="shared" si="1"/>
        <v>2.3782387607146273E-2</v>
      </c>
      <c r="H19" s="4">
        <f t="shared" si="2"/>
        <v>279385610.24327254</v>
      </c>
      <c r="I19" s="8">
        <f t="shared" si="10"/>
        <v>11747584593.202118</v>
      </c>
      <c r="J19" s="8">
        <f t="shared" si="11"/>
        <v>269048834.18959373</v>
      </c>
      <c r="K19" s="8">
        <f t="shared" si="12"/>
        <v>-10336776.053678811</v>
      </c>
      <c r="L19" s="8">
        <f t="shared" si="13"/>
        <v>-3.6998240692060533</v>
      </c>
      <c r="M19" s="8">
        <v>285906.04026845639</v>
      </c>
    </row>
    <row r="20" spans="2:13" ht="15.6">
      <c r="B20" s="5" t="s">
        <v>109</v>
      </c>
      <c r="C20" s="53">
        <v>15</v>
      </c>
      <c r="D20" s="53">
        <f>32160.61*Table1[[#This Row],[Column1]]</f>
        <v>9995700903.4770012</v>
      </c>
      <c r="E20" s="4">
        <f t="shared" si="0"/>
        <v>34942866.000470653</v>
      </c>
      <c r="F20" s="4">
        <v>3.4957894736842104E-3</v>
      </c>
      <c r="G20" s="4">
        <f t="shared" si="1"/>
        <v>2.7278177080830482E-2</v>
      </c>
      <c r="H20" s="4">
        <f t="shared" si="2"/>
        <v>314328476.24374318</v>
      </c>
      <c r="I20" s="53">
        <f>H20/G20</f>
        <v>11523074848.89212</v>
      </c>
      <c r="J20" s="53">
        <f>G20*D20</f>
        <v>272664499.29206288</v>
      </c>
      <c r="K20" s="53">
        <f>J20-H20</f>
        <v>-41663976.951680303</v>
      </c>
      <c r="L20" s="53">
        <f>100*(J20-H20)/H20</f>
        <v>-13.254916464956979</v>
      </c>
      <c r="M20" s="53">
        <v>310805.7</v>
      </c>
    </row>
    <row r="21" spans="2:13" ht="15.6">
      <c r="B21" s="7">
        <v>44599</v>
      </c>
      <c r="C21" s="53">
        <v>16</v>
      </c>
      <c r="D21" s="4">
        <f>19076.26*Table1[[#This Row],[Column1]]</f>
        <v>6215439931.4061728</v>
      </c>
      <c r="E21" s="4">
        <f t="shared" si="0"/>
        <v>34987747.280540571</v>
      </c>
      <c r="F21" s="4">
        <v>5.6291666666666651E-3</v>
      </c>
      <c r="G21" s="4">
        <f t="shared" si="1"/>
        <v>3.2907343747497146E-2</v>
      </c>
      <c r="H21" s="4">
        <f t="shared" si="2"/>
        <v>349316223.52428377</v>
      </c>
      <c r="I21" s="53">
        <f>H21/G21</f>
        <v>10615144941.647013</v>
      </c>
      <c r="J21" s="53">
        <f>G21*D21</f>
        <v>204533618.364703</v>
      </c>
      <c r="K21" s="53">
        <f>J21-H21</f>
        <v>-144782605.15958077</v>
      </c>
      <c r="L21" s="53">
        <f>100*(J21-H21)/H21</f>
        <v>-41.447432271783896</v>
      </c>
      <c r="M21" s="53">
        <v>325820.67613914749</v>
      </c>
    </row>
    <row r="22" spans="2:13" ht="15.6">
      <c r="B22" s="7">
        <v>44775</v>
      </c>
      <c r="C22" s="53">
        <v>17</v>
      </c>
      <c r="D22" s="53">
        <f>23060.72*Table1[[#This Row],[Column1]]</f>
        <v>7418675994.014267</v>
      </c>
      <c r="E22" s="4">
        <f t="shared" si="0"/>
        <v>36522254.322713964</v>
      </c>
      <c r="F22" s="4">
        <v>4.9230151515151513E-3</v>
      </c>
      <c r="G22" s="4">
        <f t="shared" si="1"/>
        <v>3.7830358899012297E-2</v>
      </c>
      <c r="H22" s="4">
        <f t="shared" si="2"/>
        <v>385838477.84699774</v>
      </c>
      <c r="I22" s="53">
        <f>H22/G22</f>
        <v>10199175716.968191</v>
      </c>
      <c r="J22" s="53">
        <f>G22*D22</f>
        <v>280651175.40904653</v>
      </c>
      <c r="K22" s="53">
        <f>J22-H22</f>
        <v>-105187302.43795121</v>
      </c>
      <c r="L22" s="53">
        <f>100*(J22-H22)/H22</f>
        <v>-27.262004304211121</v>
      </c>
      <c r="M22" s="53">
        <v>321701.83732399798</v>
      </c>
    </row>
    <row r="23" spans="2:13" ht="15.6">
      <c r="B23" s="7">
        <v>44570</v>
      </c>
      <c r="C23" s="6">
        <v>18</v>
      </c>
      <c r="D23" s="6">
        <f>19874.63*Table1[[#This Row],[Column1]]</f>
        <v>6040329349.0079994</v>
      </c>
      <c r="E23" s="4">
        <f t="shared" si="0"/>
        <v>35496025.926159389</v>
      </c>
      <c r="F23" s="4">
        <v>5.8765050505050504E-3</v>
      </c>
      <c r="G23" s="4">
        <f t="shared" si="1"/>
        <v>4.3706863949517345E-2</v>
      </c>
      <c r="H23" s="4">
        <f t="shared" si="2"/>
        <v>421334503.77315712</v>
      </c>
      <c r="I23" s="6">
        <f>H23/G23</f>
        <v>9640007671.5595589</v>
      </c>
      <c r="J23" s="6">
        <f>G23*D23</f>
        <v>264003853.06736931</v>
      </c>
      <c r="K23" s="6">
        <f>J23-H23</f>
        <v>-157330650.70578781</v>
      </c>
      <c r="L23" s="6">
        <f>100*(J23-H23)/H23</f>
        <v>-37.341031721079574</v>
      </c>
      <c r="M23" s="53">
        <v>303921.59999999998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opLeftCell="A7" workbookViewId="0">
      <selection activeCell="G28" sqref="G28"/>
    </sheetView>
  </sheetViews>
  <sheetFormatPr defaultRowHeight="14.4"/>
  <cols>
    <col min="2" max="2" width="14.6640625" bestFit="1" customWidth="1"/>
    <col min="4" max="5" width="13.109375" customWidth="1"/>
    <col min="6" max="6" width="14" customWidth="1"/>
    <col min="7" max="7" width="22.6640625" customWidth="1"/>
    <col min="8" max="8" width="17.33203125" customWidth="1"/>
    <col min="9" max="9" width="17.77734375" customWidth="1"/>
    <col min="10" max="10" width="19.21875" customWidth="1"/>
    <col min="11" max="11" width="16.109375" customWidth="1"/>
    <col min="12" max="12" width="15.33203125" customWidth="1"/>
  </cols>
  <sheetData>
    <row r="2" spans="1:14" ht="31.2">
      <c r="G2" s="9"/>
    </row>
    <row r="4" spans="1:14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97</v>
      </c>
    </row>
    <row r="5" spans="1:14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45" t="s">
        <v>27</v>
      </c>
    </row>
    <row r="6" spans="1:14" ht="15.6">
      <c r="B6" t="s">
        <v>22</v>
      </c>
      <c r="C6" s="4">
        <v>1</v>
      </c>
      <c r="D6" s="11">
        <v>23770</v>
      </c>
      <c r="E6" s="4">
        <f t="shared" ref="E6:E23" si="0">D6*F6</f>
        <v>7606400</v>
      </c>
      <c r="F6" s="4">
        <v>320</v>
      </c>
      <c r="G6" s="4">
        <v>320</v>
      </c>
      <c r="H6" s="4">
        <v>7606400</v>
      </c>
      <c r="I6" s="4">
        <f>H6/G6</f>
        <v>23770</v>
      </c>
      <c r="J6" s="4">
        <f>G6*D6</f>
        <v>7606400</v>
      </c>
      <c r="K6" s="4">
        <f>J6-H6</f>
        <v>0</v>
      </c>
      <c r="L6" s="4">
        <f>100*(J6-H6)/H6</f>
        <v>0</v>
      </c>
      <c r="M6" s="44" t="e">
        <f t="shared" ref="M6:M11" si="1">_xlfn.STDEV.S(D1:D6)</f>
        <v>#DIV/0!</v>
      </c>
    </row>
    <row r="7" spans="1:14" ht="15.6">
      <c r="B7" t="s">
        <v>21</v>
      </c>
      <c r="C7" s="4">
        <v>2</v>
      </c>
      <c r="D7" s="11">
        <v>21590</v>
      </c>
      <c r="E7" s="4">
        <f t="shared" si="0"/>
        <v>14940280</v>
      </c>
      <c r="F7" s="4">
        <v>692</v>
      </c>
      <c r="G7" s="4">
        <f t="shared" ref="G7:G23" si="2">G6+F7</f>
        <v>1012</v>
      </c>
      <c r="H7" s="4">
        <f t="shared" ref="H7:H23" si="3">H6+E7</f>
        <v>22546680</v>
      </c>
      <c r="I7" s="4">
        <f t="shared" ref="I7:I13" si="4">H7/G7</f>
        <v>22279.328063241108</v>
      </c>
      <c r="J7" s="4">
        <f t="shared" ref="J7:J14" si="5">G7*D7</f>
        <v>21849080</v>
      </c>
      <c r="K7" s="4">
        <f t="shared" ref="K7:K13" si="6">J7-H7</f>
        <v>-697600</v>
      </c>
      <c r="L7" s="4">
        <f t="shared" ref="L7:L13" si="7">100*(J7-H7)/H7</f>
        <v>-3.0940253731369762</v>
      </c>
      <c r="M7" s="44">
        <f t="shared" si="1"/>
        <v>1541.4927829866735</v>
      </c>
    </row>
    <row r="8" spans="1:14" ht="15.6">
      <c r="B8" t="s">
        <v>28</v>
      </c>
      <c r="C8" s="6">
        <v>3</v>
      </c>
      <c r="D8" s="11">
        <v>22380</v>
      </c>
      <c r="E8" s="4">
        <f t="shared" si="0"/>
        <v>11324280</v>
      </c>
      <c r="F8" s="6">
        <v>506</v>
      </c>
      <c r="G8" s="4">
        <f t="shared" si="2"/>
        <v>1518</v>
      </c>
      <c r="H8" s="4">
        <f t="shared" si="3"/>
        <v>33870960</v>
      </c>
      <c r="I8" s="6">
        <f t="shared" si="4"/>
        <v>22312.885375494072</v>
      </c>
      <c r="J8" s="6">
        <f t="shared" si="5"/>
        <v>33972840</v>
      </c>
      <c r="K8" s="6">
        <f t="shared" si="6"/>
        <v>101880</v>
      </c>
      <c r="L8" s="6">
        <f t="shared" si="7"/>
        <v>0.30078864018026064</v>
      </c>
      <c r="M8" s="44">
        <f t="shared" si="1"/>
        <v>1103.6756769993619</v>
      </c>
    </row>
    <row r="9" spans="1:14" ht="15.6">
      <c r="B9" t="s">
        <v>32</v>
      </c>
      <c r="C9" s="6">
        <v>4</v>
      </c>
      <c r="D9" s="11">
        <v>24910</v>
      </c>
      <c r="E9" s="4">
        <f t="shared" si="0"/>
        <v>10985310</v>
      </c>
      <c r="F9" s="6">
        <v>441</v>
      </c>
      <c r="G9" s="4">
        <f t="shared" si="2"/>
        <v>1959</v>
      </c>
      <c r="H9" s="4">
        <f t="shared" si="3"/>
        <v>44856270</v>
      </c>
      <c r="I9" s="6">
        <f t="shared" si="4"/>
        <v>22897.534456355283</v>
      </c>
      <c r="J9" s="6">
        <f>G9*D9</f>
        <v>48798690</v>
      </c>
      <c r="K9" s="6">
        <f t="shared" si="6"/>
        <v>3942420</v>
      </c>
      <c r="L9" s="6">
        <f t="shared" si="7"/>
        <v>8.7890054166340619</v>
      </c>
      <c r="M9" s="44">
        <f t="shared" si="1"/>
        <v>1472.8515426432721</v>
      </c>
    </row>
    <row r="10" spans="1:14" ht="15.6">
      <c r="B10" t="s">
        <v>71</v>
      </c>
      <c r="C10" s="6">
        <v>5</v>
      </c>
      <c r="D10" s="11">
        <v>27800</v>
      </c>
      <c r="E10" s="4">
        <f t="shared" si="0"/>
        <v>10369400</v>
      </c>
      <c r="F10" s="6">
        <v>373</v>
      </c>
      <c r="G10" s="4">
        <f t="shared" si="2"/>
        <v>2332</v>
      </c>
      <c r="H10" s="4">
        <f t="shared" si="3"/>
        <v>55225670</v>
      </c>
      <c r="I10" s="6">
        <f t="shared" si="4"/>
        <v>23681.676672384219</v>
      </c>
      <c r="J10" s="6">
        <f t="shared" si="5"/>
        <v>64829600</v>
      </c>
      <c r="K10" s="6">
        <f t="shared" si="6"/>
        <v>9603930</v>
      </c>
      <c r="L10" s="6">
        <f t="shared" si="7"/>
        <v>17.390336776357806</v>
      </c>
      <c r="M10" s="44">
        <f t="shared" si="1"/>
        <v>2434.7997864300874</v>
      </c>
    </row>
    <row r="11" spans="1:14" ht="15.6">
      <c r="B11" t="s">
        <v>73</v>
      </c>
      <c r="C11" s="6">
        <v>6</v>
      </c>
      <c r="D11" s="11">
        <v>30840</v>
      </c>
      <c r="E11" s="4">
        <f t="shared" si="0"/>
        <v>11472480</v>
      </c>
      <c r="F11" s="6">
        <v>372</v>
      </c>
      <c r="G11" s="4">
        <f t="shared" si="2"/>
        <v>2704</v>
      </c>
      <c r="H11" s="4">
        <f t="shared" si="3"/>
        <v>66698150</v>
      </c>
      <c r="I11" s="6">
        <f t="shared" si="4"/>
        <v>24666.475591715975</v>
      </c>
      <c r="J11" s="6">
        <f t="shared" si="5"/>
        <v>83391360</v>
      </c>
      <c r="K11" s="6">
        <f t="shared" si="6"/>
        <v>16693210</v>
      </c>
      <c r="L11" s="6">
        <f t="shared" si="7"/>
        <v>25.027995529111376</v>
      </c>
      <c r="M11" s="44">
        <f t="shared" si="1"/>
        <v>3512.3140520175584</v>
      </c>
    </row>
    <row r="12" spans="1:14" ht="15.6">
      <c r="B12" t="s">
        <v>75</v>
      </c>
      <c r="C12" s="8">
        <v>7</v>
      </c>
      <c r="D12" s="11">
        <v>27220</v>
      </c>
      <c r="E12" s="4">
        <f t="shared" si="0"/>
        <v>10833560</v>
      </c>
      <c r="F12" s="8">
        <v>398</v>
      </c>
      <c r="G12" s="4">
        <f t="shared" si="2"/>
        <v>3102</v>
      </c>
      <c r="H12" s="4">
        <f t="shared" si="3"/>
        <v>77531710</v>
      </c>
      <c r="I12" s="8">
        <f t="shared" si="4"/>
        <v>24994.103803997423</v>
      </c>
      <c r="J12" s="8">
        <f t="shared" si="5"/>
        <v>84436440</v>
      </c>
      <c r="K12" s="8">
        <f t="shared" si="6"/>
        <v>6904730</v>
      </c>
      <c r="L12" s="8">
        <f t="shared" si="7"/>
        <v>8.905685170622446</v>
      </c>
      <c r="M12" s="44">
        <f>_xlfn.STDEV.S(D6:D12)</f>
        <v>3294.6291069528565</v>
      </c>
    </row>
    <row r="13" spans="1:14" ht="15.6">
      <c r="B13" t="s">
        <v>77</v>
      </c>
      <c r="C13" s="6">
        <v>8</v>
      </c>
      <c r="D13" s="11">
        <v>28200</v>
      </c>
      <c r="E13" s="4">
        <f t="shared" si="0"/>
        <v>10687800</v>
      </c>
      <c r="F13" s="6">
        <v>379</v>
      </c>
      <c r="G13" s="4">
        <f t="shared" si="2"/>
        <v>3481</v>
      </c>
      <c r="H13" s="4">
        <f t="shared" si="3"/>
        <v>88219510</v>
      </c>
      <c r="I13" s="6">
        <f t="shared" si="4"/>
        <v>25343.151393277793</v>
      </c>
      <c r="J13" s="6">
        <f t="shared" si="5"/>
        <v>98164200</v>
      </c>
      <c r="K13" s="6">
        <f t="shared" si="6"/>
        <v>9944690</v>
      </c>
      <c r="L13" s="6">
        <f t="shared" si="7"/>
        <v>11.272665196168058</v>
      </c>
      <c r="M13" s="44">
        <f>_xlfn.STDEV.S(D6:D13)</f>
        <v>3195.9681631705907</v>
      </c>
    </row>
    <row r="14" spans="1:14" ht="15.6">
      <c r="B14" t="s">
        <v>80</v>
      </c>
      <c r="C14" s="6">
        <v>9</v>
      </c>
      <c r="D14" s="11">
        <v>27780</v>
      </c>
      <c r="E14" s="4">
        <f t="shared" si="0"/>
        <v>10973100</v>
      </c>
      <c r="F14" s="6">
        <v>395</v>
      </c>
      <c r="G14" s="4">
        <f t="shared" si="2"/>
        <v>3876</v>
      </c>
      <c r="H14" s="4">
        <f>H13+D14</f>
        <v>88247290</v>
      </c>
      <c r="I14" s="6">
        <f t="shared" ref="I14:I19" si="8">H14/G14</f>
        <v>22767.618679050567</v>
      </c>
      <c r="J14" s="6">
        <f t="shared" si="5"/>
        <v>107675280</v>
      </c>
      <c r="K14" s="6">
        <f t="shared" ref="K14:K19" si="9">J14-H14</f>
        <v>19427990</v>
      </c>
      <c r="L14" s="6">
        <f t="shared" ref="L14:L19" si="10">100*(J14-H14)/H14</f>
        <v>22.015395600250162</v>
      </c>
      <c r="M14" s="44">
        <f>_xlfn.STDEV.S(D6:D14)</f>
        <v>3058.7828915726909</v>
      </c>
    </row>
    <row r="15" spans="1:14" ht="15.6">
      <c r="B15" t="s">
        <v>87</v>
      </c>
      <c r="C15" s="6">
        <v>10</v>
      </c>
      <c r="D15" s="11">
        <v>29890</v>
      </c>
      <c r="E15" s="4">
        <f t="shared" si="0"/>
        <v>10461500</v>
      </c>
      <c r="F15" s="6">
        <v>350</v>
      </c>
      <c r="G15" s="4">
        <f t="shared" si="2"/>
        <v>4226</v>
      </c>
      <c r="H15" s="4">
        <f t="shared" si="3"/>
        <v>98708790</v>
      </c>
      <c r="I15" s="6">
        <f t="shared" si="8"/>
        <v>23357.498816848085</v>
      </c>
      <c r="J15" s="6">
        <f t="shared" ref="J15:J19" si="11">G15*D15</f>
        <v>126315140</v>
      </c>
      <c r="K15" s="6">
        <f t="shared" si="9"/>
        <v>27606350</v>
      </c>
      <c r="L15" s="6">
        <f t="shared" si="10"/>
        <v>27.967468753289346</v>
      </c>
      <c r="M15" s="44">
        <f>_xlfn.STDEV.S(D6:D15)</f>
        <v>3128.5346232523762</v>
      </c>
    </row>
    <row r="16" spans="1:14" ht="15.6">
      <c r="A16" s="39"/>
      <c r="B16" s="39" t="s">
        <v>90</v>
      </c>
      <c r="C16" s="43">
        <v>11</v>
      </c>
      <c r="D16" s="42">
        <v>27490</v>
      </c>
      <c r="E16" s="17">
        <f t="shared" si="0"/>
        <v>10666120</v>
      </c>
      <c r="F16" s="43">
        <v>388</v>
      </c>
      <c r="G16" s="17">
        <f t="shared" si="2"/>
        <v>4614</v>
      </c>
      <c r="H16" s="17">
        <f t="shared" si="3"/>
        <v>109374910</v>
      </c>
      <c r="I16" s="43">
        <f t="shared" si="8"/>
        <v>23705.008669267449</v>
      </c>
      <c r="J16" s="43">
        <f t="shared" si="11"/>
        <v>126838860</v>
      </c>
      <c r="K16" s="43">
        <f t="shared" si="9"/>
        <v>17463950</v>
      </c>
      <c r="L16" s="43">
        <f t="shared" si="10"/>
        <v>15.967053138603726</v>
      </c>
      <c r="M16" s="50">
        <f>_xlfn.STDEV.S(D6:D16)</f>
        <v>2984.8895213299766</v>
      </c>
      <c r="N16" s="39" t="s">
        <v>85</v>
      </c>
    </row>
    <row r="17" spans="2:13" ht="15.6">
      <c r="B17" t="s">
        <v>104</v>
      </c>
      <c r="C17" s="8">
        <v>12</v>
      </c>
      <c r="D17" s="4">
        <v>14500</v>
      </c>
      <c r="E17" s="4">
        <f t="shared" si="0"/>
        <v>10962000</v>
      </c>
      <c r="F17" s="8">
        <v>756</v>
      </c>
      <c r="G17" s="4">
        <f>G16+F17+5260</f>
        <v>10630</v>
      </c>
      <c r="H17" s="4">
        <f t="shared" si="3"/>
        <v>120336910</v>
      </c>
      <c r="I17" s="8">
        <f t="shared" si="8"/>
        <v>11320.499529633114</v>
      </c>
      <c r="J17" s="8">
        <f t="shared" si="11"/>
        <v>154135000</v>
      </c>
      <c r="K17" s="8">
        <f t="shared" si="9"/>
        <v>33798090</v>
      </c>
      <c r="L17" s="8">
        <f t="shared" si="10"/>
        <v>28.086220595160704</v>
      </c>
      <c r="M17" s="44">
        <f>_xlfn.STDEV.S(D6:D17)</f>
        <v>4490.7651875484426</v>
      </c>
    </row>
    <row r="18" spans="2:13" ht="15.6">
      <c r="B18" t="s">
        <v>111</v>
      </c>
      <c r="C18" s="8">
        <v>13</v>
      </c>
      <c r="D18" s="11">
        <v>15800</v>
      </c>
      <c r="E18" s="4">
        <f t="shared" si="0"/>
        <v>12687400</v>
      </c>
      <c r="F18" s="8">
        <v>803</v>
      </c>
      <c r="G18" s="4">
        <f t="shared" si="2"/>
        <v>11433</v>
      </c>
      <c r="H18" s="4">
        <f t="shared" si="3"/>
        <v>133024310</v>
      </c>
      <c r="I18" s="8">
        <f t="shared" si="8"/>
        <v>11635.118516574827</v>
      </c>
      <c r="J18" s="8">
        <f t="shared" si="11"/>
        <v>180641400</v>
      </c>
      <c r="K18" s="8">
        <f t="shared" si="9"/>
        <v>47617090</v>
      </c>
      <c r="L18" s="8">
        <f t="shared" si="10"/>
        <v>35.795780485536817</v>
      </c>
      <c r="M18" s="44">
        <f>_xlfn.STDEV.S(D6:D18)</f>
        <v>5076.4327269027444</v>
      </c>
    </row>
    <row r="19" spans="2:13" ht="15.6">
      <c r="B19" t="s">
        <v>112</v>
      </c>
      <c r="C19" s="8">
        <v>14</v>
      </c>
      <c r="D19" s="11">
        <v>15750</v>
      </c>
      <c r="E19" s="4">
        <f t="shared" si="0"/>
        <v>13655250</v>
      </c>
      <c r="F19" s="8">
        <v>867</v>
      </c>
      <c r="G19" s="4">
        <f t="shared" si="2"/>
        <v>12300</v>
      </c>
      <c r="H19" s="4">
        <f t="shared" si="3"/>
        <v>146679560</v>
      </c>
      <c r="I19" s="8">
        <f t="shared" si="8"/>
        <v>11925.167479674798</v>
      </c>
      <c r="J19" s="8">
        <f t="shared" si="11"/>
        <v>193725000</v>
      </c>
      <c r="K19" s="8">
        <f t="shared" si="9"/>
        <v>47045440</v>
      </c>
      <c r="L19" s="8">
        <f t="shared" si="10"/>
        <v>32.073616801141206</v>
      </c>
      <c r="M19" s="55">
        <f>_xlfn.STDEV.S(D6:D23)</f>
        <v>6370.0529953367532</v>
      </c>
    </row>
    <row r="20" spans="2:13" ht="15.6">
      <c r="B20" t="s">
        <v>114</v>
      </c>
      <c r="C20" s="53">
        <v>15</v>
      </c>
      <c r="D20" s="54">
        <v>16190</v>
      </c>
      <c r="E20" s="4">
        <f t="shared" si="0"/>
        <v>13955780</v>
      </c>
      <c r="F20" s="53">
        <v>862</v>
      </c>
      <c r="G20" s="4">
        <f t="shared" si="2"/>
        <v>13162</v>
      </c>
      <c r="H20" s="4">
        <f t="shared" si="3"/>
        <v>160635340</v>
      </c>
      <c r="I20" s="53">
        <f>H20/G20</f>
        <v>12204.478042850631</v>
      </c>
      <c r="J20" s="53">
        <f>G20*D20</f>
        <v>213092780</v>
      </c>
      <c r="K20" s="53">
        <f>J20-H20</f>
        <v>52457440</v>
      </c>
      <c r="L20" s="53">
        <f>100*(J20-H20)/H20</f>
        <v>32.656226207757271</v>
      </c>
      <c r="M20" s="53">
        <f>_xlfn.STDEV.S(D15:D20)</f>
        <v>6846.2651618723257</v>
      </c>
    </row>
    <row r="21" spans="2:13" ht="15.6">
      <c r="B21" t="s">
        <v>113</v>
      </c>
      <c r="C21" s="53">
        <v>16</v>
      </c>
      <c r="D21" s="54">
        <v>15800</v>
      </c>
      <c r="E21" s="4">
        <f t="shared" si="0"/>
        <v>13888200</v>
      </c>
      <c r="F21" s="53">
        <v>879</v>
      </c>
      <c r="G21" s="4">
        <f t="shared" si="2"/>
        <v>14041</v>
      </c>
      <c r="H21" s="4">
        <f t="shared" si="3"/>
        <v>174523540</v>
      </c>
      <c r="I21" s="53">
        <f>H21/G21</f>
        <v>12429.566270208674</v>
      </c>
      <c r="J21" s="53">
        <f>G21*D21</f>
        <v>221847800</v>
      </c>
      <c r="K21" s="53">
        <f>J21-H21</f>
        <v>47324260</v>
      </c>
      <c r="L21" s="53">
        <f>100*(J21-H21)/H21</f>
        <v>27.116261794827221</v>
      </c>
      <c r="M21" s="53">
        <f>_xlfn.STDEV.S(D16:D21)</f>
        <v>4884.9131687949839</v>
      </c>
    </row>
    <row r="22" spans="2:13" ht="15.6">
      <c r="B22" t="s">
        <v>118</v>
      </c>
      <c r="C22" s="6">
        <v>17</v>
      </c>
      <c r="D22" s="6">
        <v>13700</v>
      </c>
      <c r="E22" s="4">
        <f t="shared" si="0"/>
        <v>14453500</v>
      </c>
      <c r="F22" s="20">
        <v>1055</v>
      </c>
      <c r="G22" s="4">
        <f t="shared" si="2"/>
        <v>15096</v>
      </c>
      <c r="H22" s="4">
        <f t="shared" si="3"/>
        <v>188977040</v>
      </c>
      <c r="I22" s="6">
        <f>H22/G22</f>
        <v>12518.351881293058</v>
      </c>
      <c r="J22" s="6">
        <f>G22*D22</f>
        <v>206815200</v>
      </c>
      <c r="K22" s="6">
        <f>J22-H22</f>
        <v>17838160</v>
      </c>
      <c r="L22" s="6">
        <f>100*(J22-H22)/H22</f>
        <v>9.4393265975591536</v>
      </c>
      <c r="M22" s="6">
        <f>_xlfn.STDEV.S(D17:D22)</f>
        <v>968.91692110314602</v>
      </c>
    </row>
    <row r="23" spans="2:13" ht="15.6">
      <c r="B23" t="s">
        <v>119</v>
      </c>
      <c r="C23" s="6">
        <v>18</v>
      </c>
      <c r="D23" s="6">
        <v>12010</v>
      </c>
      <c r="E23" s="4">
        <f t="shared" si="0"/>
        <v>13955620</v>
      </c>
      <c r="F23" s="6">
        <v>1162</v>
      </c>
      <c r="G23" s="4">
        <f t="shared" si="2"/>
        <v>16258</v>
      </c>
      <c r="H23" s="4">
        <f t="shared" si="3"/>
        <v>202932660</v>
      </c>
      <c r="I23" s="6">
        <f>H23/G23</f>
        <v>12482.0186984869</v>
      </c>
      <c r="J23" s="6">
        <f>G23*D23</f>
        <v>195258580</v>
      </c>
      <c r="K23" s="6">
        <f>J23-H23</f>
        <v>-7674080</v>
      </c>
      <c r="L23" s="6">
        <f>100*(J23-H23)/H23</f>
        <v>-3.7815894198597704</v>
      </c>
      <c r="M23" s="6">
        <f>_xlfn.STDEV.S(D18:D23)</f>
        <v>1661.0207704902427</v>
      </c>
    </row>
    <row r="32" spans="2:13">
      <c r="H32" t="s">
        <v>103</v>
      </c>
      <c r="I32" t="s">
        <v>98</v>
      </c>
    </row>
    <row r="33" spans="8:9">
      <c r="H33">
        <v>9694</v>
      </c>
      <c r="I33">
        <v>8473</v>
      </c>
    </row>
    <row r="34" spans="8:9">
      <c r="H34">
        <v>5260</v>
      </c>
      <c r="I34">
        <v>4614</v>
      </c>
    </row>
    <row r="35" spans="8:9">
      <c r="H35" t="s">
        <v>105</v>
      </c>
      <c r="I35" t="s">
        <v>100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21"/>
  <sheetViews>
    <sheetView tabSelected="1" topLeftCell="A3" workbookViewId="0">
      <selection activeCell="H15" sqref="H15"/>
    </sheetView>
  </sheetViews>
  <sheetFormatPr defaultRowHeight="14.4"/>
  <cols>
    <col min="7" max="7" width="17" customWidth="1"/>
    <col min="8" max="8" width="16.77734375" customWidth="1"/>
    <col min="9" max="9" width="24" customWidth="1"/>
    <col min="10" max="10" width="19.21875" customWidth="1"/>
    <col min="11" max="11" width="12.88671875" customWidth="1"/>
    <col min="12" max="12" width="13.5546875" customWidth="1"/>
    <col min="13" max="13" width="12" customWidth="1"/>
    <col min="14" max="14" width="16.109375" customWidth="1"/>
  </cols>
  <sheetData>
    <row r="4" spans="6:11" ht="21">
      <c r="F4" s="25" t="s">
        <v>45</v>
      </c>
      <c r="G4" s="25" t="s">
        <v>51</v>
      </c>
      <c r="H4" s="25" t="s">
        <v>69</v>
      </c>
      <c r="I4" s="25" t="s">
        <v>46</v>
      </c>
      <c r="J4" s="22"/>
      <c r="K4" s="22"/>
    </row>
    <row r="5" spans="6:11" ht="18">
      <c r="F5" s="23" t="s">
        <v>36</v>
      </c>
      <c r="G5" s="24">
        <f>کچاد!D23</f>
        <v>12010</v>
      </c>
      <c r="H5" s="24">
        <f>کچاد!G23</f>
        <v>16258</v>
      </c>
      <c r="I5" s="24">
        <f>H5*G5</f>
        <v>195258580</v>
      </c>
    </row>
    <row r="6" spans="6:11" ht="18">
      <c r="F6" s="23" t="s">
        <v>37</v>
      </c>
      <c r="G6" s="24">
        <f>شستا!D23</f>
        <v>964</v>
      </c>
      <c r="H6" s="24">
        <f>شستا!G23</f>
        <v>201260</v>
      </c>
      <c r="I6" s="24">
        <f t="shared" ref="I6:I14" si="0">H6*G6</f>
        <v>194014640</v>
      </c>
    </row>
    <row r="7" spans="6:11" ht="18">
      <c r="F7" s="23" t="s">
        <v>38</v>
      </c>
      <c r="G7" s="24">
        <f>فملی!D22</f>
        <v>5280</v>
      </c>
      <c r="H7" s="24">
        <f>فملی!G22</f>
        <v>33460</v>
      </c>
      <c r="I7" s="24">
        <f t="shared" si="0"/>
        <v>176668800</v>
      </c>
    </row>
    <row r="8" spans="6:11" ht="18">
      <c r="F8" s="23" t="s">
        <v>39</v>
      </c>
      <c r="G8" s="24">
        <f>آریا!D23</f>
        <v>70050</v>
      </c>
      <c r="H8" s="24">
        <f>آریا!G23</f>
        <v>3093</v>
      </c>
      <c r="I8" s="24">
        <f t="shared" si="0"/>
        <v>216664650</v>
      </c>
    </row>
    <row r="9" spans="6:11" ht="18">
      <c r="F9" s="23" t="s">
        <v>40</v>
      </c>
      <c r="G9" s="24">
        <f>فروی!D22</f>
        <v>13200</v>
      </c>
      <c r="H9" s="24">
        <f>فروی!G22</f>
        <v>9444</v>
      </c>
      <c r="I9" s="24">
        <f t="shared" si="0"/>
        <v>124660800</v>
      </c>
    </row>
    <row r="10" spans="6:11" ht="18">
      <c r="F10" s="23" t="s">
        <v>110</v>
      </c>
      <c r="G10" s="49">
        <f>فزر!D9</f>
        <v>22150</v>
      </c>
      <c r="H10" s="24">
        <f>فزر!G18</f>
        <v>1493</v>
      </c>
      <c r="I10" s="24">
        <f t="shared" si="0"/>
        <v>33069950</v>
      </c>
    </row>
    <row r="11" spans="6:11" ht="18">
      <c r="F11" s="23" t="s">
        <v>41</v>
      </c>
      <c r="G11" s="24">
        <v>498764000</v>
      </c>
      <c r="H11" s="24">
        <f>AUD!G10</f>
        <v>0.151784</v>
      </c>
      <c r="I11" s="24">
        <f t="shared" si="0"/>
        <v>75704394.975999996</v>
      </c>
    </row>
    <row r="12" spans="6:11" ht="18">
      <c r="F12" s="23" t="s">
        <v>42</v>
      </c>
      <c r="G12" s="24">
        <v>303921.59999999998</v>
      </c>
      <c r="H12" s="24">
        <f>USDT!G23</f>
        <v>1028.545017330066</v>
      </c>
      <c r="I12" s="24">
        <f t="shared" si="0"/>
        <v>312597047.33898139</v>
      </c>
    </row>
    <row r="13" spans="6:11" ht="18">
      <c r="F13" s="23" t="s">
        <v>43</v>
      </c>
      <c r="G13" s="49">
        <v>468434362.07999992</v>
      </c>
      <c r="H13" s="24">
        <f>ETH!G23</f>
        <v>0.43934066528052323</v>
      </c>
      <c r="I13" s="24">
        <f t="shared" si="0"/>
        <v>205802264.27648467</v>
      </c>
    </row>
    <row r="14" spans="6:11" ht="18">
      <c r="F14" s="23" t="s">
        <v>44</v>
      </c>
      <c r="G14" s="24">
        <v>6040329349.0079994</v>
      </c>
      <c r="H14" s="24">
        <f>BTC!G23</f>
        <v>4.3706863949517345E-2</v>
      </c>
      <c r="I14" s="24">
        <f t="shared" si="0"/>
        <v>264003853.06736931</v>
      </c>
    </row>
    <row r="15" spans="6:11" ht="18">
      <c r="F15" s="28" t="s">
        <v>70</v>
      </c>
      <c r="G15" s="33"/>
      <c r="H15" s="33"/>
      <c r="I15" s="28">
        <f>SUM(I5:I14)</f>
        <v>1798444979.6588354</v>
      </c>
    </row>
    <row r="21" spans="7:7">
      <c r="G21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2"/>
  <sheetViews>
    <sheetView topLeftCell="A8" workbookViewId="0">
      <selection activeCell="G26" sqref="G26"/>
    </sheetView>
  </sheetViews>
  <sheetFormatPr defaultRowHeight="14.4"/>
  <cols>
    <col min="4" max="4" width="15" customWidth="1"/>
    <col min="5" max="5" width="13.21875" customWidth="1"/>
    <col min="6" max="6" width="14.44140625" customWidth="1"/>
    <col min="7" max="7" width="18.88671875" customWidth="1"/>
    <col min="8" max="8" width="16.5546875" customWidth="1"/>
    <col min="9" max="9" width="21.109375" customWidth="1"/>
    <col min="10" max="10" width="13.21875" customWidth="1"/>
    <col min="11" max="11" width="17" customWidth="1"/>
    <col min="12" max="12" width="10" customWidth="1"/>
    <col min="13" max="13" width="12" customWidth="1"/>
    <col min="14" max="14" width="16.109375" customWidth="1"/>
  </cols>
  <sheetData>
    <row r="7" spans="3:13">
      <c r="I7" t="s">
        <v>72</v>
      </c>
    </row>
    <row r="8" spans="3:13">
      <c r="G8" t="s">
        <v>89</v>
      </c>
    </row>
    <row r="9" spans="3:13" ht="20.399999999999999">
      <c r="C9" s="26"/>
      <c r="D9" s="27" t="s">
        <v>10</v>
      </c>
      <c r="E9" s="27" t="s">
        <v>50</v>
      </c>
      <c r="F9" s="27" t="s">
        <v>49</v>
      </c>
      <c r="G9" s="27" t="s">
        <v>68</v>
      </c>
      <c r="H9" s="27" t="s">
        <v>47</v>
      </c>
      <c r="I9" s="27" t="s">
        <v>65</v>
      </c>
      <c r="J9" s="27" t="s">
        <v>120</v>
      </c>
      <c r="K9" s="27" t="s">
        <v>48</v>
      </c>
      <c r="L9" s="27" t="s">
        <v>52</v>
      </c>
      <c r="M9" s="27" t="s">
        <v>66</v>
      </c>
    </row>
    <row r="10" spans="3:13" ht="15.6" customHeight="1">
      <c r="D10" s="52">
        <v>-1.4452618047384687</v>
      </c>
      <c r="E10" s="52">
        <v>-19019645.350358248</v>
      </c>
      <c r="F10" s="52">
        <v>1296980354.6496418</v>
      </c>
      <c r="G10" s="52">
        <v>1296980354.6496418</v>
      </c>
      <c r="H10" s="52">
        <v>0</v>
      </c>
      <c r="I10" s="52">
        <v>1316000000</v>
      </c>
      <c r="J10" s="56">
        <v>1203942546.9305999</v>
      </c>
      <c r="K10" s="52">
        <v>1316000000</v>
      </c>
      <c r="L10" s="51" t="s">
        <v>64</v>
      </c>
      <c r="M10" s="21">
        <v>1400</v>
      </c>
    </row>
    <row r="11" spans="3:13" ht="23.4" customHeight="1">
      <c r="D11" s="52">
        <f t="shared" ref="D11:D22" si="0">100*E11/K11</f>
        <v>6.5519903398567756</v>
      </c>
      <c r="E11" s="52">
        <f t="shared" ref="E11:E22" si="1">F11-K11</f>
        <v>96101318.309849262</v>
      </c>
      <c r="F11" s="52">
        <f>G11+H11</f>
        <v>1562851318.3098493</v>
      </c>
      <c r="G11" s="52">
        <v>1539101318.3098493</v>
      </c>
      <c r="H11" s="52">
        <f t="shared" ref="H11:H16" si="2">K11-I11</f>
        <v>23750000</v>
      </c>
      <c r="I11" s="52">
        <f>I10+127000000</f>
        <v>1443000000</v>
      </c>
      <c r="J11" s="52">
        <v>1308092890.1405201</v>
      </c>
      <c r="K11" s="52">
        <v>1466750000</v>
      </c>
      <c r="L11" s="51" t="s">
        <v>53</v>
      </c>
      <c r="M11" s="59">
        <v>1401</v>
      </c>
    </row>
    <row r="12" spans="3:13" ht="23.4" customHeight="1">
      <c r="D12" s="52">
        <f t="shared" si="0"/>
        <v>5.1202878350997594</v>
      </c>
      <c r="E12" s="52">
        <f t="shared" si="1"/>
        <v>82106375.579742193</v>
      </c>
      <c r="F12" s="52">
        <f>G12+H12</f>
        <v>1685656375.5797422</v>
      </c>
      <c r="G12" s="52">
        <v>1662106375.5797422</v>
      </c>
      <c r="H12" s="52">
        <f t="shared" si="2"/>
        <v>23550000</v>
      </c>
      <c r="I12" s="52">
        <f>I11+137000000</f>
        <v>1580000000</v>
      </c>
      <c r="J12" s="52">
        <v>1418602225.5200901</v>
      </c>
      <c r="K12" s="52">
        <v>1603550000</v>
      </c>
      <c r="L12" s="51" t="s">
        <v>54</v>
      </c>
      <c r="M12" s="59"/>
    </row>
    <row r="13" spans="3:13" ht="23.4" customHeight="1">
      <c r="D13" s="52">
        <f t="shared" si="0"/>
        <v>-0.25160645809297122</v>
      </c>
      <c r="E13" s="52">
        <f t="shared" si="1"/>
        <v>-4418838.4202578068</v>
      </c>
      <c r="F13" s="52">
        <f t="shared" ref="F13:F17" si="3">G13+H13</f>
        <v>1751831161.5797422</v>
      </c>
      <c r="G13" s="52">
        <v>1715581161.5797422</v>
      </c>
      <c r="H13" s="52">
        <f t="shared" si="2"/>
        <v>36250000</v>
      </c>
      <c r="I13" s="52">
        <f>I12+140000000</f>
        <v>1720000000</v>
      </c>
      <c r="J13" s="52">
        <v>1529680174.2084301</v>
      </c>
      <c r="K13" s="52">
        <v>1756250000</v>
      </c>
      <c r="L13" s="51" t="s">
        <v>55</v>
      </c>
      <c r="M13" s="59"/>
    </row>
    <row r="14" spans="3:13" ht="23.4" customHeight="1">
      <c r="D14" s="52">
        <f t="shared" si="0"/>
        <v>-12.437770796540365</v>
      </c>
      <c r="E14" s="52">
        <f t="shared" si="1"/>
        <v>-235515408.91789007</v>
      </c>
      <c r="F14" s="52">
        <f t="shared" si="3"/>
        <v>1658034591.0821099</v>
      </c>
      <c r="G14" s="52">
        <v>1624484591.0821099</v>
      </c>
      <c r="H14" s="52">
        <f t="shared" si="2"/>
        <v>33550000</v>
      </c>
      <c r="I14" s="52">
        <f>I13+140000000</f>
        <v>1860000000</v>
      </c>
      <c r="J14" s="52">
        <v>1638937172.9182701</v>
      </c>
      <c r="K14" s="52">
        <v>1893550000</v>
      </c>
      <c r="L14" s="51" t="s">
        <v>56</v>
      </c>
      <c r="M14" s="59"/>
    </row>
    <row r="15" spans="3:13" ht="23.4" customHeight="1">
      <c r="D15" s="52">
        <f t="shared" si="0"/>
        <v>-12.16478631996498</v>
      </c>
      <c r="E15" s="52">
        <f t="shared" si="1"/>
        <v>-246592383.49201012</v>
      </c>
      <c r="F15" s="52">
        <f t="shared" si="3"/>
        <v>1780507616.5079899</v>
      </c>
      <c r="G15" s="52">
        <v>1760407616.5079899</v>
      </c>
      <c r="H15" s="52">
        <f t="shared" si="2"/>
        <v>20100000</v>
      </c>
      <c r="I15" s="52">
        <f>I14+147000000</f>
        <v>2007000000</v>
      </c>
      <c r="J15" s="52">
        <v>1751776368.3071201</v>
      </c>
      <c r="K15" s="52">
        <v>2027100000</v>
      </c>
      <c r="L15" s="51" t="s">
        <v>57</v>
      </c>
      <c r="M15" s="59"/>
    </row>
    <row r="16" spans="3:13" ht="23.4" customHeight="1">
      <c r="D16" s="52">
        <f t="shared" si="0"/>
        <v>-16.182201003608206</v>
      </c>
      <c r="E16" s="52">
        <f t="shared" si="1"/>
        <v>-350555020.34116459</v>
      </c>
      <c r="F16" s="52">
        <f t="shared" si="3"/>
        <v>1815744979.6588354</v>
      </c>
      <c r="G16" s="52">
        <v>1798444979.6588354</v>
      </c>
      <c r="H16" s="52">
        <f t="shared" si="2"/>
        <v>17300000</v>
      </c>
      <c r="I16" s="52">
        <f>I15+142000000</f>
        <v>2149000000</v>
      </c>
      <c r="J16" s="52">
        <v>1871443989.7434599</v>
      </c>
      <c r="K16" s="52">
        <v>2166300000</v>
      </c>
      <c r="L16" s="51" t="s">
        <v>58</v>
      </c>
      <c r="M16" s="59"/>
    </row>
    <row r="17" spans="4:13" ht="23.4" customHeight="1">
      <c r="D17" s="52" t="e">
        <f t="shared" si="0"/>
        <v>#DIV/0!</v>
      </c>
      <c r="E17" s="52">
        <f t="shared" si="1"/>
        <v>0</v>
      </c>
      <c r="F17" s="52">
        <f t="shared" si="3"/>
        <v>0</v>
      </c>
      <c r="G17" s="52">
        <v>0</v>
      </c>
      <c r="H17" s="52">
        <v>0</v>
      </c>
      <c r="I17" s="52">
        <v>0</v>
      </c>
      <c r="J17" s="52"/>
      <c r="K17" s="52">
        <v>0</v>
      </c>
      <c r="L17" s="51" t="s">
        <v>59</v>
      </c>
      <c r="M17" s="59"/>
    </row>
    <row r="18" spans="4:13" ht="23.4" customHeight="1">
      <c r="D18" s="52" t="e">
        <f t="shared" si="0"/>
        <v>#DIV/0!</v>
      </c>
      <c r="E18" s="52">
        <f t="shared" si="1"/>
        <v>0</v>
      </c>
      <c r="F18" s="52">
        <f>G18+H18</f>
        <v>0</v>
      </c>
      <c r="G18" s="52">
        <v>0</v>
      </c>
      <c r="H18" s="52">
        <v>0</v>
      </c>
      <c r="I18" s="52">
        <v>0</v>
      </c>
      <c r="J18" s="52"/>
      <c r="K18" s="52">
        <v>0</v>
      </c>
      <c r="L18" s="51" t="s">
        <v>60</v>
      </c>
      <c r="M18" s="59"/>
    </row>
    <row r="19" spans="4:13" ht="23.4" customHeight="1">
      <c r="D19" s="52" t="e">
        <f t="shared" si="0"/>
        <v>#DIV/0!</v>
      </c>
      <c r="E19" s="52">
        <f t="shared" si="1"/>
        <v>0</v>
      </c>
      <c r="F19" s="52">
        <f>G19+H19</f>
        <v>0</v>
      </c>
      <c r="G19" s="52">
        <v>0</v>
      </c>
      <c r="H19" s="52">
        <f>Table5[[#This Row],[کل واریزی صندوق]]-I19</f>
        <v>0</v>
      </c>
      <c r="I19" s="52">
        <v>0</v>
      </c>
      <c r="J19" s="52"/>
      <c r="K19" s="52">
        <v>0</v>
      </c>
      <c r="L19" s="51" t="s">
        <v>61</v>
      </c>
      <c r="M19" s="59"/>
    </row>
    <row r="20" spans="4:13" ht="23.4" customHeight="1">
      <c r="D20" s="52" t="e">
        <f t="shared" si="0"/>
        <v>#DIV/0!</v>
      </c>
      <c r="E20" s="52">
        <f t="shared" si="1"/>
        <v>0</v>
      </c>
      <c r="F20" s="52">
        <f>G20+H20</f>
        <v>0</v>
      </c>
      <c r="G20" s="52">
        <v>0</v>
      </c>
      <c r="H20" s="52">
        <v>0</v>
      </c>
      <c r="I20" s="52">
        <v>0</v>
      </c>
      <c r="J20" s="52"/>
      <c r="K20" s="52">
        <v>0</v>
      </c>
      <c r="L20" s="51" t="s">
        <v>62</v>
      </c>
      <c r="M20" s="59"/>
    </row>
    <row r="21" spans="4:13" ht="23.4" customHeight="1">
      <c r="D21" s="52" t="e">
        <f t="shared" si="0"/>
        <v>#DIV/0!</v>
      </c>
      <c r="E21" s="52">
        <f t="shared" si="1"/>
        <v>0</v>
      </c>
      <c r="F21" s="52">
        <f>G21+H21</f>
        <v>0</v>
      </c>
      <c r="G21" s="52">
        <v>0</v>
      </c>
      <c r="H21" s="52">
        <v>0</v>
      </c>
      <c r="I21" s="52">
        <v>0</v>
      </c>
      <c r="J21" s="52"/>
      <c r="K21" s="52">
        <v>0</v>
      </c>
      <c r="L21" s="51" t="s">
        <v>63</v>
      </c>
      <c r="M21" s="59"/>
    </row>
    <row r="22" spans="4:13" ht="23.4">
      <c r="D22" s="52" t="e">
        <f t="shared" si="0"/>
        <v>#DIV/0!</v>
      </c>
      <c r="E22" s="52">
        <f t="shared" si="1"/>
        <v>0</v>
      </c>
      <c r="F22" s="52">
        <f>G22+H22</f>
        <v>0</v>
      </c>
      <c r="G22" s="52">
        <v>0</v>
      </c>
      <c r="H22" s="52">
        <v>0</v>
      </c>
      <c r="I22" s="52">
        <v>0</v>
      </c>
      <c r="J22" s="52"/>
      <c r="K22" s="52">
        <v>0</v>
      </c>
      <c r="L22" s="51" t="s">
        <v>64</v>
      </c>
      <c r="M22" s="59"/>
    </row>
  </sheetData>
  <mergeCells count="1">
    <mergeCell ref="M11:M22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4" workbookViewId="0">
      <selection activeCell="C18" sqref="C18:F23"/>
    </sheetView>
  </sheetViews>
  <sheetFormatPr defaultRowHeight="14.4"/>
  <cols>
    <col min="2" max="2" width="14.6640625" bestFit="1" customWidth="1"/>
    <col min="3" max="3" width="11" bestFit="1" customWidth="1"/>
    <col min="4" max="5" width="13.109375" customWidth="1"/>
    <col min="6" max="6" width="13.6640625" customWidth="1"/>
    <col min="7" max="7" width="20" customWidth="1"/>
    <col min="8" max="8" width="18.5546875" customWidth="1"/>
    <col min="9" max="9" width="13.21875" customWidth="1"/>
    <col min="10" max="10" width="16.109375" customWidth="1"/>
    <col min="11" max="11" width="16.77734375" bestFit="1" customWidth="1"/>
    <col min="12" max="12" width="21.109375" customWidth="1"/>
    <col min="13" max="13" width="11.21875" customWidth="1"/>
  </cols>
  <sheetData>
    <row r="2" spans="2:13" ht="31.2">
      <c r="G2" s="9"/>
    </row>
    <row r="4" spans="2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24</v>
      </c>
    </row>
    <row r="5" spans="2:13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15" t="s">
        <v>26</v>
      </c>
    </row>
    <row r="6" spans="2:13" ht="16.2" thickBot="1">
      <c r="B6" s="5">
        <v>44254.975983796299</v>
      </c>
      <c r="C6" s="4">
        <v>1</v>
      </c>
      <c r="D6" s="4">
        <f>1818*Table118[[#This Row],[dolar]]</f>
        <v>491925348</v>
      </c>
      <c r="E6" s="4">
        <f>D6*F6</f>
        <v>9223600.2750000004</v>
      </c>
      <c r="F6" s="4">
        <v>1.8749999999999999E-2</v>
      </c>
      <c r="G6" s="4">
        <v>1.8749999999999999E-2</v>
      </c>
      <c r="H6" s="4">
        <v>9223600.2750000004</v>
      </c>
      <c r="I6" s="4">
        <f>H6/G6</f>
        <v>491925348.00000006</v>
      </c>
      <c r="J6" s="4">
        <f>G6*D6</f>
        <v>9223600.2750000004</v>
      </c>
      <c r="K6" s="4">
        <f>J6-H6</f>
        <v>0</v>
      </c>
      <c r="L6" s="4">
        <f>100*(J6-H6)/H6</f>
        <v>0</v>
      </c>
      <c r="M6" s="16" t="s">
        <v>25</v>
      </c>
    </row>
    <row r="7" spans="2:13" ht="15.6">
      <c r="B7" s="5">
        <v>44261.863576388889</v>
      </c>
      <c r="C7" s="4">
        <v>2</v>
      </c>
      <c r="D7" s="4">
        <f>2316.6*Table118[[#This Row],[dolar]]</f>
        <v>576441894.60000002</v>
      </c>
      <c r="E7" s="4">
        <f t="shared" ref="E7:E23" si="0">D7*F7</f>
        <v>18659424.128202002</v>
      </c>
      <c r="F7" s="4">
        <v>3.2370000000000003E-2</v>
      </c>
      <c r="G7" s="4">
        <f t="shared" ref="G7:G23" si="1">G6+F7</f>
        <v>5.1119999999999999E-2</v>
      </c>
      <c r="H7" s="4">
        <f t="shared" ref="H7:H23" si="2">H6+E7</f>
        <v>27883024.403202005</v>
      </c>
      <c r="I7" s="4">
        <f t="shared" ref="I7:I13" si="3">H7/G7</f>
        <v>545442574.39753532</v>
      </c>
      <c r="J7" s="4">
        <f t="shared" ref="J7:J13" si="4">G7*D7</f>
        <v>29467709.651952002</v>
      </c>
      <c r="K7" s="4">
        <f t="shared" ref="K7:K13" si="5">J7-H7</f>
        <v>1584685.2487499975</v>
      </c>
      <c r="L7" s="4">
        <f t="shared" ref="L7:L13" si="6">100*(J7-H7)/H7</f>
        <v>5.6833334355509049</v>
      </c>
      <c r="M7" s="8">
        <v>248831</v>
      </c>
    </row>
    <row r="8" spans="2:13" ht="15.6">
      <c r="B8" s="7">
        <v>44342</v>
      </c>
      <c r="C8" s="6">
        <v>3</v>
      </c>
      <c r="D8" s="4">
        <f>2725.45*M8</f>
        <v>663391054.93168223</v>
      </c>
      <c r="E8" s="4">
        <f t="shared" si="0"/>
        <v>14189934.664988682</v>
      </c>
      <c r="F8" s="6">
        <v>2.1389999999999999E-2</v>
      </c>
      <c r="G8" s="4">
        <f t="shared" si="1"/>
        <v>7.2509999999999991E-2</v>
      </c>
      <c r="H8" s="4">
        <f t="shared" si="2"/>
        <v>42072959.068190686</v>
      </c>
      <c r="I8" s="6">
        <f t="shared" si="3"/>
        <v>580236644.16205621</v>
      </c>
      <c r="J8" s="6">
        <f t="shared" si="4"/>
        <v>48102485.393096276</v>
      </c>
      <c r="K8" s="6">
        <f t="shared" si="5"/>
        <v>6029526.3249055892</v>
      </c>
      <c r="L8" s="4">
        <f t="shared" si="6"/>
        <v>14.331120174202864</v>
      </c>
      <c r="M8" s="8">
        <f>(57000000+5700)/234.2</f>
        <v>243406.06319385141</v>
      </c>
    </row>
    <row r="9" spans="2:13" ht="15.6">
      <c r="B9" s="19">
        <v>44373.427210648151</v>
      </c>
      <c r="C9" s="6">
        <v>4</v>
      </c>
      <c r="D9" s="4">
        <f>1766.41*Table118[[#This Row],[dolar]]</f>
        <v>439206826.4014467</v>
      </c>
      <c r="E9" s="4">
        <f t="shared" si="0"/>
        <v>13738389.529837254</v>
      </c>
      <c r="F9" s="6" t="s">
        <v>35</v>
      </c>
      <c r="G9" s="4">
        <f t="shared" si="1"/>
        <v>0.10378999999999999</v>
      </c>
      <c r="H9" s="4">
        <f t="shared" si="2"/>
        <v>55811348.598027945</v>
      </c>
      <c r="I9" s="6">
        <f t="shared" si="3"/>
        <v>537733390.48104775</v>
      </c>
      <c r="J9" s="6">
        <f t="shared" si="4"/>
        <v>45585276.512206152</v>
      </c>
      <c r="K9" s="6">
        <f t="shared" si="5"/>
        <v>-10226072.085821792</v>
      </c>
      <c r="L9" s="6">
        <f t="shared" si="6"/>
        <v>-18.32256761877122</v>
      </c>
      <c r="M9" s="8">
        <v>248643.76130198917</v>
      </c>
    </row>
    <row r="10" spans="2:13" ht="15.6">
      <c r="B10" s="5">
        <v>44404.632384259261</v>
      </c>
      <c r="C10" s="6">
        <v>5</v>
      </c>
      <c r="D10" s="4">
        <f>2303.75*Table118[[#This Row],[dolar]]</f>
        <v>581049521.25</v>
      </c>
      <c r="E10" s="4">
        <f t="shared" si="0"/>
        <v>12986456.7999375</v>
      </c>
      <c r="F10" s="6">
        <v>2.2349999999999998E-2</v>
      </c>
      <c r="G10" s="4">
        <f t="shared" si="1"/>
        <v>0.12614</v>
      </c>
      <c r="H10" s="4">
        <f t="shared" si="2"/>
        <v>68797805.397965446</v>
      </c>
      <c r="I10" s="6">
        <f t="shared" si="3"/>
        <v>545408319.31160176</v>
      </c>
      <c r="J10" s="6">
        <f t="shared" si="4"/>
        <v>73293586.610475004</v>
      </c>
      <c r="K10" s="6">
        <f t="shared" si="5"/>
        <v>4495781.2125095576</v>
      </c>
      <c r="L10" s="6">
        <f t="shared" si="6"/>
        <v>6.5347741639481294</v>
      </c>
      <c r="M10" s="4">
        <v>252219</v>
      </c>
    </row>
    <row r="11" spans="2:13" ht="15.6">
      <c r="B11" t="s">
        <v>74</v>
      </c>
      <c r="C11" s="6">
        <v>6</v>
      </c>
      <c r="D11" s="4">
        <f>3242.64*Table118[[#This Row],[dolar]]</f>
        <v>922206816</v>
      </c>
      <c r="E11" s="4">
        <f t="shared" si="0"/>
        <v>19089681.091200002</v>
      </c>
      <c r="F11" s="6">
        <v>2.07E-2</v>
      </c>
      <c r="G11" s="4">
        <f t="shared" si="1"/>
        <v>0.14684</v>
      </c>
      <c r="H11" s="4">
        <f t="shared" si="2"/>
        <v>87887486.489165455</v>
      </c>
      <c r="I11" s="6">
        <f t="shared" si="3"/>
        <v>598525514.09129298</v>
      </c>
      <c r="J11" s="6">
        <f t="shared" si="4"/>
        <v>135416848.86144</v>
      </c>
      <c r="K11" s="6">
        <f t="shared" si="5"/>
        <v>47529362.372274548</v>
      </c>
      <c r="L11" s="6">
        <f t="shared" si="6"/>
        <v>54.079783449187445</v>
      </c>
      <c r="M11" s="4">
        <v>284400</v>
      </c>
    </row>
    <row r="12" spans="2:13" ht="15.6">
      <c r="B12" s="5" t="s">
        <v>76</v>
      </c>
      <c r="C12" s="8">
        <v>7</v>
      </c>
      <c r="D12" s="4">
        <f>2918.38*Table118[[#This Row],[dolar]]</f>
        <v>843484779.5</v>
      </c>
      <c r="E12" s="4">
        <f t="shared" si="0"/>
        <v>18050574.281300001</v>
      </c>
      <c r="F12" s="8">
        <v>2.1399999999999999E-2</v>
      </c>
      <c r="G12" s="4">
        <f t="shared" si="1"/>
        <v>0.16824</v>
      </c>
      <c r="H12" s="4">
        <f t="shared" si="2"/>
        <v>105938060.77046546</v>
      </c>
      <c r="I12" s="8">
        <f t="shared" si="3"/>
        <v>629684146.2818917</v>
      </c>
      <c r="J12" s="8">
        <f t="shared" si="4"/>
        <v>141907879.30307999</v>
      </c>
      <c r="K12" s="8">
        <f t="shared" si="5"/>
        <v>35969818.532614529</v>
      </c>
      <c r="L12" s="8">
        <f t="shared" si="6"/>
        <v>33.953631273796709</v>
      </c>
      <c r="M12" s="31">
        <v>289025</v>
      </c>
    </row>
    <row r="13" spans="2:13" ht="15.6">
      <c r="B13" s="5" t="s">
        <v>78</v>
      </c>
      <c r="C13" s="6">
        <v>8</v>
      </c>
      <c r="D13" s="4">
        <f>Table118[[#This Row],[dolar]]*4036.81</f>
        <v>1144511579.2262852</v>
      </c>
      <c r="E13" s="4">
        <f t="shared" si="0"/>
        <v>17579697.856915742</v>
      </c>
      <c r="F13" s="6">
        <v>1.536E-2</v>
      </c>
      <c r="G13" s="4">
        <f t="shared" si="1"/>
        <v>0.18360000000000001</v>
      </c>
      <c r="H13" s="4">
        <f t="shared" si="2"/>
        <v>123517758.62738121</v>
      </c>
      <c r="I13" s="6">
        <f t="shared" si="3"/>
        <v>672754676.61972332</v>
      </c>
      <c r="J13" s="6">
        <f t="shared" si="4"/>
        <v>210132325.94594598</v>
      </c>
      <c r="K13" s="6">
        <f t="shared" si="5"/>
        <v>86614567.318564773</v>
      </c>
      <c r="L13" s="6">
        <f t="shared" si="6"/>
        <v>70.123169559655693</v>
      </c>
      <c r="M13" s="4">
        <v>283518.81293057767</v>
      </c>
    </row>
    <row r="14" spans="2:13" ht="15.6">
      <c r="B14" s="5" t="s">
        <v>81</v>
      </c>
      <c r="C14" s="6">
        <v>9</v>
      </c>
      <c r="D14" s="4">
        <f>4064.93 *Table118[[#This Row],[dolar]]</f>
        <v>1228210459.8143163</v>
      </c>
      <c r="E14" s="4">
        <f t="shared" si="0"/>
        <v>17809051.667307585</v>
      </c>
      <c r="F14" s="6">
        <v>1.4500000000000001E-2</v>
      </c>
      <c r="G14" s="4">
        <f t="shared" si="1"/>
        <v>0.19810000000000003</v>
      </c>
      <c r="H14" s="4">
        <f t="shared" si="2"/>
        <v>141326810.29468879</v>
      </c>
      <c r="I14" s="6">
        <f t="shared" ref="I14:I19" si="7">H14/G14</f>
        <v>713411460.34673786</v>
      </c>
      <c r="J14" s="6">
        <f t="shared" ref="J14:J19" si="8">G14*D14</f>
        <v>243308492.08921608</v>
      </c>
      <c r="K14" s="6">
        <f t="shared" ref="K14:K19" si="9">J14-H14</f>
        <v>101981681.79452729</v>
      </c>
      <c r="L14" s="6">
        <f t="shared" ref="L14:L19" si="10">100*(J14-H14)/H14</f>
        <v>72.160180776654698</v>
      </c>
      <c r="M14" s="8">
        <v>302147.99758281599</v>
      </c>
    </row>
    <row r="15" spans="2:13" ht="15.6">
      <c r="B15" s="5" t="s">
        <v>88</v>
      </c>
      <c r="C15" s="6">
        <v>10</v>
      </c>
      <c r="D15" s="4">
        <f>4068.86 *Table118[[#This Row],[dolar]]</f>
        <v>1235814212.034384</v>
      </c>
      <c r="E15" s="4">
        <f t="shared" si="0"/>
        <v>17350831.536962751</v>
      </c>
      <c r="F15" s="6">
        <v>1.404E-2</v>
      </c>
      <c r="G15" s="4">
        <f t="shared" si="1"/>
        <v>0.21214000000000002</v>
      </c>
      <c r="H15" s="4">
        <f t="shared" si="2"/>
        <v>158677641.83165154</v>
      </c>
      <c r="I15" s="6">
        <f t="shared" si="7"/>
        <v>747985489.92010713</v>
      </c>
      <c r="J15" s="6">
        <f t="shared" si="8"/>
        <v>262165626.94097427</v>
      </c>
      <c r="K15" s="6">
        <f t="shared" si="9"/>
        <v>103487985.10932273</v>
      </c>
      <c r="L15" s="6">
        <f t="shared" si="10"/>
        <v>65.219008749271637</v>
      </c>
      <c r="M15" s="8">
        <v>303724.92836676218</v>
      </c>
    </row>
    <row r="16" spans="2:13" ht="15.6">
      <c r="B16" s="5" t="s">
        <v>96</v>
      </c>
      <c r="C16" s="10">
        <v>11</v>
      </c>
      <c r="D16" s="4">
        <f>2420.45*Table118[[#This Row],[dolar]]</f>
        <v>699570561.25</v>
      </c>
      <c r="E16" s="4">
        <f t="shared" si="0"/>
        <v>13372487.507836182</v>
      </c>
      <c r="F16" s="6">
        <v>1.9115280500000002E-2</v>
      </c>
      <c r="G16" s="4">
        <f t="shared" si="1"/>
        <v>0.23125528050000002</v>
      </c>
      <c r="H16" s="4">
        <f t="shared" si="2"/>
        <v>172050129.33948773</v>
      </c>
      <c r="I16" s="10">
        <f t="shared" si="7"/>
        <v>743983570.74266982</v>
      </c>
      <c r="J16" s="10">
        <f t="shared" si="8"/>
        <v>161779386.3714112</v>
      </c>
      <c r="K16" s="10">
        <f t="shared" si="9"/>
        <v>-10270742.968076527</v>
      </c>
      <c r="L16" s="10">
        <f t="shared" si="10"/>
        <v>-5.9696223464095119</v>
      </c>
      <c r="M16" s="8">
        <v>289025</v>
      </c>
    </row>
    <row r="17" spans="2:13" ht="15.6">
      <c r="B17" s="5" t="s">
        <v>102</v>
      </c>
      <c r="C17" s="8">
        <v>12</v>
      </c>
      <c r="D17" s="4">
        <f>2760.4*Table118[[#This Row],[dolar]]</f>
        <v>728551267.83999991</v>
      </c>
      <c r="E17" s="4">
        <f t="shared" si="0"/>
        <v>13675405.779803215</v>
      </c>
      <c r="F17" s="8">
        <v>1.8770684210526314E-2</v>
      </c>
      <c r="G17" s="4">
        <f t="shared" si="1"/>
        <v>0.25002596471052635</v>
      </c>
      <c r="H17" s="4">
        <f t="shared" si="2"/>
        <v>185725535.11929095</v>
      </c>
      <c r="I17" s="8">
        <f t="shared" si="7"/>
        <v>742824991.53365612</v>
      </c>
      <c r="J17" s="8">
        <f t="shared" si="8"/>
        <v>182156733.58277306</v>
      </c>
      <c r="K17" s="8">
        <f t="shared" si="9"/>
        <v>-3568801.5365178883</v>
      </c>
      <c r="L17" s="8">
        <f t="shared" si="10"/>
        <v>-1.9215459706311564</v>
      </c>
      <c r="M17" s="4">
        <v>263929.59999999998</v>
      </c>
    </row>
    <row r="18" spans="2:13" ht="15.6">
      <c r="B18" s="7">
        <v>44838</v>
      </c>
      <c r="C18" s="8">
        <v>13</v>
      </c>
      <c r="D18" s="4">
        <f>3262.96*Table118[[#This Row],[dolar]]</f>
        <v>911224717.76589429</v>
      </c>
      <c r="E18" s="4">
        <f t="shared" si="0"/>
        <v>15521249.585019536</v>
      </c>
      <c r="F18" s="8">
        <v>1.7033393939393938E-2</v>
      </c>
      <c r="G18" s="4">
        <f t="shared" si="1"/>
        <v>0.26705935864992031</v>
      </c>
      <c r="H18" s="4">
        <f t="shared" si="2"/>
        <v>201246784.70431048</v>
      </c>
      <c r="I18" s="8">
        <f t="shared" si="7"/>
        <v>753565745.53943467</v>
      </c>
      <c r="J18" s="8">
        <f t="shared" si="8"/>
        <v>243351088.71251437</v>
      </c>
      <c r="K18" s="8">
        <f t="shared" si="9"/>
        <v>42104304.008203894</v>
      </c>
      <c r="L18" s="8">
        <f t="shared" si="10"/>
        <v>20.921727554587889</v>
      </c>
      <c r="M18" s="8">
        <v>279263.22043969104</v>
      </c>
    </row>
    <row r="19" spans="2:13" ht="15.6">
      <c r="B19" s="5" t="s">
        <v>108</v>
      </c>
      <c r="C19" s="8">
        <v>14</v>
      </c>
      <c r="D19" s="4">
        <f>2925.6*Table118[[#This Row],[dolar]]</f>
        <v>836446711.40939593</v>
      </c>
      <c r="E19" s="4">
        <f t="shared" si="0"/>
        <v>16767164.461316753</v>
      </c>
      <c r="F19" s="8">
        <v>2.0045705521472394E-2</v>
      </c>
      <c r="G19" s="4">
        <f t="shared" si="1"/>
        <v>0.2871050641713927</v>
      </c>
      <c r="H19" s="4">
        <f t="shared" si="2"/>
        <v>218013949.16562724</v>
      </c>
      <c r="I19" s="8">
        <f t="shared" si="7"/>
        <v>759352503.21979606</v>
      </c>
      <c r="J19" s="8">
        <f t="shared" si="8"/>
        <v>240148086.75514501</v>
      </c>
      <c r="K19" s="8">
        <f t="shared" si="9"/>
        <v>22134137.589517772</v>
      </c>
      <c r="L19" s="8">
        <f t="shared" si="10"/>
        <v>10.152624487666275</v>
      </c>
      <c r="M19" s="8">
        <v>285906.04026845639</v>
      </c>
    </row>
    <row r="20" spans="2:13" ht="15.6">
      <c r="B20" s="5" t="s">
        <v>109</v>
      </c>
      <c r="C20" s="53">
        <v>15</v>
      </c>
      <c r="D20" s="53">
        <f>Table118[[#This Row],[dolar]]*1984.45</f>
        <v>616778371.36500001</v>
      </c>
      <c r="E20" s="4">
        <f t="shared" si="0"/>
        <v>17357272.114943009</v>
      </c>
      <c r="F20" s="53">
        <v>2.8141830065359478E-2</v>
      </c>
      <c r="G20" s="4">
        <f t="shared" si="1"/>
        <v>0.31524689423675217</v>
      </c>
      <c r="H20" s="4">
        <f t="shared" si="2"/>
        <v>235371221.28057024</v>
      </c>
      <c r="I20" s="53">
        <f>H20/G20</f>
        <v>746625028.14002395</v>
      </c>
      <c r="J20" s="53">
        <f>G20*D20</f>
        <v>194437466.00521842</v>
      </c>
      <c r="K20" s="53">
        <f>J20-H20</f>
        <v>-40933755.275351822</v>
      </c>
      <c r="L20" s="53">
        <f>100*(J20-H20)/H20</f>
        <v>-17.391147079343842</v>
      </c>
      <c r="M20" s="53">
        <v>310805.7</v>
      </c>
    </row>
    <row r="21" spans="2:13" ht="15.6">
      <c r="B21" s="7">
        <v>44599</v>
      </c>
      <c r="C21" s="53">
        <v>16</v>
      </c>
      <c r="D21" s="4">
        <f>1053.26*Table118[[#This Row],[dolar]]</f>
        <v>343173885.35031849</v>
      </c>
      <c r="E21" s="4">
        <f t="shared" si="0"/>
        <v>17527288.440669972</v>
      </c>
      <c r="F21" s="53">
        <v>5.1074074074074077E-2</v>
      </c>
      <c r="G21" s="4">
        <f t="shared" si="1"/>
        <v>0.36632096831082628</v>
      </c>
      <c r="H21" s="4">
        <f t="shared" si="2"/>
        <v>252898509.72124022</v>
      </c>
      <c r="I21" s="53">
        <f>H21/G21</f>
        <v>690374102.49105322</v>
      </c>
      <c r="J21" s="53">
        <f>G21*D21</f>
        <v>125711789.98051715</v>
      </c>
      <c r="K21" s="53">
        <f>J21-H21</f>
        <v>-127186719.74072307</v>
      </c>
      <c r="L21" s="53">
        <f>100*(J21-H21)/H21</f>
        <v>-50.291605071503128</v>
      </c>
      <c r="M21" s="53">
        <v>325820.67613914749</v>
      </c>
    </row>
    <row r="22" spans="2:13" ht="15.6">
      <c r="B22" s="7">
        <v>44775</v>
      </c>
      <c r="C22" s="53">
        <v>17</v>
      </c>
      <c r="D22" s="53">
        <f>1624.65*M22</f>
        <v>522652890.00843334</v>
      </c>
      <c r="E22" s="4">
        <f t="shared" si="0"/>
        <v>18361587.924314458</v>
      </c>
      <c r="F22" s="53">
        <v>3.513151515151515E-2</v>
      </c>
      <c r="G22" s="4">
        <f t="shared" si="1"/>
        <v>0.40145248346234141</v>
      </c>
      <c r="H22" s="4">
        <f t="shared" si="2"/>
        <v>271260097.64555466</v>
      </c>
      <c r="I22" s="53">
        <f>H22/G22</f>
        <v>675696648.59477806</v>
      </c>
      <c r="J22" s="53">
        <f>G22*D22</f>
        <v>209820300.68265554</v>
      </c>
      <c r="K22" s="53">
        <f>J22-H22</f>
        <v>-61439796.962899119</v>
      </c>
      <c r="L22" s="53">
        <f>100*(J22-H22)/H22</f>
        <v>-22.649773223623988</v>
      </c>
      <c r="M22" s="53">
        <v>321701.83732399798</v>
      </c>
    </row>
    <row r="23" spans="2:13" ht="15.6">
      <c r="B23" s="7">
        <v>44570</v>
      </c>
      <c r="C23" s="53">
        <v>18</v>
      </c>
      <c r="D23" s="53">
        <f>1541.3*Table118[[#This Row],[dolar]]</f>
        <v>468434362.07999992</v>
      </c>
      <c r="E23" s="4">
        <f t="shared" si="0"/>
        <v>17748126.280371051</v>
      </c>
      <c r="F23" s="53">
        <v>3.7888181818181821E-2</v>
      </c>
      <c r="G23" s="4">
        <f t="shared" si="1"/>
        <v>0.43934066528052323</v>
      </c>
      <c r="H23" s="4">
        <f t="shared" si="2"/>
        <v>289008223.92592573</v>
      </c>
      <c r="I23" s="53">
        <f>H23/G23</f>
        <v>657822611.84812295</v>
      </c>
      <c r="J23" s="53">
        <f>G23*D23</f>
        <v>205802264.27648467</v>
      </c>
      <c r="K23" s="53">
        <f>J23-H23</f>
        <v>-83205959.649441063</v>
      </c>
      <c r="L23" s="53">
        <f>100*(J23-H23)/H23</f>
        <v>-28.790170230853764</v>
      </c>
      <c r="M23" s="53">
        <v>303921.59999999998</v>
      </c>
    </row>
    <row r="24" spans="2:13">
      <c r="G24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B18" sqref="B18:B23"/>
    </sheetView>
  </sheetViews>
  <sheetFormatPr defaultRowHeight="14.4"/>
  <cols>
    <col min="2" max="2" width="14.6640625" bestFit="1" customWidth="1"/>
    <col min="4" max="5" width="13.109375" customWidth="1"/>
    <col min="6" max="6" width="12" customWidth="1"/>
    <col min="7" max="7" width="18.77734375" customWidth="1"/>
    <col min="8" max="8" width="19.88671875" customWidth="1"/>
    <col min="9" max="9" width="11.33203125" customWidth="1"/>
    <col min="10" max="10" width="19.21875" customWidth="1"/>
    <col min="11" max="11" width="14.77734375" customWidth="1"/>
    <col min="12" max="12" width="21.5546875" customWidth="1"/>
  </cols>
  <sheetData>
    <row r="2" spans="2:12" ht="31.2">
      <c r="G2" s="9"/>
    </row>
    <row r="4" spans="2:12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2:12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2:12" ht="15.6">
      <c r="B6" s="5">
        <v>44254.975983796299</v>
      </c>
      <c r="C6" s="4">
        <v>1</v>
      </c>
      <c r="D6" s="4" t="s">
        <v>25</v>
      </c>
      <c r="E6" s="4">
        <f t="shared" ref="E6:E23" si="0">D6*F6</f>
        <v>9330184.1004000008</v>
      </c>
      <c r="F6" s="4">
        <v>34.481400000000001</v>
      </c>
      <c r="G6" s="4">
        <v>34.481400000000001</v>
      </c>
      <c r="H6" s="4">
        <v>9330184.1004000008</v>
      </c>
      <c r="I6" s="4">
        <f>H6/G6</f>
        <v>270586</v>
      </c>
      <c r="J6" s="4">
        <f t="shared" ref="J6:J12" si="1">G6*D6</f>
        <v>9330184.1004000008</v>
      </c>
      <c r="K6" s="4">
        <f>J6-H6</f>
        <v>0</v>
      </c>
      <c r="L6" s="4">
        <f>100*(J6-H6)/H6</f>
        <v>0</v>
      </c>
    </row>
    <row r="7" spans="2:12" ht="15.6">
      <c r="B7" s="5">
        <v>44261.863576388889</v>
      </c>
      <c r="C7" s="4">
        <v>2</v>
      </c>
      <c r="D7" s="8">
        <v>248831</v>
      </c>
      <c r="E7" s="4">
        <f t="shared" si="0"/>
        <v>18522979.640000001</v>
      </c>
      <c r="F7" s="4">
        <v>74.44</v>
      </c>
      <c r="G7" s="4">
        <f t="shared" ref="G7:G23" si="2">G6+F7</f>
        <v>108.92140000000001</v>
      </c>
      <c r="H7" s="4">
        <f t="shared" ref="H7:H23" si="3">H6+E7</f>
        <v>27853163.740400001</v>
      </c>
      <c r="I7" s="4">
        <f t="shared" ref="I7:I13" si="4">H7/G7</f>
        <v>255718.01078943163</v>
      </c>
      <c r="J7" s="4">
        <f t="shared" si="1"/>
        <v>27103020.883400001</v>
      </c>
      <c r="K7" s="4">
        <f t="shared" ref="K7:K13" si="5">J7-H7</f>
        <v>-750142.85700000077</v>
      </c>
      <c r="L7" s="4">
        <f t="shared" ref="L7:L13" si="6">100*(J7-H7)/H7</f>
        <v>-2.6932052099774428</v>
      </c>
    </row>
    <row r="8" spans="2:12" ht="15.6">
      <c r="B8" s="7">
        <v>44342</v>
      </c>
      <c r="C8" s="6">
        <v>3</v>
      </c>
      <c r="D8" s="8">
        <f>(57000000+5700)/234.2</f>
        <v>243406.06319385141</v>
      </c>
      <c r="E8" s="4">
        <f t="shared" si="0"/>
        <v>14239254.696840307</v>
      </c>
      <c r="F8" s="6">
        <v>58.5</v>
      </c>
      <c r="G8" s="4">
        <f t="shared" si="2"/>
        <v>167.42140000000001</v>
      </c>
      <c r="H8" s="4">
        <f t="shared" si="3"/>
        <v>42092418.43724031</v>
      </c>
      <c r="I8" s="6">
        <f t="shared" si="4"/>
        <v>251415.99841621387</v>
      </c>
      <c r="J8" s="6">
        <f t="shared" si="1"/>
        <v>40751383.868403077</v>
      </c>
      <c r="K8" s="6">
        <f t="shared" si="5"/>
        <v>-1341034.5688372329</v>
      </c>
      <c r="L8" s="6">
        <f t="shared" si="6"/>
        <v>-3.1859290072313429</v>
      </c>
    </row>
    <row r="9" spans="2:12" ht="15.6">
      <c r="B9" s="19">
        <v>44373.427210648151</v>
      </c>
      <c r="C9" s="6">
        <v>4</v>
      </c>
      <c r="D9" s="4">
        <f>55000000/221.2</f>
        <v>248643.76130198917</v>
      </c>
      <c r="E9" s="4">
        <f t="shared" si="0"/>
        <v>13750000</v>
      </c>
      <c r="F9" s="6">
        <v>55.3</v>
      </c>
      <c r="G9" s="4">
        <f t="shared" si="2"/>
        <v>222.72140000000002</v>
      </c>
      <c r="H9" s="4">
        <f t="shared" si="3"/>
        <v>55842418.43724031</v>
      </c>
      <c r="I9" s="6">
        <f t="shared" si="4"/>
        <v>250727.67339483456</v>
      </c>
      <c r="J9" s="6">
        <f t="shared" si="1"/>
        <v>55378286.618444853</v>
      </c>
      <c r="K9" s="6">
        <f t="shared" si="5"/>
        <v>-464131.81879545748</v>
      </c>
      <c r="L9" s="6">
        <f t="shared" si="6"/>
        <v>-0.83114562689845162</v>
      </c>
    </row>
    <row r="10" spans="2:12" ht="15.6">
      <c r="B10" s="5">
        <v>44404.632384259261</v>
      </c>
      <c r="C10" s="6">
        <v>5</v>
      </c>
      <c r="D10" s="4">
        <v>252219</v>
      </c>
      <c r="E10" s="4">
        <f t="shared" si="0"/>
        <v>12989278.5</v>
      </c>
      <c r="F10" s="6">
        <v>51.5</v>
      </c>
      <c r="G10" s="4">
        <f t="shared" si="2"/>
        <v>274.22140000000002</v>
      </c>
      <c r="H10" s="4">
        <f t="shared" si="3"/>
        <v>68831696.937240303</v>
      </c>
      <c r="I10" s="6">
        <f t="shared" si="4"/>
        <v>251007.75117201026</v>
      </c>
      <c r="J10" s="6">
        <f t="shared" si="1"/>
        <v>69163847.286600009</v>
      </c>
      <c r="K10" s="6">
        <f t="shared" si="5"/>
        <v>332150.34935970604</v>
      </c>
      <c r="L10" s="6">
        <f t="shared" si="6"/>
        <v>0.48255435233938182</v>
      </c>
    </row>
    <row r="11" spans="2:12" ht="15.6">
      <c r="B11" t="s">
        <v>74</v>
      </c>
      <c r="C11" s="6">
        <v>6</v>
      </c>
      <c r="D11" s="4">
        <v>284400</v>
      </c>
      <c r="E11" s="4">
        <f t="shared" si="0"/>
        <v>19353420</v>
      </c>
      <c r="F11" s="6">
        <v>68.05</v>
      </c>
      <c r="G11" s="4">
        <f t="shared" si="2"/>
        <v>342.27140000000003</v>
      </c>
      <c r="H11" s="4">
        <f t="shared" si="3"/>
        <v>88185116.937240303</v>
      </c>
      <c r="I11" s="6">
        <f t="shared" si="4"/>
        <v>257646.75908428311</v>
      </c>
      <c r="J11" s="6">
        <f t="shared" si="1"/>
        <v>97341986.160000011</v>
      </c>
      <c r="K11" s="6">
        <f t="shared" si="5"/>
        <v>9156869.2227597088</v>
      </c>
      <c r="L11" s="6">
        <f t="shared" si="6"/>
        <v>10.383690061075137</v>
      </c>
    </row>
    <row r="12" spans="2:12" ht="15.6">
      <c r="B12" s="5" t="s">
        <v>76</v>
      </c>
      <c r="C12" s="8">
        <v>7</v>
      </c>
      <c r="D12" s="31">
        <v>289025</v>
      </c>
      <c r="E12" s="4">
        <f t="shared" si="0"/>
        <v>18064062.5</v>
      </c>
      <c r="F12" s="6">
        <v>62.5</v>
      </c>
      <c r="G12" s="4">
        <f t="shared" si="2"/>
        <v>404.77140000000003</v>
      </c>
      <c r="H12" s="4">
        <f t="shared" si="3"/>
        <v>106249179.4372403</v>
      </c>
      <c r="I12" s="6">
        <f t="shared" si="4"/>
        <v>262491.81497813406</v>
      </c>
      <c r="J12" s="6">
        <f t="shared" si="1"/>
        <v>116989053.88500001</v>
      </c>
      <c r="K12" s="6">
        <f t="shared" si="5"/>
        <v>10739874.447759703</v>
      </c>
      <c r="L12" s="8">
        <f t="shared" si="6"/>
        <v>10.108195192324827</v>
      </c>
    </row>
    <row r="13" spans="2:12" ht="15.6">
      <c r="B13" s="5" t="s">
        <v>78</v>
      </c>
      <c r="C13" s="6">
        <v>8</v>
      </c>
      <c r="D13" s="4">
        <v>283518.81293057767</v>
      </c>
      <c r="E13" s="4">
        <f t="shared" si="0"/>
        <v>18286963.434022259</v>
      </c>
      <c r="F13" s="6">
        <v>64.5</v>
      </c>
      <c r="G13" s="4">
        <f t="shared" si="2"/>
        <v>469.27140000000003</v>
      </c>
      <c r="H13" s="4">
        <f t="shared" si="3"/>
        <v>124536142.87126257</v>
      </c>
      <c r="I13" s="6">
        <f t="shared" si="4"/>
        <v>265381.9151801336</v>
      </c>
      <c r="J13" s="6">
        <f>G13*D13</f>
        <v>133047270.27027029</v>
      </c>
      <c r="K13" s="6">
        <f t="shared" si="5"/>
        <v>8511127.3990077227</v>
      </c>
      <c r="L13" s="6">
        <f t="shared" si="6"/>
        <v>6.8342628917020321</v>
      </c>
    </row>
    <row r="14" spans="2:12" ht="15.6">
      <c r="B14" s="5" t="s">
        <v>81</v>
      </c>
      <c r="C14" s="6">
        <v>9</v>
      </c>
      <c r="D14" s="4">
        <f>55000000/182.03</f>
        <v>302147.99758281599</v>
      </c>
      <c r="E14" s="4">
        <f t="shared" si="0"/>
        <v>18147008.734823931</v>
      </c>
      <c r="F14" s="6">
        <v>60.06</v>
      </c>
      <c r="G14" s="4">
        <f t="shared" si="2"/>
        <v>529.33140000000003</v>
      </c>
      <c r="H14" s="4">
        <f t="shared" si="3"/>
        <v>142683151.60608649</v>
      </c>
      <c r="I14" s="6">
        <f t="shared" ref="I14:I19" si="7">H14/G14</f>
        <v>269553.53792744299</v>
      </c>
      <c r="J14" s="6">
        <f t="shared" ref="J14:J19" si="8">G14*D14</f>
        <v>159936422.56770861</v>
      </c>
      <c r="K14" s="6">
        <f t="shared" ref="K14:K19" si="9">J14-H14</f>
        <v>17253270.961622119</v>
      </c>
      <c r="L14" s="6">
        <f t="shared" ref="L14:L19" si="10">100*(J14-H14)/H14</f>
        <v>12.092017009306192</v>
      </c>
    </row>
    <row r="15" spans="2:12" ht="15.6">
      <c r="B15" s="5" t="s">
        <v>88</v>
      </c>
      <c r="C15" s="6">
        <v>10</v>
      </c>
      <c r="D15" s="4">
        <f>53000000/174.5</f>
        <v>303724.92836676218</v>
      </c>
      <c r="E15" s="4">
        <f t="shared" si="0"/>
        <v>17790383.954154726</v>
      </c>
      <c r="F15" s="6">
        <f>(174.5-57.126-58.8)</f>
        <v>58.573999999999998</v>
      </c>
      <c r="G15" s="4">
        <f t="shared" si="2"/>
        <v>587.90539999999999</v>
      </c>
      <c r="H15" s="4">
        <f t="shared" si="3"/>
        <v>160473535.56024122</v>
      </c>
      <c r="I15" s="6">
        <f t="shared" si="7"/>
        <v>272958.09080889751</v>
      </c>
      <c r="J15" s="6">
        <f t="shared" si="8"/>
        <v>178561525.50143266</v>
      </c>
      <c r="K15" s="6">
        <f t="shared" si="9"/>
        <v>18087989.941191435</v>
      </c>
      <c r="L15" s="6">
        <f t="shared" si="10"/>
        <v>11.271634215600157</v>
      </c>
    </row>
    <row r="16" spans="2:12" ht="15.6">
      <c r="B16" s="5" t="s">
        <v>96</v>
      </c>
      <c r="C16" s="10">
        <v>11</v>
      </c>
      <c r="D16" s="8">
        <v>289025</v>
      </c>
      <c r="E16" s="4">
        <f t="shared" si="0"/>
        <v>13381857.5</v>
      </c>
      <c r="F16" s="10">
        <v>46.3</v>
      </c>
      <c r="G16" s="4">
        <f t="shared" si="2"/>
        <v>634.20539999999994</v>
      </c>
      <c r="H16" s="4">
        <f t="shared" si="3"/>
        <v>173855393.06024122</v>
      </c>
      <c r="I16" s="10">
        <f t="shared" si="7"/>
        <v>274131.05132854631</v>
      </c>
      <c r="J16" s="10">
        <f t="shared" si="8"/>
        <v>183301215.73499998</v>
      </c>
      <c r="K16" s="10">
        <f t="shared" si="9"/>
        <v>9445822.6747587621</v>
      </c>
      <c r="L16" s="10">
        <f t="shared" si="10"/>
        <v>5.4331490720484963</v>
      </c>
    </row>
    <row r="17" spans="2:12" ht="15.6">
      <c r="B17" s="5" t="s">
        <v>102</v>
      </c>
      <c r="C17" s="8">
        <v>12</v>
      </c>
      <c r="D17" s="4">
        <v>263929.59999999998</v>
      </c>
      <c r="E17" s="4">
        <f t="shared" si="0"/>
        <v>13740834.799999999</v>
      </c>
      <c r="F17" s="8">
        <v>52.0625</v>
      </c>
      <c r="G17" s="4">
        <f t="shared" si="2"/>
        <v>686.26789999999994</v>
      </c>
      <c r="H17" s="4">
        <f t="shared" si="3"/>
        <v>187596227.86024123</v>
      </c>
      <c r="I17" s="8">
        <f t="shared" si="7"/>
        <v>273357.13627322688</v>
      </c>
      <c r="J17" s="8">
        <f t="shared" si="8"/>
        <v>181126412.33983997</v>
      </c>
      <c r="K17" s="8">
        <f t="shared" si="9"/>
        <v>-6469815.5204012692</v>
      </c>
      <c r="L17" s="8">
        <f t="shared" si="10"/>
        <v>-3.4487983016488299</v>
      </c>
    </row>
    <row r="18" spans="2:12" ht="15.6">
      <c r="B18" s="5">
        <v>44838</v>
      </c>
      <c r="C18" s="8">
        <v>13</v>
      </c>
      <c r="D18" s="4">
        <f>117500000/420.75</f>
        <v>279263.22043969104</v>
      </c>
      <c r="E18" s="4">
        <f t="shared" si="0"/>
        <v>15875000</v>
      </c>
      <c r="F18" s="8">
        <v>56.846010638297869</v>
      </c>
      <c r="G18" s="4">
        <f t="shared" si="2"/>
        <v>743.11391063829785</v>
      </c>
      <c r="H18" s="4">
        <f t="shared" si="3"/>
        <v>203471227.86024123</v>
      </c>
      <c r="I18" s="8">
        <f t="shared" si="7"/>
        <v>273808.93419888959</v>
      </c>
      <c r="J18" s="8">
        <f t="shared" si="8"/>
        <v>207524383.83838385</v>
      </c>
      <c r="K18" s="8">
        <f t="shared" si="9"/>
        <v>4053155.9781426191</v>
      </c>
      <c r="L18" s="8">
        <f t="shared" si="10"/>
        <v>1.9920044817966205</v>
      </c>
    </row>
    <row r="19" spans="2:12" ht="15.6">
      <c r="B19" s="5" t="s">
        <v>108</v>
      </c>
      <c r="C19" s="8">
        <v>14</v>
      </c>
      <c r="D19" s="4">
        <f>106500000/372.5</f>
        <v>285906.04026845639</v>
      </c>
      <c r="E19" s="4">
        <f t="shared" si="0"/>
        <v>17125000</v>
      </c>
      <c r="F19" s="8">
        <v>59.897300469483568</v>
      </c>
      <c r="G19" s="4">
        <f t="shared" si="2"/>
        <v>803.01121110778138</v>
      </c>
      <c r="H19" s="4">
        <f t="shared" si="3"/>
        <v>220596227.86024123</v>
      </c>
      <c r="I19" s="8">
        <f t="shared" si="7"/>
        <v>274711.26779901516</v>
      </c>
      <c r="J19" s="8">
        <f t="shared" si="8"/>
        <v>229585755.65900329</v>
      </c>
      <c r="K19" s="8">
        <f t="shared" si="9"/>
        <v>8989527.7987620533</v>
      </c>
      <c r="L19" s="8">
        <f t="shared" si="10"/>
        <v>4.075104948964662</v>
      </c>
    </row>
    <row r="20" spans="2:12" ht="15.6">
      <c r="B20" s="5" t="s">
        <v>109</v>
      </c>
      <c r="C20" s="53">
        <v>15</v>
      </c>
      <c r="D20" s="4">
        <v>310805.7</v>
      </c>
      <c r="E20" s="4">
        <f t="shared" si="0"/>
        <v>17499872.227357294</v>
      </c>
      <c r="F20" s="53">
        <v>56.304862579281185</v>
      </c>
      <c r="G20" s="4">
        <f t="shared" si="2"/>
        <v>859.31607368706261</v>
      </c>
      <c r="H20" s="4">
        <f t="shared" si="3"/>
        <v>238096100.08759853</v>
      </c>
      <c r="I20" s="53">
        <f>H20/G20</f>
        <v>277076.2788900258</v>
      </c>
      <c r="J20" s="53">
        <f>G20*D20</f>
        <v>267080333.80355909</v>
      </c>
      <c r="K20" s="53">
        <f>J20-H20</f>
        <v>28984233.715960562</v>
      </c>
      <c r="L20" s="53">
        <f>100*(J20-H20)/H20</f>
        <v>12.173334088755295</v>
      </c>
    </row>
    <row r="21" spans="2:12" ht="15.6">
      <c r="B21" s="5">
        <v>44599</v>
      </c>
      <c r="C21" s="53">
        <v>16</v>
      </c>
      <c r="D21" s="53">
        <f>133000000/408.2</f>
        <v>325820.67613914749</v>
      </c>
      <c r="E21" s="4">
        <f t="shared" si="0"/>
        <v>17499123.614932347</v>
      </c>
      <c r="F21" s="53">
        <v>53.707836538461535</v>
      </c>
      <c r="G21" s="4">
        <f t="shared" si="2"/>
        <v>913.02391022552411</v>
      </c>
      <c r="H21" s="4">
        <f t="shared" si="3"/>
        <v>255595223.70253089</v>
      </c>
      <c r="I21" s="53">
        <f>H21/G21</f>
        <v>279943.62561589089</v>
      </c>
      <c r="J21" s="53">
        <f>G21*D21</f>
        <v>297482067.76088858</v>
      </c>
      <c r="K21" s="53">
        <f>J21-H21</f>
        <v>41886844.058357686</v>
      </c>
      <c r="L21" s="53">
        <f>100*(J21-H21)/H21</f>
        <v>16.387960405358282</v>
      </c>
    </row>
    <row r="22" spans="2:12" ht="15.6">
      <c r="B22" s="7">
        <v>44775</v>
      </c>
      <c r="C22" s="53">
        <v>17</v>
      </c>
      <c r="D22" s="53">
        <v>321701.83732399798</v>
      </c>
      <c r="E22" s="4">
        <f t="shared" si="0"/>
        <v>18375000.000000019</v>
      </c>
      <c r="F22" s="53">
        <v>57.118107104541856</v>
      </c>
      <c r="G22" s="4">
        <f t="shared" si="2"/>
        <v>970.14201733006598</v>
      </c>
      <c r="H22" s="4">
        <f t="shared" si="3"/>
        <v>273970223.70253092</v>
      </c>
      <c r="I22" s="53">
        <f>H22/G22</f>
        <v>282402.18319429777</v>
      </c>
      <c r="J22" s="53">
        <f>G22*D22</f>
        <v>312096469.44029212</v>
      </c>
      <c r="K22" s="53">
        <f>J22-H22</f>
        <v>38126245.737761199</v>
      </c>
      <c r="L22" s="53">
        <f>100*(J22-H22)/H22</f>
        <v>13.916200535412051</v>
      </c>
    </row>
    <row r="23" spans="2:12" ht="15.6">
      <c r="B23" s="7">
        <v>44570</v>
      </c>
      <c r="C23" s="53">
        <v>18</v>
      </c>
      <c r="D23" s="53">
        <v>303921.59999999998</v>
      </c>
      <c r="E23" s="4">
        <f t="shared" si="0"/>
        <v>17749933.204799999</v>
      </c>
      <c r="F23" s="53">
        <v>58.402999999999999</v>
      </c>
      <c r="G23" s="4">
        <f t="shared" si="2"/>
        <v>1028.545017330066</v>
      </c>
      <c r="H23" s="4">
        <f t="shared" si="3"/>
        <v>291720156.90733093</v>
      </c>
      <c r="I23" s="53">
        <f>H23/G23</f>
        <v>283624.10200050217</v>
      </c>
      <c r="J23" s="53">
        <f>G23*D23</f>
        <v>312597047.33898139</v>
      </c>
      <c r="K23" s="53">
        <f>J23-H23</f>
        <v>20876890.43165046</v>
      </c>
      <c r="L23" s="53">
        <f>100*(J23-H23)/H23</f>
        <v>7.1564785419618095</v>
      </c>
    </row>
    <row r="24" spans="2:12" ht="15.6">
      <c r="C24" s="6"/>
      <c r="D24" s="6"/>
      <c r="E24" s="6"/>
      <c r="F24" s="6" t="e">
        <f>E24/D24</f>
        <v>#DIV/0!</v>
      </c>
      <c r="G24" s="6"/>
      <c r="H24" s="6"/>
      <c r="I24" s="6" t="e">
        <f>H24/G24</f>
        <v>#DIV/0!</v>
      </c>
      <c r="J24" s="6">
        <f>G24*D24</f>
        <v>0</v>
      </c>
      <c r="K24" s="6">
        <f>J24-H24</f>
        <v>0</v>
      </c>
      <c r="L24" s="6" t="e">
        <f>100*(J24-H24)/H24</f>
        <v>#DIV/0!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opLeftCell="B4" workbookViewId="0">
      <selection activeCell="G15" sqref="G15"/>
    </sheetView>
  </sheetViews>
  <sheetFormatPr defaultRowHeight="14.4"/>
  <cols>
    <col min="2" max="2" width="14.6640625" bestFit="1" customWidth="1"/>
    <col min="4" max="4" width="13.109375" customWidth="1"/>
    <col min="5" max="5" width="25" customWidth="1"/>
    <col min="6" max="6" width="16.33203125" customWidth="1"/>
    <col min="7" max="7" width="18.21875" customWidth="1"/>
    <col min="8" max="8" width="17.6640625" customWidth="1"/>
    <col min="9" max="9" width="29.88671875" customWidth="1"/>
    <col min="10" max="10" width="16.33203125" customWidth="1"/>
    <col min="11" max="11" width="11.77734375" customWidth="1"/>
    <col min="12" max="12" width="16.21875" customWidth="1"/>
    <col min="13" max="13" width="11.21875" customWidth="1"/>
  </cols>
  <sheetData>
    <row r="2" spans="2:13" ht="31.2">
      <c r="G2" s="9"/>
    </row>
    <row r="4" spans="2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23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24</v>
      </c>
    </row>
    <row r="5" spans="2:13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15" t="s">
        <v>26</v>
      </c>
    </row>
    <row r="6" spans="2:13" ht="16.2" thickBot="1">
      <c r="B6" s="5">
        <v>44254.975983796299</v>
      </c>
      <c r="C6" s="4">
        <v>1</v>
      </c>
      <c r="D6" s="4">
        <f>1720.83*Table116[[#This Row],[dolar]]</f>
        <v>465632506.38</v>
      </c>
      <c r="E6" s="4">
        <f>D6*F6</f>
        <v>9226508.1139196996</v>
      </c>
      <c r="F6" s="4">
        <v>1.9814999999999999E-2</v>
      </c>
      <c r="G6" s="4">
        <v>1.9814999999999999E-2</v>
      </c>
      <c r="H6" s="4">
        <v>9226508.1139196996</v>
      </c>
      <c r="I6" s="4">
        <f>H6/G6</f>
        <v>465632506.38</v>
      </c>
      <c r="J6" s="4">
        <f>G6*D6</f>
        <v>9226508.1139196996</v>
      </c>
      <c r="K6" s="4">
        <f>J6-H6</f>
        <v>0</v>
      </c>
      <c r="L6" s="4">
        <f>100*(J6-H6)/H6</f>
        <v>0</v>
      </c>
      <c r="M6" s="15" t="s">
        <v>25</v>
      </c>
    </row>
    <row r="7" spans="2:13" ht="15.6">
      <c r="B7" s="5">
        <v>44261.863576388889</v>
      </c>
      <c r="C7" s="4">
        <v>2</v>
      </c>
      <c r="D7" s="4">
        <f>1795.89*Table116[[#This Row],[dolar]]</f>
        <v>446873104.59000003</v>
      </c>
      <c r="E7" s="4">
        <f>D7*F7</f>
        <v>18662314.593887582</v>
      </c>
      <c r="F7" s="4">
        <v>4.1762000000000001E-2</v>
      </c>
      <c r="G7" s="4">
        <f t="shared" ref="G7:G19" si="0">G6+F7</f>
        <v>6.1577E-2</v>
      </c>
      <c r="H7" s="4">
        <f t="shared" ref="H7:H19" si="1">H6+E7</f>
        <v>27888822.70780728</v>
      </c>
      <c r="I7" s="4">
        <f t="shared" ref="I7:I13" si="2">H7/G7</f>
        <v>452909734.28077495</v>
      </c>
      <c r="J7" s="4">
        <f t="shared" ref="J7:J13" si="3">G7*D7</f>
        <v>27517105.161338434</v>
      </c>
      <c r="K7" s="4">
        <f t="shared" ref="K7:K13" si="4">J7-H7</f>
        <v>-371717.5464688465</v>
      </c>
      <c r="L7" s="4">
        <f t="shared" ref="L7:L13" si="5">100*(J7-H7)/H7</f>
        <v>-1.3328549231473539</v>
      </c>
      <c r="M7" s="8">
        <v>248831</v>
      </c>
    </row>
    <row r="8" spans="2:13" ht="15.6">
      <c r="B8" s="7">
        <v>44342</v>
      </c>
      <c r="C8" s="6">
        <v>3</v>
      </c>
      <c r="D8" s="4">
        <f>1911.34*Table116[[#This Row],[dolar]]</f>
        <v>465231744.82493591</v>
      </c>
      <c r="E8" s="4">
        <f>D8*F8</f>
        <v>14234695.696408564</v>
      </c>
      <c r="F8" s="6">
        <v>3.0596999999999999E-2</v>
      </c>
      <c r="G8" s="4">
        <f t="shared" si="0"/>
        <v>9.2174000000000006E-2</v>
      </c>
      <c r="H8" s="4">
        <f t="shared" si="1"/>
        <v>42123518.404215842</v>
      </c>
      <c r="I8" s="6">
        <f t="shared" si="2"/>
        <v>457000004.38535637</v>
      </c>
      <c r="J8" s="6">
        <f t="shared" si="3"/>
        <v>42882270.847493649</v>
      </c>
      <c r="K8" s="6">
        <f t="shared" si="4"/>
        <v>758752.44327780604</v>
      </c>
      <c r="L8" s="6">
        <f t="shared" si="5"/>
        <v>1.8012560964087652</v>
      </c>
      <c r="M8" s="8">
        <f>(57000000+5700)/234.2</f>
        <v>243406.06319385141</v>
      </c>
    </row>
    <row r="9" spans="2:13" ht="15.6">
      <c r="B9" s="19">
        <v>44373.427210648151</v>
      </c>
      <c r="C9" s="6">
        <v>4</v>
      </c>
      <c r="D9" s="4">
        <f>1777.09*Table116[[#This Row],[dolar]]</f>
        <v>441862341.77215195</v>
      </c>
      <c r="E9" s="4">
        <f>D9*F9</f>
        <v>13750314.213607596</v>
      </c>
      <c r="F9" s="6" t="s">
        <v>34</v>
      </c>
      <c r="G9" s="4">
        <f t="shared" si="0"/>
        <v>0.12329300000000001</v>
      </c>
      <c r="H9" s="4">
        <f t="shared" si="1"/>
        <v>55873832.617823437</v>
      </c>
      <c r="I9" s="6">
        <f t="shared" si="2"/>
        <v>453179277.15136653</v>
      </c>
      <c r="J9" s="6">
        <f t="shared" si="3"/>
        <v>54478533.704113938</v>
      </c>
      <c r="K9" s="6">
        <f t="shared" si="4"/>
        <v>-1395298.9137094989</v>
      </c>
      <c r="L9" s="6">
        <f t="shared" si="5"/>
        <v>-2.4972314379314771</v>
      </c>
      <c r="M9" s="8">
        <v>248643.76130198917</v>
      </c>
    </row>
    <row r="10" spans="2:13" ht="15.6">
      <c r="B10" s="5">
        <v>44404.632384259261</v>
      </c>
      <c r="C10" s="6">
        <v>5</v>
      </c>
      <c r="D10" s="4">
        <f>1807.57*Table116[[#This Row],[dolar]]</f>
        <v>455903497.82999998</v>
      </c>
      <c r="E10" s="4">
        <f>D10*F10</f>
        <v>12989146.556674529</v>
      </c>
      <c r="F10" s="6">
        <v>2.8490999999999999E-2</v>
      </c>
      <c r="G10" s="4">
        <f t="shared" si="0"/>
        <v>0.151784</v>
      </c>
      <c r="H10" s="4">
        <f t="shared" si="1"/>
        <v>68862979.174497962</v>
      </c>
      <c r="I10" s="6">
        <f t="shared" si="2"/>
        <v>453690633.89091051</v>
      </c>
      <c r="J10" s="6">
        <f t="shared" si="3"/>
        <v>69198856.514628723</v>
      </c>
      <c r="K10" s="6">
        <f t="shared" si="4"/>
        <v>335877.34013076127</v>
      </c>
      <c r="L10" s="6">
        <f t="shared" si="5"/>
        <v>0.48774732687595773</v>
      </c>
      <c r="M10" s="29">
        <v>252219</v>
      </c>
    </row>
    <row r="11" spans="2:13" ht="15.6">
      <c r="B11" s="5"/>
      <c r="C11" s="6">
        <v>6</v>
      </c>
      <c r="D11" s="4">
        <v>0</v>
      </c>
      <c r="E11" s="4">
        <v>0</v>
      </c>
      <c r="F11" s="6" t="e">
        <f t="shared" ref="F11" si="6">E11/D11</f>
        <v>#DIV/0!</v>
      </c>
      <c r="G11" s="4" t="e">
        <f t="shared" si="0"/>
        <v>#DIV/0!</v>
      </c>
      <c r="H11" s="4">
        <f t="shared" si="1"/>
        <v>68862979.174497962</v>
      </c>
      <c r="I11" s="6" t="e">
        <f t="shared" si="2"/>
        <v>#DIV/0!</v>
      </c>
      <c r="J11" s="6" t="e">
        <f t="shared" si="3"/>
        <v>#DIV/0!</v>
      </c>
      <c r="K11" s="6" t="e">
        <f t="shared" si="4"/>
        <v>#DIV/0!</v>
      </c>
      <c r="L11" s="6" t="e">
        <f t="shared" si="5"/>
        <v>#DIV/0!</v>
      </c>
      <c r="M11" s="8"/>
    </row>
    <row r="12" spans="2:13" ht="15.6">
      <c r="B12" s="5"/>
      <c r="C12" s="8">
        <v>7</v>
      </c>
      <c r="D12" s="4">
        <v>0</v>
      </c>
      <c r="E12" s="4">
        <v>0</v>
      </c>
      <c r="F12" s="8" t="e">
        <f>E12/D12</f>
        <v>#DIV/0!</v>
      </c>
      <c r="G12" s="4" t="e">
        <f t="shared" si="0"/>
        <v>#DIV/0!</v>
      </c>
      <c r="H12" s="4">
        <f t="shared" si="1"/>
        <v>68862979.174497962</v>
      </c>
      <c r="I12" s="8" t="e">
        <f t="shared" si="2"/>
        <v>#DIV/0!</v>
      </c>
      <c r="J12" s="8" t="e">
        <f t="shared" si="3"/>
        <v>#DIV/0!</v>
      </c>
      <c r="K12" s="8" t="e">
        <f t="shared" si="4"/>
        <v>#DIV/0!</v>
      </c>
      <c r="L12" s="8" t="e">
        <f t="shared" si="5"/>
        <v>#DIV/0!</v>
      </c>
      <c r="M12" s="8"/>
    </row>
    <row r="13" spans="2:13" ht="15.6">
      <c r="B13" s="5"/>
      <c r="C13" s="6">
        <v>8</v>
      </c>
      <c r="D13" s="4">
        <v>0</v>
      </c>
      <c r="E13" s="4">
        <v>0</v>
      </c>
      <c r="F13" s="6" t="e">
        <f>E13/D13</f>
        <v>#DIV/0!</v>
      </c>
      <c r="G13" s="4" t="e">
        <f t="shared" si="0"/>
        <v>#DIV/0!</v>
      </c>
      <c r="H13" s="4">
        <f t="shared" si="1"/>
        <v>68862979.174497962</v>
      </c>
      <c r="I13" s="6" t="e">
        <f t="shared" si="2"/>
        <v>#DIV/0!</v>
      </c>
      <c r="J13" s="6" t="e">
        <f t="shared" si="3"/>
        <v>#DIV/0!</v>
      </c>
      <c r="K13" s="6" t="e">
        <f t="shared" si="4"/>
        <v>#DIV/0!</v>
      </c>
      <c r="L13" s="6" t="e">
        <f t="shared" si="5"/>
        <v>#DIV/0!</v>
      </c>
      <c r="M13" s="8"/>
    </row>
    <row r="14" spans="2:13" ht="15.6">
      <c r="C14" s="6">
        <v>9</v>
      </c>
      <c r="D14" s="4">
        <v>0</v>
      </c>
      <c r="E14" s="4">
        <v>0</v>
      </c>
      <c r="F14" s="6">
        <v>0</v>
      </c>
      <c r="G14" s="4" t="e">
        <f t="shared" si="0"/>
        <v>#DIV/0!</v>
      </c>
      <c r="H14" s="4">
        <f t="shared" si="1"/>
        <v>68862979.174497962</v>
      </c>
      <c r="I14" s="6" t="e">
        <f t="shared" ref="I14:I19" si="7">H14/G14</f>
        <v>#DIV/0!</v>
      </c>
      <c r="J14" s="6" t="e">
        <f t="shared" ref="J14:J19" si="8">G14*D14</f>
        <v>#DIV/0!</v>
      </c>
      <c r="K14" s="6" t="e">
        <f t="shared" ref="K14:K19" si="9">J14-H14</f>
        <v>#DIV/0!</v>
      </c>
      <c r="L14" s="6" t="e">
        <f t="shared" ref="L14:L19" si="10">100*(J14-H14)/H14</f>
        <v>#DIV/0!</v>
      </c>
      <c r="M14" s="8"/>
    </row>
    <row r="15" spans="2:13" ht="15.6">
      <c r="C15" s="6">
        <v>10</v>
      </c>
      <c r="D15" s="4">
        <v>0</v>
      </c>
      <c r="E15" s="4">
        <v>0</v>
      </c>
      <c r="F15" s="6" t="e">
        <f>E15/D15</f>
        <v>#DIV/0!</v>
      </c>
      <c r="G15" s="4" t="e">
        <f t="shared" si="0"/>
        <v>#DIV/0!</v>
      </c>
      <c r="H15" s="4">
        <f t="shared" si="1"/>
        <v>68862979.174497962</v>
      </c>
      <c r="I15" s="6" t="e">
        <f t="shared" si="7"/>
        <v>#DIV/0!</v>
      </c>
      <c r="J15" s="6" t="e">
        <f t="shared" si="8"/>
        <v>#DIV/0!</v>
      </c>
      <c r="K15" s="6" t="e">
        <f t="shared" si="9"/>
        <v>#DIV/0!</v>
      </c>
      <c r="L15" s="6" t="e">
        <f t="shared" si="10"/>
        <v>#DIV/0!</v>
      </c>
      <c r="M15" s="8"/>
    </row>
    <row r="16" spans="2:13" ht="15.6">
      <c r="B16" s="5"/>
      <c r="C16" s="10">
        <v>11</v>
      </c>
      <c r="D16" s="4">
        <v>0</v>
      </c>
      <c r="E16" s="4">
        <v>0</v>
      </c>
      <c r="F16" s="10" t="e">
        <f>E16/D16</f>
        <v>#DIV/0!</v>
      </c>
      <c r="G16" s="4" t="e">
        <f t="shared" si="0"/>
        <v>#DIV/0!</v>
      </c>
      <c r="H16" s="4">
        <f t="shared" si="1"/>
        <v>68862979.174497962</v>
      </c>
      <c r="I16" s="10" t="e">
        <f t="shared" si="7"/>
        <v>#DIV/0!</v>
      </c>
      <c r="J16" s="10" t="e">
        <f t="shared" si="8"/>
        <v>#DIV/0!</v>
      </c>
      <c r="K16" s="10" t="e">
        <f t="shared" si="9"/>
        <v>#DIV/0!</v>
      </c>
      <c r="L16" s="10" t="e">
        <f t="shared" si="10"/>
        <v>#DIV/0!</v>
      </c>
      <c r="M16" s="8"/>
    </row>
    <row r="17" spans="3:13" ht="15.6">
      <c r="C17" s="8">
        <v>12</v>
      </c>
      <c r="D17" s="4">
        <v>0</v>
      </c>
      <c r="E17" s="4">
        <v>0</v>
      </c>
      <c r="F17" s="8" t="e">
        <f>E17/D17</f>
        <v>#DIV/0!</v>
      </c>
      <c r="G17" s="4" t="e">
        <f t="shared" si="0"/>
        <v>#DIV/0!</v>
      </c>
      <c r="H17" s="4">
        <f t="shared" si="1"/>
        <v>68862979.174497962</v>
      </c>
      <c r="I17" s="8" t="e">
        <f t="shared" si="7"/>
        <v>#DIV/0!</v>
      </c>
      <c r="J17" s="8" t="e">
        <f t="shared" si="8"/>
        <v>#DIV/0!</v>
      </c>
      <c r="K17" s="8" t="e">
        <f t="shared" si="9"/>
        <v>#DIV/0!</v>
      </c>
      <c r="L17" s="8" t="e">
        <f t="shared" si="10"/>
        <v>#DIV/0!</v>
      </c>
      <c r="M17" s="8"/>
    </row>
    <row r="18" spans="3:13" ht="15.6">
      <c r="C18" s="8">
        <v>13</v>
      </c>
      <c r="D18" s="4">
        <v>0</v>
      </c>
      <c r="E18" s="4">
        <v>0</v>
      </c>
      <c r="F18" s="8" t="e">
        <f>E18/D18</f>
        <v>#DIV/0!</v>
      </c>
      <c r="G18" s="4" t="e">
        <f t="shared" si="0"/>
        <v>#DIV/0!</v>
      </c>
      <c r="H18" s="4">
        <f t="shared" si="1"/>
        <v>68862979.174497962</v>
      </c>
      <c r="I18" s="8" t="e">
        <f t="shared" si="7"/>
        <v>#DIV/0!</v>
      </c>
      <c r="J18" s="8" t="e">
        <f t="shared" si="8"/>
        <v>#DIV/0!</v>
      </c>
      <c r="K18" s="8" t="e">
        <f t="shared" si="9"/>
        <v>#DIV/0!</v>
      </c>
      <c r="L18" s="8" t="e">
        <f t="shared" si="10"/>
        <v>#DIV/0!</v>
      </c>
      <c r="M18" s="8"/>
    </row>
    <row r="19" spans="3:13" ht="15.6">
      <c r="C19" s="8">
        <v>14</v>
      </c>
      <c r="D19" s="4">
        <v>0</v>
      </c>
      <c r="E19" s="4">
        <v>0</v>
      </c>
      <c r="F19" s="8" t="e">
        <f>E19/D19</f>
        <v>#DIV/0!</v>
      </c>
      <c r="G19" s="4" t="e">
        <f t="shared" si="0"/>
        <v>#DIV/0!</v>
      </c>
      <c r="H19" s="4">
        <f t="shared" si="1"/>
        <v>68862979.174497962</v>
      </c>
      <c r="I19" s="8" t="e">
        <f t="shared" si="7"/>
        <v>#DIV/0!</v>
      </c>
      <c r="J19" s="8" t="e">
        <f t="shared" si="8"/>
        <v>#DIV/0!</v>
      </c>
      <c r="K19" s="8" t="e">
        <f t="shared" si="9"/>
        <v>#DIV/0!</v>
      </c>
      <c r="L19" s="8" t="e">
        <f t="shared" si="10"/>
        <v>#DIV/0!</v>
      </c>
      <c r="M19" s="8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1"/>
  <sheetViews>
    <sheetView topLeftCell="A3" workbookViewId="0">
      <selection activeCell="B9" sqref="B9"/>
    </sheetView>
  </sheetViews>
  <sheetFormatPr defaultRowHeight="14.4"/>
  <cols>
    <col min="2" max="2" width="14.6640625" bestFit="1" customWidth="1"/>
    <col min="4" max="5" width="13.109375" customWidth="1"/>
    <col min="6" max="6" width="12" customWidth="1"/>
    <col min="7" max="7" width="26.109375" customWidth="1"/>
    <col min="8" max="8" width="19.77734375" customWidth="1"/>
    <col min="9" max="9" width="18.21875" customWidth="1"/>
    <col min="10" max="10" width="15.6640625" customWidth="1"/>
    <col min="11" max="11" width="14.77734375" customWidth="1"/>
    <col min="12" max="12" width="19.21875" customWidth="1"/>
  </cols>
  <sheetData>
    <row r="4" spans="2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2:13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2:13" ht="15.6">
      <c r="B6" t="s">
        <v>117</v>
      </c>
      <c r="C6" s="4">
        <v>1</v>
      </c>
      <c r="D6" s="11">
        <v>28650</v>
      </c>
      <c r="E6" s="4">
        <f>D6*F6</f>
        <v>6990600</v>
      </c>
      <c r="F6" s="4">
        <v>244</v>
      </c>
      <c r="G6" s="4">
        <v>244</v>
      </c>
      <c r="H6" s="4">
        <v>6990600</v>
      </c>
      <c r="I6" s="4">
        <f>H6/G6</f>
        <v>28650</v>
      </c>
      <c r="J6" s="4">
        <f>G6*D6</f>
        <v>6990600</v>
      </c>
      <c r="K6" s="4">
        <f>J6-H6</f>
        <v>0</v>
      </c>
      <c r="L6" s="4">
        <f>100*(J6-H6)/H6</f>
        <v>0</v>
      </c>
    </row>
    <row r="7" spans="2:13" ht="15.6">
      <c r="B7" t="s">
        <v>113</v>
      </c>
      <c r="C7" s="4">
        <v>2</v>
      </c>
      <c r="D7" s="11">
        <v>26250</v>
      </c>
      <c r="E7" s="4">
        <f>D7*F7</f>
        <v>8977500</v>
      </c>
      <c r="F7" s="4">
        <v>342</v>
      </c>
      <c r="G7" s="4">
        <f t="shared" ref="G7:G18" si="0">G6+F7</f>
        <v>586</v>
      </c>
      <c r="H7" s="4">
        <f t="shared" ref="H7:H19" si="1">H6+E7</f>
        <v>15968100</v>
      </c>
      <c r="I7" s="4">
        <f t="shared" ref="I7:I18" si="2">H7/G7</f>
        <v>27249.317406143346</v>
      </c>
      <c r="J7" s="4">
        <f t="shared" ref="J7:J18" si="3">G7*D7</f>
        <v>15382500</v>
      </c>
      <c r="K7" s="4">
        <f t="shared" ref="K7:K18" si="4">J7-H7</f>
        <v>-585600</v>
      </c>
      <c r="L7" s="4">
        <f t="shared" ref="L7:L18" si="5">100*(J7-H7)/H7</f>
        <v>-3.6673117027072726</v>
      </c>
    </row>
    <row r="8" spans="2:13" ht="15.6">
      <c r="B8" t="s">
        <v>118</v>
      </c>
      <c r="C8" s="6">
        <v>3</v>
      </c>
      <c r="D8" s="11">
        <v>21700</v>
      </c>
      <c r="E8" s="4">
        <f>D8*F8</f>
        <v>9982000</v>
      </c>
      <c r="F8" s="6">
        <v>460</v>
      </c>
      <c r="G8" s="4">
        <f t="shared" si="0"/>
        <v>1046</v>
      </c>
      <c r="H8" s="4">
        <f t="shared" si="1"/>
        <v>25950100</v>
      </c>
      <c r="I8" s="6">
        <f t="shared" si="2"/>
        <v>24808.89101338432</v>
      </c>
      <c r="J8" s="6">
        <f t="shared" si="3"/>
        <v>22698200</v>
      </c>
      <c r="K8" s="6">
        <f t="shared" si="4"/>
        <v>-3251900</v>
      </c>
      <c r="L8" s="6">
        <f t="shared" si="5"/>
        <v>-12.531358260661809</v>
      </c>
    </row>
    <row r="9" spans="2:13" ht="15.6">
      <c r="B9" t="s">
        <v>119</v>
      </c>
      <c r="C9" s="6">
        <v>4</v>
      </c>
      <c r="D9" s="11">
        <v>22150</v>
      </c>
      <c r="E9" s="4">
        <f>D9*F9</f>
        <v>9901050</v>
      </c>
      <c r="F9" s="6">
        <v>447</v>
      </c>
      <c r="G9" s="4">
        <f t="shared" si="0"/>
        <v>1493</v>
      </c>
      <c r="H9" s="4">
        <f t="shared" si="1"/>
        <v>35851150</v>
      </c>
      <c r="I9" s="6">
        <f t="shared" si="2"/>
        <v>24012.826523777629</v>
      </c>
      <c r="J9" s="6">
        <f t="shared" si="3"/>
        <v>33069950</v>
      </c>
      <c r="K9" s="6">
        <f t="shared" si="4"/>
        <v>-2781200</v>
      </c>
      <c r="L9" s="6">
        <f t="shared" si="5"/>
        <v>-7.7576312056935413</v>
      </c>
    </row>
    <row r="10" spans="2:13" ht="15.6">
      <c r="C10" s="6">
        <v>5</v>
      </c>
      <c r="D10" s="11"/>
      <c r="E10" s="4">
        <f t="shared" ref="E10:E18" si="6">D10*F10</f>
        <v>0</v>
      </c>
      <c r="F10" s="6"/>
      <c r="G10" s="4">
        <f t="shared" si="0"/>
        <v>1493</v>
      </c>
      <c r="H10" s="4">
        <f t="shared" si="1"/>
        <v>35851150</v>
      </c>
      <c r="I10" s="6">
        <f t="shared" si="2"/>
        <v>24012.826523777629</v>
      </c>
      <c r="J10" s="6">
        <f t="shared" si="3"/>
        <v>0</v>
      </c>
      <c r="K10" s="6">
        <f t="shared" si="4"/>
        <v>-35851150</v>
      </c>
      <c r="L10" s="6">
        <f t="shared" si="5"/>
        <v>-100</v>
      </c>
    </row>
    <row r="11" spans="2:13" ht="15.6">
      <c r="C11" s="6">
        <v>6</v>
      </c>
      <c r="D11" s="11"/>
      <c r="E11" s="4">
        <f t="shared" si="6"/>
        <v>0</v>
      </c>
      <c r="F11" s="6"/>
      <c r="G11" s="4">
        <f t="shared" si="0"/>
        <v>1493</v>
      </c>
      <c r="H11" s="4">
        <f t="shared" si="1"/>
        <v>35851150</v>
      </c>
      <c r="I11" s="6">
        <f t="shared" si="2"/>
        <v>24012.826523777629</v>
      </c>
      <c r="J11" s="6">
        <f t="shared" si="3"/>
        <v>0</v>
      </c>
      <c r="K11" s="6">
        <f t="shared" si="4"/>
        <v>-35851150</v>
      </c>
      <c r="L11" s="6">
        <f t="shared" si="5"/>
        <v>-100</v>
      </c>
    </row>
    <row r="12" spans="2:13" ht="15.6">
      <c r="C12" s="8">
        <v>7</v>
      </c>
      <c r="D12" s="11"/>
      <c r="E12" s="4">
        <f t="shared" si="6"/>
        <v>0</v>
      </c>
      <c r="F12" s="8"/>
      <c r="G12" s="4">
        <f t="shared" si="0"/>
        <v>1493</v>
      </c>
      <c r="H12" s="4">
        <f t="shared" si="1"/>
        <v>35851150</v>
      </c>
      <c r="I12" s="8">
        <f t="shared" si="2"/>
        <v>24012.826523777629</v>
      </c>
      <c r="J12" s="8">
        <f t="shared" si="3"/>
        <v>0</v>
      </c>
      <c r="K12" s="8">
        <f t="shared" si="4"/>
        <v>-35851150</v>
      </c>
      <c r="L12" s="8">
        <f t="shared" si="5"/>
        <v>-100</v>
      </c>
    </row>
    <row r="13" spans="2:13" ht="15.6">
      <c r="C13" s="6">
        <v>8</v>
      </c>
      <c r="D13" s="11"/>
      <c r="E13" s="4">
        <f t="shared" si="6"/>
        <v>0</v>
      </c>
      <c r="F13" s="6"/>
      <c r="G13" s="4">
        <f t="shared" si="0"/>
        <v>1493</v>
      </c>
      <c r="H13" s="4">
        <f t="shared" si="1"/>
        <v>35851150</v>
      </c>
      <c r="I13" s="6">
        <f t="shared" si="2"/>
        <v>24012.826523777629</v>
      </c>
      <c r="J13" s="6">
        <f t="shared" si="3"/>
        <v>0</v>
      </c>
      <c r="K13" s="6">
        <f t="shared" si="4"/>
        <v>-35851150</v>
      </c>
      <c r="L13" s="6">
        <f t="shared" si="5"/>
        <v>-100</v>
      </c>
    </row>
    <row r="14" spans="2:13" ht="15.6">
      <c r="C14" s="6">
        <v>9</v>
      </c>
      <c r="D14" s="11"/>
      <c r="E14" s="4">
        <f t="shared" si="6"/>
        <v>0</v>
      </c>
      <c r="F14" s="6"/>
      <c r="G14" s="4">
        <f t="shared" si="0"/>
        <v>1493</v>
      </c>
      <c r="H14" s="4">
        <f t="shared" si="1"/>
        <v>35851150</v>
      </c>
      <c r="I14" s="6">
        <f t="shared" si="2"/>
        <v>24012.826523777629</v>
      </c>
      <c r="J14" s="6">
        <f t="shared" si="3"/>
        <v>0</v>
      </c>
      <c r="K14" s="6">
        <f t="shared" si="4"/>
        <v>-35851150</v>
      </c>
      <c r="L14" s="6">
        <f t="shared" si="5"/>
        <v>-100</v>
      </c>
    </row>
    <row r="15" spans="2:13" ht="15.6">
      <c r="C15" s="6">
        <v>10</v>
      </c>
      <c r="D15" s="11"/>
      <c r="E15" s="4">
        <f t="shared" si="6"/>
        <v>0</v>
      </c>
      <c r="F15" s="6"/>
      <c r="G15" s="4">
        <f t="shared" si="0"/>
        <v>1493</v>
      </c>
      <c r="H15" s="4">
        <f t="shared" si="1"/>
        <v>35851150</v>
      </c>
      <c r="I15" s="6">
        <f t="shared" si="2"/>
        <v>24012.826523777629</v>
      </c>
      <c r="J15" s="6">
        <f t="shared" si="3"/>
        <v>0</v>
      </c>
      <c r="K15" s="6">
        <f t="shared" si="4"/>
        <v>-35851150</v>
      </c>
      <c r="L15" s="6">
        <f t="shared" si="5"/>
        <v>-100</v>
      </c>
    </row>
    <row r="16" spans="2:13" ht="15.6">
      <c r="B16" s="39"/>
      <c r="C16" s="43">
        <v>11</v>
      </c>
      <c r="D16" s="42"/>
      <c r="E16" s="17">
        <f t="shared" si="6"/>
        <v>0</v>
      </c>
      <c r="F16" s="43"/>
      <c r="G16" s="17">
        <f>G15+F16+INT(H34)</f>
        <v>1493</v>
      </c>
      <c r="H16" s="17">
        <f t="shared" si="1"/>
        <v>35851150</v>
      </c>
      <c r="I16" s="43">
        <f t="shared" si="2"/>
        <v>24012.826523777629</v>
      </c>
      <c r="J16" s="43">
        <f t="shared" si="3"/>
        <v>0</v>
      </c>
      <c r="K16" s="43">
        <f t="shared" si="4"/>
        <v>-35851150</v>
      </c>
      <c r="L16" s="43">
        <f t="shared" si="5"/>
        <v>-100</v>
      </c>
      <c r="M16" s="39"/>
    </row>
    <row r="17" spans="3:12" ht="15.6">
      <c r="C17" s="8">
        <v>12</v>
      </c>
      <c r="D17" s="11"/>
      <c r="E17" s="17">
        <f t="shared" si="6"/>
        <v>0</v>
      </c>
      <c r="F17" s="8"/>
      <c r="G17" s="4">
        <f t="shared" si="0"/>
        <v>1493</v>
      </c>
      <c r="H17" s="4">
        <f t="shared" si="1"/>
        <v>35851150</v>
      </c>
      <c r="I17" s="8">
        <f t="shared" si="2"/>
        <v>24012.826523777629</v>
      </c>
      <c r="J17" s="8">
        <f t="shared" si="3"/>
        <v>0</v>
      </c>
      <c r="K17" s="8">
        <f t="shared" si="4"/>
        <v>-35851150</v>
      </c>
      <c r="L17" s="8">
        <f t="shared" si="5"/>
        <v>-100</v>
      </c>
    </row>
    <row r="18" spans="3:12" ht="15.6">
      <c r="C18" s="8">
        <v>13</v>
      </c>
      <c r="D18" s="4"/>
      <c r="E18" s="17">
        <f t="shared" si="6"/>
        <v>0</v>
      </c>
      <c r="F18" s="8"/>
      <c r="G18" s="4">
        <f t="shared" si="0"/>
        <v>1493</v>
      </c>
      <c r="H18" s="4">
        <f t="shared" si="1"/>
        <v>35851150</v>
      </c>
      <c r="I18" s="8">
        <f t="shared" si="2"/>
        <v>24012.826523777629</v>
      </c>
      <c r="J18" s="8">
        <f t="shared" si="3"/>
        <v>0</v>
      </c>
      <c r="K18" s="8">
        <f t="shared" si="4"/>
        <v>-35851150</v>
      </c>
      <c r="L18" s="8">
        <f t="shared" si="5"/>
        <v>-100</v>
      </c>
    </row>
    <row r="19" spans="3:12" ht="15.6">
      <c r="C19" s="8">
        <v>14</v>
      </c>
      <c r="D19" s="4"/>
      <c r="E19" s="17"/>
      <c r="F19" s="8"/>
      <c r="G19" s="4"/>
      <c r="H19" s="4">
        <f t="shared" si="1"/>
        <v>35851150</v>
      </c>
      <c r="I19" s="8"/>
      <c r="J19" s="8"/>
      <c r="K19" s="8"/>
      <c r="L19" s="8"/>
    </row>
    <row r="20" spans="3:12" ht="15.6">
      <c r="C20" s="53"/>
      <c r="D20" s="53"/>
      <c r="E20" s="53"/>
      <c r="F20" s="53" t="e">
        <f>E20/D20</f>
        <v>#DIV/0!</v>
      </c>
      <c r="G20" s="53"/>
      <c r="H20" s="53"/>
      <c r="I20" s="53" t="e">
        <f>H20/G20</f>
        <v>#DIV/0!</v>
      </c>
      <c r="J20" s="53">
        <f>G20*D20</f>
        <v>0</v>
      </c>
      <c r="K20" s="53">
        <f>J20-H20</f>
        <v>0</v>
      </c>
      <c r="L20" s="53" t="e">
        <f>100*(J20-H20)/H20</f>
        <v>#DIV/0!</v>
      </c>
    </row>
    <row r="21" spans="3:12" ht="15.6">
      <c r="C21" s="53"/>
      <c r="D21" s="53"/>
      <c r="E21" s="53"/>
      <c r="F21" s="53" t="e">
        <f>E21/D21</f>
        <v>#DIV/0!</v>
      </c>
      <c r="G21" s="53"/>
      <c r="H21" s="53"/>
      <c r="I21" s="53" t="e">
        <f>H21/G21</f>
        <v>#DIV/0!</v>
      </c>
      <c r="J21" s="53">
        <f>G21*D21</f>
        <v>0</v>
      </c>
      <c r="K21" s="53">
        <f>J21-H21</f>
        <v>0</v>
      </c>
      <c r="L21" s="53" t="e">
        <f>100*(J21-H21)/H21</f>
        <v>#DIV/0!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opLeftCell="A14" workbookViewId="0">
      <selection activeCell="B17" sqref="B17:F22"/>
    </sheetView>
  </sheetViews>
  <sheetFormatPr defaultRowHeight="14.4"/>
  <cols>
    <col min="1" max="1" width="7" customWidth="1"/>
    <col min="2" max="2" width="11" bestFit="1" customWidth="1"/>
    <col min="4" max="4" width="13.109375" customWidth="1"/>
    <col min="5" max="5" width="17.6640625" customWidth="1"/>
    <col min="6" max="6" width="13.5546875" customWidth="1"/>
    <col min="7" max="7" width="26.109375" customWidth="1"/>
    <col min="8" max="8" width="18.6640625" customWidth="1"/>
    <col min="9" max="9" width="21.44140625" customWidth="1"/>
    <col min="10" max="10" width="19.21875" customWidth="1"/>
    <col min="11" max="11" width="10.88671875" customWidth="1"/>
    <col min="12" max="12" width="15.5546875" customWidth="1"/>
  </cols>
  <sheetData>
    <row r="2" spans="2:15" ht="31.2">
      <c r="G2" s="9"/>
    </row>
    <row r="4" spans="2:15" ht="15.6"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23</v>
      </c>
      <c r="I4" s="12" t="s">
        <v>7</v>
      </c>
      <c r="J4" s="12" t="s">
        <v>8</v>
      </c>
      <c r="K4" s="12" t="s">
        <v>9</v>
      </c>
      <c r="L4" s="12" t="s">
        <v>10</v>
      </c>
    </row>
    <row r="5" spans="2:15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2:15" ht="15.6">
      <c r="B6" t="s">
        <v>22</v>
      </c>
      <c r="C6" s="4">
        <v>1</v>
      </c>
      <c r="D6" s="11">
        <v>62739</v>
      </c>
      <c r="E6" s="4">
        <f>D6*F6</f>
        <v>7277724</v>
      </c>
      <c r="F6" s="17">
        <v>116</v>
      </c>
      <c r="G6" s="4">
        <v>116</v>
      </c>
      <c r="H6" s="4">
        <v>7277724</v>
      </c>
      <c r="I6" s="4">
        <f>H6/G6</f>
        <v>62739</v>
      </c>
      <c r="J6" s="4">
        <f>G6*D6</f>
        <v>7277724</v>
      </c>
      <c r="K6" s="4">
        <f>J6-H6</f>
        <v>0</v>
      </c>
      <c r="L6" s="4">
        <f>100*(J6-H6)/H6</f>
        <v>0</v>
      </c>
    </row>
    <row r="7" spans="2:15" ht="15.6">
      <c r="B7" t="s">
        <v>21</v>
      </c>
      <c r="C7" s="4">
        <v>2</v>
      </c>
      <c r="D7" s="11">
        <v>59436</v>
      </c>
      <c r="E7" s="4">
        <f>D7*F7</f>
        <v>14977872</v>
      </c>
      <c r="F7" s="17">
        <v>252</v>
      </c>
      <c r="G7" s="4">
        <f t="shared" ref="G7:G22" si="0">G6+F7</f>
        <v>368</v>
      </c>
      <c r="H7" s="4">
        <f t="shared" ref="H7:H22" si="1">H6+E7</f>
        <v>22255596</v>
      </c>
      <c r="I7" s="4">
        <f t="shared" ref="I7:I13" si="2">H7/G7</f>
        <v>60477.163043478264</v>
      </c>
      <c r="J7" s="4">
        <f t="shared" ref="J7:J13" si="3">G7*D7</f>
        <v>21872448</v>
      </c>
      <c r="K7" s="4">
        <f t="shared" ref="K7:K13" si="4">J7-H7</f>
        <v>-383148</v>
      </c>
      <c r="L7" s="4">
        <f t="shared" ref="L7:L13" si="5">100*(J7-H7)/H7</f>
        <v>-1.721580495979528</v>
      </c>
    </row>
    <row r="8" spans="2:15" ht="15.6">
      <c r="B8" t="s">
        <v>30</v>
      </c>
      <c r="C8" s="6">
        <v>3</v>
      </c>
      <c r="D8" s="11">
        <v>31548</v>
      </c>
      <c r="E8" s="4">
        <f>D8*F8</f>
        <v>11704308</v>
      </c>
      <c r="F8" s="6">
        <v>371</v>
      </c>
      <c r="G8" s="4">
        <f>G7+F8+184</f>
        <v>923</v>
      </c>
      <c r="H8" s="4">
        <f t="shared" si="1"/>
        <v>33959904</v>
      </c>
      <c r="I8" s="6">
        <f t="shared" si="2"/>
        <v>36792.962080173347</v>
      </c>
      <c r="J8" s="6">
        <f t="shared" si="3"/>
        <v>29118804</v>
      </c>
      <c r="K8" s="6">
        <f t="shared" si="4"/>
        <v>-4841100</v>
      </c>
      <c r="L8" s="6">
        <f t="shared" si="5"/>
        <v>-14.255340651139649</v>
      </c>
      <c r="M8" s="57" t="s">
        <v>29</v>
      </c>
      <c r="N8" s="57"/>
      <c r="O8" s="57"/>
    </row>
    <row r="9" spans="2:15" ht="15.6">
      <c r="B9" t="s">
        <v>71</v>
      </c>
      <c r="C9" s="6">
        <v>4</v>
      </c>
      <c r="D9" s="11">
        <v>32500</v>
      </c>
      <c r="E9" s="4">
        <f t="shared" ref="E9:E22" si="6">D9*F9</f>
        <v>20735000</v>
      </c>
      <c r="F9" s="6">
        <v>638</v>
      </c>
      <c r="G9" s="4">
        <f t="shared" si="0"/>
        <v>1561</v>
      </c>
      <c r="H9" s="4">
        <f t="shared" si="1"/>
        <v>54694904</v>
      </c>
      <c r="I9" s="6">
        <f t="shared" si="2"/>
        <v>35038.375400384371</v>
      </c>
      <c r="J9" s="6">
        <f t="shared" si="3"/>
        <v>50732500</v>
      </c>
      <c r="K9" s="6">
        <f t="shared" si="4"/>
        <v>-3962404</v>
      </c>
      <c r="L9" s="6">
        <f t="shared" si="5"/>
        <v>-7.2445579207891102</v>
      </c>
      <c r="M9" s="57" t="s">
        <v>31</v>
      </c>
      <c r="N9" s="57"/>
      <c r="O9" s="57"/>
    </row>
    <row r="10" spans="2:15" ht="15.6">
      <c r="B10" t="s">
        <v>73</v>
      </c>
      <c r="C10" s="6">
        <v>5</v>
      </c>
      <c r="D10" s="11">
        <v>36730</v>
      </c>
      <c r="E10" s="4">
        <f t="shared" si="6"/>
        <v>11459760</v>
      </c>
      <c r="F10" s="6">
        <v>312</v>
      </c>
      <c r="G10" s="4">
        <f t="shared" si="0"/>
        <v>1873</v>
      </c>
      <c r="H10" s="4">
        <f t="shared" si="1"/>
        <v>66154664</v>
      </c>
      <c r="I10" s="6">
        <f t="shared" si="2"/>
        <v>35320.162306460224</v>
      </c>
      <c r="J10" s="6">
        <f t="shared" si="3"/>
        <v>68795290</v>
      </c>
      <c r="K10" s="6">
        <f t="shared" si="4"/>
        <v>2640626</v>
      </c>
      <c r="L10" s="6">
        <f t="shared" si="5"/>
        <v>3.9915946062397052</v>
      </c>
    </row>
    <row r="11" spans="2:15" ht="15.6">
      <c r="B11" t="s">
        <v>75</v>
      </c>
      <c r="C11" s="6">
        <v>6</v>
      </c>
      <c r="D11" s="11">
        <v>30759</v>
      </c>
      <c r="E11" s="4">
        <f t="shared" si="6"/>
        <v>10827168</v>
      </c>
      <c r="F11" s="6">
        <v>352</v>
      </c>
      <c r="G11" s="4">
        <f t="shared" si="0"/>
        <v>2225</v>
      </c>
      <c r="H11" s="4">
        <f t="shared" si="1"/>
        <v>76981832</v>
      </c>
      <c r="I11" s="6">
        <f t="shared" si="2"/>
        <v>34598.576179775278</v>
      </c>
      <c r="J11" s="6">
        <f t="shared" si="3"/>
        <v>68438775</v>
      </c>
      <c r="K11" s="6">
        <f t="shared" si="4"/>
        <v>-8543057</v>
      </c>
      <c r="L11" s="6">
        <f t="shared" si="5"/>
        <v>-11.097497653732116</v>
      </c>
    </row>
    <row r="12" spans="2:15" ht="15.6">
      <c r="B12" t="s">
        <v>77</v>
      </c>
      <c r="C12" s="8">
        <v>7</v>
      </c>
      <c r="D12" s="11">
        <v>25090</v>
      </c>
      <c r="E12" s="4">
        <f t="shared" si="6"/>
        <v>10663250</v>
      </c>
      <c r="F12" s="8">
        <v>425</v>
      </c>
      <c r="G12" s="4">
        <f t="shared" si="0"/>
        <v>2650</v>
      </c>
      <c r="H12" s="4">
        <f t="shared" si="1"/>
        <v>87645082</v>
      </c>
      <c r="I12" s="8">
        <f t="shared" si="2"/>
        <v>33073.615849056601</v>
      </c>
      <c r="J12" s="8">
        <f t="shared" si="3"/>
        <v>66488500</v>
      </c>
      <c r="K12" s="8">
        <f t="shared" si="4"/>
        <v>-21156582</v>
      </c>
      <c r="L12" s="8">
        <f t="shared" si="5"/>
        <v>-24.138926585749559</v>
      </c>
    </row>
    <row r="13" spans="2:15" ht="15.6">
      <c r="B13" t="s">
        <v>80</v>
      </c>
      <c r="C13" s="6">
        <v>8</v>
      </c>
      <c r="D13" s="11">
        <v>21050</v>
      </c>
      <c r="E13" s="4">
        <f t="shared" si="6"/>
        <v>10967050</v>
      </c>
      <c r="F13" s="6">
        <v>521</v>
      </c>
      <c r="G13" s="4">
        <f t="shared" si="0"/>
        <v>3171</v>
      </c>
      <c r="H13" s="4">
        <f t="shared" si="1"/>
        <v>98612132</v>
      </c>
      <c r="I13" s="6">
        <f t="shared" si="2"/>
        <v>31098.117943866288</v>
      </c>
      <c r="J13" s="6">
        <f t="shared" si="3"/>
        <v>66749550</v>
      </c>
      <c r="K13" s="6">
        <f t="shared" si="4"/>
        <v>-31862582</v>
      </c>
      <c r="L13" s="6">
        <f t="shared" si="5"/>
        <v>-32.311016255079039</v>
      </c>
    </row>
    <row r="14" spans="2:15" ht="15.6">
      <c r="B14" t="s">
        <v>87</v>
      </c>
      <c r="C14" s="6">
        <v>9</v>
      </c>
      <c r="D14" s="11">
        <v>17580</v>
      </c>
      <c r="E14" s="4">
        <f t="shared" si="6"/>
        <v>10565580</v>
      </c>
      <c r="F14" s="6">
        <v>601</v>
      </c>
      <c r="G14" s="4">
        <f t="shared" si="0"/>
        <v>3772</v>
      </c>
      <c r="H14" s="4">
        <f t="shared" si="1"/>
        <v>109177712</v>
      </c>
      <c r="I14" s="6">
        <f t="shared" ref="I14:I19" si="7">H14/G14</f>
        <v>28944.250265111346</v>
      </c>
      <c r="J14" s="6">
        <f t="shared" ref="J14:J19" si="8">G14*D14</f>
        <v>66311760</v>
      </c>
      <c r="K14" s="6">
        <f t="shared" ref="K14:K19" si="9">J14-H14</f>
        <v>-42865952</v>
      </c>
      <c r="L14" s="6">
        <f t="shared" ref="L14:L19" si="10">100*(J14-H14)/H14</f>
        <v>-39.262548385333446</v>
      </c>
    </row>
    <row r="15" spans="2:15" ht="15.6">
      <c r="B15" t="s">
        <v>90</v>
      </c>
      <c r="C15" s="6">
        <v>10</v>
      </c>
      <c r="D15" s="11">
        <v>13510</v>
      </c>
      <c r="E15" s="4">
        <f t="shared" si="6"/>
        <v>10672900</v>
      </c>
      <c r="F15" s="6">
        <v>790</v>
      </c>
      <c r="G15" s="4">
        <f t="shared" si="0"/>
        <v>4562</v>
      </c>
      <c r="H15" s="4">
        <f t="shared" si="1"/>
        <v>119850612</v>
      </c>
      <c r="I15" s="6">
        <f t="shared" si="7"/>
        <v>26271.506356861028</v>
      </c>
      <c r="J15" s="6">
        <f t="shared" si="8"/>
        <v>61632620</v>
      </c>
      <c r="K15" s="6">
        <f t="shared" si="9"/>
        <v>-58217992</v>
      </c>
      <c r="L15" s="6">
        <f t="shared" si="10"/>
        <v>-48.575464929624225</v>
      </c>
    </row>
    <row r="16" spans="2:15" ht="15.6">
      <c r="B16" t="s">
        <v>106</v>
      </c>
      <c r="C16" s="10">
        <v>11</v>
      </c>
      <c r="D16" s="4">
        <v>14100</v>
      </c>
      <c r="E16" s="4">
        <f t="shared" si="6"/>
        <v>10969800</v>
      </c>
      <c r="F16" s="10">
        <v>778</v>
      </c>
      <c r="G16" s="4">
        <f t="shared" si="0"/>
        <v>5340</v>
      </c>
      <c r="H16" s="4">
        <f t="shared" si="1"/>
        <v>130820412</v>
      </c>
      <c r="I16" s="10">
        <f t="shared" si="7"/>
        <v>24498.204494382022</v>
      </c>
      <c r="J16" s="10">
        <f t="shared" si="8"/>
        <v>75294000</v>
      </c>
      <c r="K16" s="10">
        <f t="shared" si="9"/>
        <v>-55526412</v>
      </c>
      <c r="L16" s="10">
        <f t="shared" si="10"/>
        <v>-42.444761601882128</v>
      </c>
    </row>
    <row r="17" spans="2:12" ht="15.6">
      <c r="B17" t="s">
        <v>111</v>
      </c>
      <c r="C17" s="8">
        <v>12</v>
      </c>
      <c r="D17" s="11">
        <v>15620</v>
      </c>
      <c r="E17" s="4">
        <f t="shared" si="6"/>
        <v>12542860</v>
      </c>
      <c r="F17" s="8">
        <v>803</v>
      </c>
      <c r="G17" s="4">
        <f t="shared" si="0"/>
        <v>6143</v>
      </c>
      <c r="H17" s="4">
        <f t="shared" si="1"/>
        <v>143363272</v>
      </c>
      <c r="I17" s="8">
        <f t="shared" si="7"/>
        <v>23337.664333387595</v>
      </c>
      <c r="J17" s="8">
        <f t="shared" si="8"/>
        <v>95953660</v>
      </c>
      <c r="K17" s="8">
        <f t="shared" si="9"/>
        <v>-47409612</v>
      </c>
      <c r="L17" s="8">
        <f t="shared" si="10"/>
        <v>-33.069566101979035</v>
      </c>
    </row>
    <row r="18" spans="2:12" ht="15.6">
      <c r="B18" t="s">
        <v>112</v>
      </c>
      <c r="C18" s="8">
        <v>13</v>
      </c>
      <c r="D18" s="11">
        <v>17770</v>
      </c>
      <c r="E18" s="4">
        <f t="shared" si="6"/>
        <v>13665130</v>
      </c>
      <c r="F18" s="8">
        <v>769</v>
      </c>
      <c r="G18" s="4">
        <f t="shared" si="0"/>
        <v>6912</v>
      </c>
      <c r="H18" s="4">
        <f t="shared" si="1"/>
        <v>157028402</v>
      </c>
      <c r="I18" s="8">
        <f t="shared" si="7"/>
        <v>22718.229456018518</v>
      </c>
      <c r="J18" s="8">
        <f t="shared" si="8"/>
        <v>122826240</v>
      </c>
      <c r="K18" s="8">
        <f t="shared" si="9"/>
        <v>-34202162</v>
      </c>
      <c r="L18" s="8">
        <f t="shared" si="10"/>
        <v>-21.780876302874177</v>
      </c>
    </row>
    <row r="19" spans="2:12" ht="15.6">
      <c r="B19" t="s">
        <v>114</v>
      </c>
      <c r="C19" s="8">
        <v>14</v>
      </c>
      <c r="D19" s="11">
        <v>15920</v>
      </c>
      <c r="E19" s="4">
        <f t="shared" si="6"/>
        <v>6925200</v>
      </c>
      <c r="F19" s="8">
        <v>435</v>
      </c>
      <c r="G19" s="4">
        <f t="shared" si="0"/>
        <v>7347</v>
      </c>
      <c r="H19" s="4">
        <f t="shared" si="1"/>
        <v>163953602</v>
      </c>
      <c r="I19" s="8">
        <f t="shared" si="7"/>
        <v>22315.720974547436</v>
      </c>
      <c r="J19" s="8">
        <f t="shared" si="8"/>
        <v>116964240</v>
      </c>
      <c r="K19" s="8">
        <f t="shared" si="9"/>
        <v>-46989362</v>
      </c>
      <c r="L19" s="8">
        <f t="shared" si="10"/>
        <v>-28.66015837822215</v>
      </c>
    </row>
    <row r="20" spans="2:12" ht="15.6">
      <c r="B20" t="s">
        <v>113</v>
      </c>
      <c r="C20" s="53">
        <v>15</v>
      </c>
      <c r="D20" s="54">
        <v>14890</v>
      </c>
      <c r="E20" s="4">
        <f t="shared" si="6"/>
        <v>8963780</v>
      </c>
      <c r="F20" s="53">
        <v>602</v>
      </c>
      <c r="G20" s="4">
        <f t="shared" si="0"/>
        <v>7949</v>
      </c>
      <c r="H20" s="4">
        <f t="shared" si="1"/>
        <v>172917382</v>
      </c>
      <c r="I20" s="53">
        <f>H20/G20</f>
        <v>21753.350358535667</v>
      </c>
      <c r="J20" s="53">
        <f>G20*D20</f>
        <v>118360610</v>
      </c>
      <c r="K20" s="53">
        <f>J20-H20</f>
        <v>-54556772</v>
      </c>
      <c r="L20" s="53">
        <f>100*(J20-H20)/H20</f>
        <v>-31.550773767786978</v>
      </c>
    </row>
    <row r="21" spans="2:12" ht="15.6">
      <c r="B21" t="s">
        <v>118</v>
      </c>
      <c r="C21" s="53">
        <v>16</v>
      </c>
      <c r="D21" s="53">
        <v>12560</v>
      </c>
      <c r="E21" s="4">
        <f t="shared" si="6"/>
        <v>10236400</v>
      </c>
      <c r="F21" s="53">
        <v>815</v>
      </c>
      <c r="G21" s="4">
        <f t="shared" si="0"/>
        <v>8764</v>
      </c>
      <c r="H21" s="4">
        <f t="shared" si="1"/>
        <v>183153782</v>
      </c>
      <c r="I21" s="53">
        <f>H21/G21</f>
        <v>20898.423322683706</v>
      </c>
      <c r="J21" s="53">
        <f>G21*D21</f>
        <v>110075840</v>
      </c>
      <c r="K21" s="53">
        <f>J21-H21</f>
        <v>-73077942</v>
      </c>
      <c r="L21" s="53">
        <f>100*(J21-H21)/H21</f>
        <v>-39.899772312645993</v>
      </c>
    </row>
    <row r="22" spans="2:12" ht="15.6">
      <c r="B22" t="s">
        <v>119</v>
      </c>
      <c r="C22" s="6">
        <v>17</v>
      </c>
      <c r="D22" s="6">
        <v>13200</v>
      </c>
      <c r="E22" s="4">
        <f t="shared" si="6"/>
        <v>8976000</v>
      </c>
      <c r="F22" s="6">
        <v>680</v>
      </c>
      <c r="G22" s="4">
        <f t="shared" si="0"/>
        <v>9444</v>
      </c>
      <c r="H22" s="4">
        <f t="shared" si="1"/>
        <v>192129782</v>
      </c>
      <c r="I22" s="6">
        <f>H22/G22</f>
        <v>20344.110758153325</v>
      </c>
      <c r="J22" s="6">
        <f>G22*D22</f>
        <v>124660800</v>
      </c>
      <c r="K22" s="6">
        <f>J22-H22</f>
        <v>-67468982</v>
      </c>
      <c r="L22" s="6">
        <f>100*(J22-H22)/H22</f>
        <v>-35.116357962660885</v>
      </c>
    </row>
    <row r="23" spans="2:12" ht="15.6">
      <c r="C23" s="6"/>
      <c r="D23" s="6"/>
      <c r="E23" s="6"/>
      <c r="F23" s="6" t="e">
        <f>E23/D23</f>
        <v>#DIV/0!</v>
      </c>
      <c r="G23" s="6"/>
      <c r="H23" s="6"/>
      <c r="I23" s="6" t="e">
        <f>H23/G23</f>
        <v>#DIV/0!</v>
      </c>
      <c r="J23" s="6">
        <f>G23*D23</f>
        <v>0</v>
      </c>
      <c r="K23" s="6">
        <f>J23-H23</f>
        <v>0</v>
      </c>
      <c r="L23" s="6" t="e">
        <f>100*(J23-H23)/H23</f>
        <v>#DIV/0!</v>
      </c>
    </row>
    <row r="35" spans="5:8">
      <c r="G35" t="s">
        <v>67</v>
      </c>
    </row>
    <row r="36" spans="5:8">
      <c r="E36">
        <f>116+252</f>
        <v>368</v>
      </c>
      <c r="F36">
        <v>184</v>
      </c>
    </row>
    <row r="37" spans="5:8">
      <c r="E37">
        <v>116</v>
      </c>
      <c r="F37">
        <f>184*116/368</f>
        <v>58</v>
      </c>
      <c r="G37">
        <f>F37+E37</f>
        <v>174</v>
      </c>
      <c r="H37" t="s">
        <v>53</v>
      </c>
    </row>
    <row r="38" spans="5:8">
      <c r="E38">
        <v>252</v>
      </c>
      <c r="F38">
        <f>184*252/368</f>
        <v>126</v>
      </c>
      <c r="G38">
        <f>F38+E38</f>
        <v>378</v>
      </c>
      <c r="H38" t="s">
        <v>54</v>
      </c>
    </row>
  </sheetData>
  <mergeCells count="2">
    <mergeCell ref="M9:O9"/>
    <mergeCell ref="M8:O8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opLeftCell="A13" workbookViewId="0">
      <selection activeCell="B18" sqref="B18:F23"/>
    </sheetView>
  </sheetViews>
  <sheetFormatPr defaultRowHeight="14.4"/>
  <cols>
    <col min="2" max="2" width="14.6640625" bestFit="1" customWidth="1"/>
    <col min="4" max="5" width="13.109375" customWidth="1"/>
    <col min="6" max="6" width="12" customWidth="1"/>
    <col min="7" max="7" width="26.109375" customWidth="1"/>
    <col min="8" max="8" width="19.77734375" customWidth="1"/>
    <col min="9" max="9" width="18.21875" customWidth="1"/>
    <col min="10" max="10" width="15.6640625" customWidth="1"/>
    <col min="11" max="11" width="14.77734375" customWidth="1"/>
    <col min="12" max="12" width="19.21875" customWidth="1"/>
  </cols>
  <sheetData>
    <row r="2" spans="2:13" ht="31.2">
      <c r="G2" s="9"/>
    </row>
    <row r="4" spans="2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2:13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2:13" ht="15.6">
      <c r="B6" t="s">
        <v>22</v>
      </c>
      <c r="C6" s="4">
        <v>1</v>
      </c>
      <c r="D6" s="11">
        <v>90490</v>
      </c>
      <c r="E6" s="4">
        <f>D6*F6</f>
        <v>7691650</v>
      </c>
      <c r="F6" s="4">
        <v>85</v>
      </c>
      <c r="G6" s="4">
        <v>85</v>
      </c>
      <c r="H6" s="4">
        <v>7691650</v>
      </c>
      <c r="I6" s="4">
        <f>H6/G6</f>
        <v>90490</v>
      </c>
      <c r="J6" s="4">
        <f>G6*D6</f>
        <v>7691650</v>
      </c>
      <c r="K6" s="4">
        <f>J6-H6</f>
        <v>0</v>
      </c>
      <c r="L6" s="4">
        <f>100*(J6-H6)/H6</f>
        <v>0</v>
      </c>
    </row>
    <row r="7" spans="2:13" ht="15.6">
      <c r="B7" t="s">
        <v>21</v>
      </c>
      <c r="C7" s="4">
        <v>2</v>
      </c>
      <c r="D7" s="11">
        <v>83490</v>
      </c>
      <c r="E7" s="4">
        <f>D7*F7</f>
        <v>14861220</v>
      </c>
      <c r="F7" s="4">
        <v>178</v>
      </c>
      <c r="G7" s="4">
        <f t="shared" ref="G7:G23" si="0">G6+F7</f>
        <v>263</v>
      </c>
      <c r="H7" s="4">
        <f t="shared" ref="H7:H23" si="1">H6+E7</f>
        <v>22552870</v>
      </c>
      <c r="I7" s="4">
        <f t="shared" ref="I7:I13" si="2">H7/G7</f>
        <v>85752.357414448663</v>
      </c>
      <c r="J7" s="4">
        <f t="shared" ref="J7:J13" si="3">G7*D7</f>
        <v>21957870</v>
      </c>
      <c r="K7" s="4">
        <f t="shared" ref="K7:K13" si="4">J7-H7</f>
        <v>-595000</v>
      </c>
      <c r="L7" s="4">
        <f t="shared" ref="L7:L13" si="5">100*(J7-H7)/H7</f>
        <v>-2.6382451546078172</v>
      </c>
    </row>
    <row r="8" spans="2:13" ht="15.6">
      <c r="B8" t="s">
        <v>28</v>
      </c>
      <c r="C8" s="6">
        <v>3</v>
      </c>
      <c r="D8" s="11">
        <v>76810</v>
      </c>
      <c r="E8" s="4">
        <f>D8*F8</f>
        <v>11367880</v>
      </c>
      <c r="F8" s="6">
        <v>148</v>
      </c>
      <c r="G8" s="4">
        <f t="shared" si="0"/>
        <v>411</v>
      </c>
      <c r="H8" s="4">
        <f t="shared" si="1"/>
        <v>33920750</v>
      </c>
      <c r="I8" s="6">
        <f t="shared" si="2"/>
        <v>82532.238442822389</v>
      </c>
      <c r="J8" s="6">
        <f t="shared" si="3"/>
        <v>31568910</v>
      </c>
      <c r="K8" s="6">
        <f t="shared" si="4"/>
        <v>-2351840</v>
      </c>
      <c r="L8" s="6">
        <f t="shared" si="5"/>
        <v>-6.9333372640640318</v>
      </c>
    </row>
    <row r="9" spans="2:13" ht="15.6">
      <c r="B9" t="s">
        <v>32</v>
      </c>
      <c r="C9" s="6">
        <v>4</v>
      </c>
      <c r="D9" s="11">
        <v>85549</v>
      </c>
      <c r="E9" s="4">
        <f>D9*F9</f>
        <v>10950272</v>
      </c>
      <c r="F9" s="6">
        <v>128</v>
      </c>
      <c r="G9" s="4">
        <f t="shared" si="0"/>
        <v>539</v>
      </c>
      <c r="H9" s="4">
        <f t="shared" si="1"/>
        <v>44871022</v>
      </c>
      <c r="I9" s="6">
        <f t="shared" si="2"/>
        <v>83248.649350649357</v>
      </c>
      <c r="J9" s="6">
        <f t="shared" si="3"/>
        <v>46110911</v>
      </c>
      <c r="K9" s="6">
        <f t="shared" si="4"/>
        <v>1239889</v>
      </c>
      <c r="L9" s="6">
        <f t="shared" si="5"/>
        <v>2.7632287938527451</v>
      </c>
    </row>
    <row r="10" spans="2:13" ht="15.6">
      <c r="B10" t="s">
        <v>71</v>
      </c>
      <c r="C10" s="6">
        <v>5</v>
      </c>
      <c r="D10" s="11">
        <v>90270</v>
      </c>
      <c r="E10" s="4">
        <f t="shared" ref="E10:E23" si="6">D10*F10</f>
        <v>10381050</v>
      </c>
      <c r="F10" s="6">
        <v>115</v>
      </c>
      <c r="G10" s="4">
        <f t="shared" si="0"/>
        <v>654</v>
      </c>
      <c r="H10" s="4">
        <f t="shared" si="1"/>
        <v>55252072</v>
      </c>
      <c r="I10" s="6">
        <f t="shared" si="2"/>
        <v>84483.290519877672</v>
      </c>
      <c r="J10" s="6">
        <f t="shared" si="3"/>
        <v>59036580</v>
      </c>
      <c r="K10" s="6">
        <f t="shared" si="4"/>
        <v>3784508</v>
      </c>
      <c r="L10" s="6">
        <f t="shared" si="5"/>
        <v>6.8495313623713514</v>
      </c>
    </row>
    <row r="11" spans="2:13" ht="15.6">
      <c r="B11" t="s">
        <v>73</v>
      </c>
      <c r="C11" s="6">
        <v>6</v>
      </c>
      <c r="D11" s="11">
        <v>117260</v>
      </c>
      <c r="E11" s="4">
        <f t="shared" si="6"/>
        <v>11491480</v>
      </c>
      <c r="F11" s="6">
        <v>98</v>
      </c>
      <c r="G11" s="4">
        <f t="shared" si="0"/>
        <v>752</v>
      </c>
      <c r="H11" s="4">
        <f t="shared" si="1"/>
        <v>66743552</v>
      </c>
      <c r="I11" s="6">
        <f t="shared" si="2"/>
        <v>88754.723404255317</v>
      </c>
      <c r="J11" s="6">
        <f t="shared" si="3"/>
        <v>88179520</v>
      </c>
      <c r="K11" s="6">
        <f t="shared" si="4"/>
        <v>21435968</v>
      </c>
      <c r="L11" s="6">
        <f t="shared" si="5"/>
        <v>32.116912207489349</v>
      </c>
    </row>
    <row r="12" spans="2:13" ht="15.6">
      <c r="B12" t="s">
        <v>75</v>
      </c>
      <c r="C12" s="8">
        <v>7</v>
      </c>
      <c r="D12" s="11">
        <v>108100</v>
      </c>
      <c r="E12" s="4">
        <f t="shared" si="6"/>
        <v>10918100</v>
      </c>
      <c r="F12" s="8">
        <v>101</v>
      </c>
      <c r="G12" s="4">
        <f t="shared" si="0"/>
        <v>853</v>
      </c>
      <c r="H12" s="4">
        <f t="shared" si="1"/>
        <v>77661652</v>
      </c>
      <c r="I12" s="8">
        <f t="shared" si="2"/>
        <v>91045.313012895669</v>
      </c>
      <c r="J12" s="8">
        <f t="shared" si="3"/>
        <v>92209300</v>
      </c>
      <c r="K12" s="8">
        <f t="shared" si="4"/>
        <v>14547648</v>
      </c>
      <c r="L12" s="8">
        <f t="shared" si="5"/>
        <v>18.732086718938195</v>
      </c>
    </row>
    <row r="13" spans="2:13" ht="15.6">
      <c r="B13" t="s">
        <v>77</v>
      </c>
      <c r="C13" s="6">
        <v>8</v>
      </c>
      <c r="D13" s="11">
        <v>108250</v>
      </c>
      <c r="E13" s="4">
        <f t="shared" si="6"/>
        <v>10716750</v>
      </c>
      <c r="F13" s="6">
        <v>99</v>
      </c>
      <c r="G13" s="4">
        <f t="shared" si="0"/>
        <v>952</v>
      </c>
      <c r="H13" s="4">
        <f t="shared" si="1"/>
        <v>88378402</v>
      </c>
      <c r="I13" s="6">
        <f t="shared" si="2"/>
        <v>92834.455882352937</v>
      </c>
      <c r="J13" s="6">
        <f t="shared" si="3"/>
        <v>103054000</v>
      </c>
      <c r="K13" s="6">
        <f t="shared" si="4"/>
        <v>14675598</v>
      </c>
      <c r="L13" s="6">
        <f t="shared" si="5"/>
        <v>16.605412258981556</v>
      </c>
    </row>
    <row r="14" spans="2:13" ht="15.6">
      <c r="B14" t="s">
        <v>80</v>
      </c>
      <c r="C14" s="6">
        <v>9</v>
      </c>
      <c r="D14" s="11">
        <v>113000</v>
      </c>
      <c r="E14" s="4">
        <f t="shared" si="6"/>
        <v>10961000</v>
      </c>
      <c r="F14" s="6">
        <v>97</v>
      </c>
      <c r="G14" s="4">
        <f t="shared" si="0"/>
        <v>1049</v>
      </c>
      <c r="H14" s="4">
        <f t="shared" si="1"/>
        <v>99339402</v>
      </c>
      <c r="I14" s="6">
        <f t="shared" ref="I14:I19" si="7">H14/G14</f>
        <v>94699.143946615819</v>
      </c>
      <c r="J14" s="6">
        <f t="shared" ref="J14:J19" si="8">G14*D14</f>
        <v>118537000</v>
      </c>
      <c r="K14" s="6">
        <f t="shared" ref="K14:K19" si="9">J14-H14</f>
        <v>19197598</v>
      </c>
      <c r="L14" s="6">
        <f t="shared" ref="L14:L19" si="10">100*(J14-H14)/H14</f>
        <v>19.325260282923789</v>
      </c>
    </row>
    <row r="15" spans="2:13" ht="15.6">
      <c r="B15" t="s">
        <v>87</v>
      </c>
      <c r="C15" s="6">
        <v>10</v>
      </c>
      <c r="D15" s="11">
        <v>110800</v>
      </c>
      <c r="E15" s="4">
        <f t="shared" si="6"/>
        <v>10636800</v>
      </c>
      <c r="F15" s="6">
        <v>96</v>
      </c>
      <c r="G15" s="4">
        <f t="shared" si="0"/>
        <v>1145</v>
      </c>
      <c r="H15" s="4">
        <f t="shared" si="1"/>
        <v>109976202</v>
      </c>
      <c r="I15" s="6">
        <f t="shared" si="7"/>
        <v>96049.084716157202</v>
      </c>
      <c r="J15" s="6">
        <f t="shared" si="8"/>
        <v>126866000</v>
      </c>
      <c r="K15" s="6">
        <f t="shared" si="9"/>
        <v>16889798</v>
      </c>
      <c r="L15" s="6">
        <f t="shared" si="10"/>
        <v>15.357684383390508</v>
      </c>
    </row>
    <row r="16" spans="2:13" ht="15.6">
      <c r="B16" s="39" t="s">
        <v>91</v>
      </c>
      <c r="C16" s="43">
        <v>11</v>
      </c>
      <c r="D16" s="42">
        <v>69500</v>
      </c>
      <c r="E16" s="17">
        <f t="shared" si="6"/>
        <v>10633500</v>
      </c>
      <c r="F16" s="43">
        <v>153</v>
      </c>
      <c r="G16" s="17">
        <f>G15+F16+INT(H48)</f>
        <v>1870</v>
      </c>
      <c r="H16" s="17">
        <f t="shared" si="1"/>
        <v>120609702</v>
      </c>
      <c r="I16" s="43">
        <f t="shared" si="7"/>
        <v>64497.16684491979</v>
      </c>
      <c r="J16" s="43">
        <f t="shared" si="8"/>
        <v>129965000</v>
      </c>
      <c r="K16" s="43">
        <f t="shared" si="9"/>
        <v>9355298</v>
      </c>
      <c r="L16" s="43">
        <f t="shared" si="10"/>
        <v>7.7566711838820392</v>
      </c>
      <c r="M16" s="39"/>
    </row>
    <row r="17" spans="2:12" ht="15.6">
      <c r="B17" t="s">
        <v>106</v>
      </c>
      <c r="C17" s="8">
        <v>12</v>
      </c>
      <c r="D17" s="11">
        <v>71050</v>
      </c>
      <c r="E17" s="11">
        <f t="shared" si="6"/>
        <v>11012750</v>
      </c>
      <c r="F17" s="8">
        <v>155</v>
      </c>
      <c r="G17" s="4">
        <f t="shared" si="0"/>
        <v>2025</v>
      </c>
      <c r="H17" s="4">
        <f t="shared" si="1"/>
        <v>131622452</v>
      </c>
      <c r="I17" s="8">
        <f t="shared" si="7"/>
        <v>64998.741728395064</v>
      </c>
      <c r="J17" s="8">
        <f t="shared" si="8"/>
        <v>143876250</v>
      </c>
      <c r="K17" s="8">
        <f t="shared" si="9"/>
        <v>12253798</v>
      </c>
      <c r="L17" s="8">
        <f t="shared" si="10"/>
        <v>9.3098083296609602</v>
      </c>
    </row>
    <row r="18" spans="2:12" ht="15.6">
      <c r="B18" t="s">
        <v>116</v>
      </c>
      <c r="C18" s="8">
        <v>13</v>
      </c>
      <c r="D18" s="4">
        <v>92500</v>
      </c>
      <c r="E18" s="11">
        <f t="shared" si="6"/>
        <v>12580000</v>
      </c>
      <c r="F18" s="8">
        <v>136</v>
      </c>
      <c r="G18" s="4">
        <f t="shared" si="0"/>
        <v>2161</v>
      </c>
      <c r="H18" s="4">
        <f t="shared" si="1"/>
        <v>144202452</v>
      </c>
      <c r="I18" s="8">
        <f t="shared" si="7"/>
        <v>66729.501156871818</v>
      </c>
      <c r="J18" s="8">
        <f t="shared" si="8"/>
        <v>199892500</v>
      </c>
      <c r="K18" s="8">
        <f t="shared" si="9"/>
        <v>55690048</v>
      </c>
      <c r="L18" s="8">
        <f t="shared" si="10"/>
        <v>38.619348858228847</v>
      </c>
    </row>
    <row r="19" spans="2:12" ht="15.6">
      <c r="B19" t="s">
        <v>115</v>
      </c>
      <c r="C19" s="8">
        <v>14</v>
      </c>
      <c r="D19" s="4">
        <v>81350</v>
      </c>
      <c r="E19" s="11">
        <f t="shared" si="6"/>
        <v>13748150</v>
      </c>
      <c r="F19" s="8">
        <v>169</v>
      </c>
      <c r="G19" s="4">
        <f t="shared" si="0"/>
        <v>2330</v>
      </c>
      <c r="H19" s="4">
        <f t="shared" si="1"/>
        <v>157950602</v>
      </c>
      <c r="I19" s="8">
        <f t="shared" si="7"/>
        <v>67789.957939914166</v>
      </c>
      <c r="J19" s="8">
        <f t="shared" si="8"/>
        <v>189545500</v>
      </c>
      <c r="K19" s="8">
        <f t="shared" si="9"/>
        <v>31594898</v>
      </c>
      <c r="L19" s="8">
        <f t="shared" si="10"/>
        <v>20.003024743140898</v>
      </c>
    </row>
    <row r="20" spans="2:12" ht="15.6">
      <c r="B20" t="s">
        <v>114</v>
      </c>
      <c r="C20" s="53">
        <v>15</v>
      </c>
      <c r="D20" s="54">
        <v>80700</v>
      </c>
      <c r="E20" s="11">
        <f t="shared" si="6"/>
        <v>13961100</v>
      </c>
      <c r="F20" s="53">
        <v>173</v>
      </c>
      <c r="G20" s="4">
        <f t="shared" si="0"/>
        <v>2503</v>
      </c>
      <c r="H20" s="4">
        <f t="shared" si="1"/>
        <v>171911702</v>
      </c>
      <c r="I20" s="53">
        <f>H20/G20</f>
        <v>68682.262085497408</v>
      </c>
      <c r="J20" s="53">
        <f>G20*D20</f>
        <v>201992100</v>
      </c>
      <c r="K20" s="53">
        <f>J20-H20</f>
        <v>30080398</v>
      </c>
      <c r="L20" s="53">
        <f>100*(J20-H20)/H20</f>
        <v>17.497586057288874</v>
      </c>
    </row>
    <row r="21" spans="2:12" ht="15.6">
      <c r="B21" t="s">
        <v>113</v>
      </c>
      <c r="C21" s="53">
        <v>16</v>
      </c>
      <c r="D21" s="54">
        <v>76850</v>
      </c>
      <c r="E21" s="11">
        <f t="shared" si="6"/>
        <v>13986700</v>
      </c>
      <c r="F21" s="53">
        <v>182</v>
      </c>
      <c r="G21" s="4">
        <f t="shared" si="0"/>
        <v>2685</v>
      </c>
      <c r="H21" s="4">
        <f t="shared" si="1"/>
        <v>185898402</v>
      </c>
      <c r="I21" s="53">
        <f>H21/G21</f>
        <v>69235.903910614521</v>
      </c>
      <c r="J21" s="53">
        <f>G21*D21</f>
        <v>206342250</v>
      </c>
      <c r="K21" s="53">
        <f>J21-H21</f>
        <v>20443848</v>
      </c>
      <c r="L21" s="53">
        <f>100*(J21-H21)/H21</f>
        <v>10.99732315073908</v>
      </c>
    </row>
    <row r="22" spans="2:12" ht="15.6">
      <c r="B22" t="s">
        <v>118</v>
      </c>
      <c r="C22" s="6">
        <v>17</v>
      </c>
      <c r="D22" s="6">
        <v>69700</v>
      </c>
      <c r="E22" s="11">
        <f t="shared" si="6"/>
        <v>14497600</v>
      </c>
      <c r="F22" s="6">
        <v>208</v>
      </c>
      <c r="G22" s="4">
        <f t="shared" si="0"/>
        <v>2893</v>
      </c>
      <c r="H22" s="4">
        <f t="shared" si="1"/>
        <v>200396002</v>
      </c>
      <c r="I22" s="6">
        <f>H22/G22</f>
        <v>69269.271344624955</v>
      </c>
      <c r="J22" s="6">
        <f>G22*D22</f>
        <v>201642100</v>
      </c>
      <c r="K22" s="6">
        <f>J22-H22</f>
        <v>1246098</v>
      </c>
      <c r="L22" s="6">
        <f>100*(J22-H22)/H22</f>
        <v>0.62181779454861574</v>
      </c>
    </row>
    <row r="23" spans="2:12" ht="15.6">
      <c r="B23" t="s">
        <v>119</v>
      </c>
      <c r="C23" s="6">
        <v>18</v>
      </c>
      <c r="D23" s="6">
        <v>70050</v>
      </c>
      <c r="E23" s="11">
        <f t="shared" si="6"/>
        <v>14010000</v>
      </c>
      <c r="F23" s="6">
        <v>200</v>
      </c>
      <c r="G23" s="4">
        <f t="shared" si="0"/>
        <v>3093</v>
      </c>
      <c r="H23" s="4">
        <f t="shared" si="1"/>
        <v>214406002</v>
      </c>
      <c r="I23" s="6">
        <f>H23/G23</f>
        <v>69319.754930488198</v>
      </c>
      <c r="J23" s="6">
        <f>G23*D23</f>
        <v>216664650</v>
      </c>
      <c r="K23" s="6">
        <f>J23-H23</f>
        <v>2258648</v>
      </c>
      <c r="L23" s="6">
        <f>100*(J23-H23)/H23</f>
        <v>1.0534443900502375</v>
      </c>
    </row>
    <row r="24" spans="2:12" ht="15.6">
      <c r="C24" s="6"/>
      <c r="D24" s="6"/>
      <c r="E24" s="6"/>
      <c r="F24" s="6" t="e">
        <f>E24/D24</f>
        <v>#DIV/0!</v>
      </c>
      <c r="G24" s="6"/>
      <c r="H24" s="6"/>
      <c r="I24" s="6" t="e">
        <f>H24/G24</f>
        <v>#DIV/0!</v>
      </c>
      <c r="J24" s="6">
        <f>G24*D24</f>
        <v>0</v>
      </c>
      <c r="K24" s="6">
        <f>J24-H24</f>
        <v>0</v>
      </c>
      <c r="L24" s="6" t="e">
        <f>100*(J24-H24)/H24</f>
        <v>#DIV/0!</v>
      </c>
    </row>
    <row r="36" spans="6:9">
      <c r="H36" t="s">
        <v>92</v>
      </c>
    </row>
    <row r="37" spans="6:9">
      <c r="H37" t="s">
        <v>95</v>
      </c>
    </row>
    <row r="38" spans="6:9" ht="15.6">
      <c r="G38" s="34">
        <v>85</v>
      </c>
      <c r="H38">
        <f>G38*0.5</f>
        <v>42.5</v>
      </c>
      <c r="I38" t="s">
        <v>53</v>
      </c>
    </row>
    <row r="39" spans="6:9" ht="15.6">
      <c r="G39" s="35">
        <v>178</v>
      </c>
      <c r="H39">
        <f t="shared" ref="H39:H47" si="11">G39*0.5</f>
        <v>89</v>
      </c>
      <c r="I39" t="s">
        <v>54</v>
      </c>
    </row>
    <row r="40" spans="6:9" ht="15.6">
      <c r="G40" s="36">
        <v>148</v>
      </c>
      <c r="H40">
        <f t="shared" si="11"/>
        <v>74</v>
      </c>
      <c r="I40" t="s">
        <v>55</v>
      </c>
    </row>
    <row r="41" spans="6:9" ht="15.6">
      <c r="G41" s="37">
        <v>128</v>
      </c>
      <c r="H41">
        <f t="shared" si="11"/>
        <v>64</v>
      </c>
      <c r="I41" t="s">
        <v>82</v>
      </c>
    </row>
    <row r="42" spans="6:9" ht="15.6">
      <c r="G42" s="36">
        <v>115</v>
      </c>
      <c r="H42">
        <f t="shared" si="11"/>
        <v>57.5</v>
      </c>
      <c r="I42" t="s">
        <v>57</v>
      </c>
    </row>
    <row r="43" spans="6:9" ht="15.6">
      <c r="G43" s="37">
        <v>98</v>
      </c>
      <c r="H43">
        <f t="shared" si="11"/>
        <v>49</v>
      </c>
      <c r="I43" t="s">
        <v>58</v>
      </c>
    </row>
    <row r="44" spans="6:9" ht="15.6">
      <c r="G44" s="36">
        <v>101</v>
      </c>
      <c r="H44">
        <f t="shared" si="11"/>
        <v>50.5</v>
      </c>
      <c r="I44" t="s">
        <v>59</v>
      </c>
    </row>
    <row r="45" spans="6:9" ht="15.6">
      <c r="G45" s="37">
        <v>99</v>
      </c>
      <c r="H45">
        <f t="shared" si="11"/>
        <v>49.5</v>
      </c>
      <c r="I45" t="s">
        <v>60</v>
      </c>
    </row>
    <row r="46" spans="6:9" ht="15.6">
      <c r="G46" s="36">
        <v>97</v>
      </c>
      <c r="H46">
        <f t="shared" si="11"/>
        <v>48.5</v>
      </c>
      <c r="I46" t="s">
        <v>61</v>
      </c>
    </row>
    <row r="47" spans="6:9" ht="15.6">
      <c r="G47" s="37">
        <v>96</v>
      </c>
      <c r="H47">
        <f t="shared" si="11"/>
        <v>48</v>
      </c>
      <c r="I47" t="s">
        <v>62</v>
      </c>
    </row>
    <row r="48" spans="6:9">
      <c r="F48">
        <f>G48+H48</f>
        <v>1717.5</v>
      </c>
      <c r="G48">
        <f>SUM(G38:G47)</f>
        <v>1145</v>
      </c>
      <c r="H48">
        <f>G48*0.5</f>
        <v>572.5</v>
      </c>
      <c r="I48" t="s">
        <v>94</v>
      </c>
    </row>
    <row r="49" spans="6:6">
      <c r="F49">
        <f>F48+153</f>
        <v>1870.5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opLeftCell="A15" workbookViewId="0">
      <selection activeCell="B17" sqref="B17:F22"/>
    </sheetView>
  </sheetViews>
  <sheetFormatPr defaultRowHeight="14.4"/>
  <cols>
    <col min="2" max="2" width="14.6640625" bestFit="1" customWidth="1"/>
    <col min="4" max="5" width="13.109375" customWidth="1"/>
    <col min="6" max="6" width="15.33203125" customWidth="1"/>
    <col min="7" max="7" width="18.6640625" bestFit="1" customWidth="1"/>
    <col min="8" max="8" width="22.21875" customWidth="1"/>
    <col min="9" max="9" width="25.109375" customWidth="1"/>
    <col min="10" max="10" width="19.21875" customWidth="1"/>
    <col min="11" max="11" width="17.6640625" customWidth="1"/>
    <col min="12" max="13" width="15.88671875" customWidth="1"/>
  </cols>
  <sheetData>
    <row r="2" spans="1:13" ht="31.2">
      <c r="G2" s="9"/>
    </row>
    <row r="4" spans="1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1:13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1:13" ht="15.6">
      <c r="B6" t="s">
        <v>22</v>
      </c>
      <c r="C6" s="4">
        <v>1</v>
      </c>
      <c r="D6" s="11">
        <v>12970</v>
      </c>
      <c r="E6" s="4">
        <f t="shared" ref="E6:E22" si="0">D6*F6</f>
        <v>7561510</v>
      </c>
      <c r="F6" s="4">
        <v>583</v>
      </c>
      <c r="G6" s="4">
        <v>583</v>
      </c>
      <c r="H6" s="4">
        <v>7561510</v>
      </c>
      <c r="I6" s="4">
        <f>H6/G6</f>
        <v>12970</v>
      </c>
      <c r="J6" s="4">
        <f>G6*D6</f>
        <v>7561510</v>
      </c>
      <c r="K6" s="4">
        <f>J6-H6</f>
        <v>0</v>
      </c>
      <c r="L6" s="4">
        <f>100*(J6-H6)/H6</f>
        <v>0</v>
      </c>
    </row>
    <row r="7" spans="1:13" ht="15.6">
      <c r="B7" t="s">
        <v>21</v>
      </c>
      <c r="C7" s="4">
        <v>2</v>
      </c>
      <c r="D7" s="11">
        <v>11020</v>
      </c>
      <c r="E7" s="4">
        <f t="shared" si="0"/>
        <v>14932100</v>
      </c>
      <c r="F7" s="4">
        <v>1355</v>
      </c>
      <c r="G7" s="4">
        <f t="shared" ref="G7:G22" si="1">G6+F7</f>
        <v>1938</v>
      </c>
      <c r="H7" s="4">
        <f t="shared" ref="H7:H22" si="2">H6+E7</f>
        <v>22493610</v>
      </c>
      <c r="I7" s="4">
        <f t="shared" ref="I7:I13" si="3">H7/G7</f>
        <v>11606.609907120743</v>
      </c>
      <c r="J7" s="4">
        <f t="shared" ref="J7:J13" si="4">G7*D7</f>
        <v>21356760</v>
      </c>
      <c r="K7" s="4">
        <f t="shared" ref="K7:K13" si="5">J7-H7</f>
        <v>-1136850</v>
      </c>
      <c r="L7" s="4">
        <f t="shared" ref="L7:L13" si="6">100*(J7-H7)/H7</f>
        <v>-5.0541020316436533</v>
      </c>
    </row>
    <row r="8" spans="1:13" ht="15.6">
      <c r="A8" s="18"/>
      <c r="B8" t="s">
        <v>28</v>
      </c>
      <c r="C8" s="6">
        <v>3</v>
      </c>
      <c r="D8" s="11">
        <v>11760</v>
      </c>
      <c r="E8" s="4">
        <f t="shared" si="0"/>
        <v>11336640</v>
      </c>
      <c r="F8" s="6">
        <v>964</v>
      </c>
      <c r="G8" s="4">
        <f t="shared" si="1"/>
        <v>2902</v>
      </c>
      <c r="H8" s="4">
        <f t="shared" si="2"/>
        <v>33830250</v>
      </c>
      <c r="I8" s="6">
        <f t="shared" si="3"/>
        <v>11657.563749138526</v>
      </c>
      <c r="J8" s="6">
        <f t="shared" si="4"/>
        <v>34127520</v>
      </c>
      <c r="K8" s="6">
        <f t="shared" si="5"/>
        <v>297270</v>
      </c>
      <c r="L8" s="6">
        <f t="shared" si="6"/>
        <v>0.87871062141131084</v>
      </c>
    </row>
    <row r="9" spans="1:13" ht="15.6">
      <c r="A9" s="18"/>
      <c r="B9" t="s">
        <v>32</v>
      </c>
      <c r="C9" s="6">
        <v>4</v>
      </c>
      <c r="D9" s="4">
        <v>12520</v>
      </c>
      <c r="E9" s="4">
        <f t="shared" si="0"/>
        <v>21935040</v>
      </c>
      <c r="F9" s="20">
        <v>1752</v>
      </c>
      <c r="G9" s="4">
        <f t="shared" si="1"/>
        <v>4654</v>
      </c>
      <c r="H9" s="4">
        <f t="shared" si="2"/>
        <v>55765290</v>
      </c>
      <c r="I9" s="6">
        <f t="shared" si="3"/>
        <v>11982.228190803609</v>
      </c>
      <c r="J9" s="6">
        <f t="shared" si="4"/>
        <v>58268080</v>
      </c>
      <c r="K9" s="6">
        <f t="shared" si="5"/>
        <v>2502790</v>
      </c>
      <c r="L9" s="6">
        <f t="shared" si="6"/>
        <v>4.4880785162239807</v>
      </c>
    </row>
    <row r="10" spans="1:13" ht="15.6">
      <c r="B10" t="s">
        <v>73</v>
      </c>
      <c r="C10" s="6">
        <v>5</v>
      </c>
      <c r="D10" s="11">
        <v>14500</v>
      </c>
      <c r="E10" s="4">
        <f t="shared" si="0"/>
        <v>11469500</v>
      </c>
      <c r="F10" s="6">
        <v>791</v>
      </c>
      <c r="G10" s="4">
        <f t="shared" si="1"/>
        <v>5445</v>
      </c>
      <c r="H10" s="4">
        <f t="shared" si="2"/>
        <v>67234790</v>
      </c>
      <c r="I10" s="6">
        <f t="shared" si="3"/>
        <v>12347.987144168963</v>
      </c>
      <c r="J10" s="6">
        <f t="shared" si="4"/>
        <v>78952500</v>
      </c>
      <c r="K10" s="6">
        <f t="shared" si="5"/>
        <v>11717710</v>
      </c>
      <c r="L10" s="6">
        <f t="shared" si="6"/>
        <v>17.428045807832522</v>
      </c>
    </row>
    <row r="11" spans="1:13" ht="15.6">
      <c r="B11" t="s">
        <v>75</v>
      </c>
      <c r="C11" s="6">
        <v>6</v>
      </c>
      <c r="D11" s="11">
        <v>13060</v>
      </c>
      <c r="E11" s="4">
        <f t="shared" si="0"/>
        <v>10813680</v>
      </c>
      <c r="F11" s="6">
        <v>828</v>
      </c>
      <c r="G11" s="4">
        <f t="shared" si="1"/>
        <v>6273</v>
      </c>
      <c r="H11" s="4">
        <f t="shared" si="2"/>
        <v>78048470</v>
      </c>
      <c r="I11" s="6">
        <f t="shared" si="3"/>
        <v>12441.968754981668</v>
      </c>
      <c r="J11" s="6">
        <f t="shared" si="4"/>
        <v>81925380</v>
      </c>
      <c r="K11" s="6">
        <f t="shared" si="5"/>
        <v>3876910</v>
      </c>
      <c r="L11" s="6">
        <f t="shared" si="6"/>
        <v>4.967310698082871</v>
      </c>
    </row>
    <row r="12" spans="1:13" ht="15.6">
      <c r="B12" t="s">
        <v>77</v>
      </c>
      <c r="C12" s="8">
        <v>7</v>
      </c>
      <c r="D12" s="11">
        <v>13250</v>
      </c>
      <c r="E12" s="4">
        <f t="shared" si="0"/>
        <v>10666250</v>
      </c>
      <c r="F12" s="8">
        <v>805</v>
      </c>
      <c r="G12" s="4">
        <f t="shared" si="1"/>
        <v>7078</v>
      </c>
      <c r="H12" s="4">
        <f t="shared" si="2"/>
        <v>88714720</v>
      </c>
      <c r="I12" s="8">
        <f t="shared" si="3"/>
        <v>12533.868324385419</v>
      </c>
      <c r="J12" s="8">
        <f t="shared" si="4"/>
        <v>93783500</v>
      </c>
      <c r="K12" s="8">
        <f t="shared" si="5"/>
        <v>5068780</v>
      </c>
      <c r="L12" s="8">
        <f t="shared" si="6"/>
        <v>5.7135726742980193</v>
      </c>
    </row>
    <row r="13" spans="1:13" ht="15.6">
      <c r="B13" s="39" t="s">
        <v>84</v>
      </c>
      <c r="C13" s="40">
        <v>8</v>
      </c>
      <c r="D13" s="17">
        <v>6380</v>
      </c>
      <c r="E13" s="17">
        <f t="shared" si="0"/>
        <v>10979980</v>
      </c>
      <c r="F13" s="41">
        <v>1721</v>
      </c>
      <c r="G13" s="42">
        <f>G12+F13+7078</f>
        <v>15877</v>
      </c>
      <c r="H13" s="17">
        <f t="shared" si="2"/>
        <v>99694700</v>
      </c>
      <c r="I13" s="40">
        <f t="shared" si="3"/>
        <v>6279.1900233041506</v>
      </c>
      <c r="J13" s="40">
        <f t="shared" si="4"/>
        <v>101295260</v>
      </c>
      <c r="K13" s="40">
        <f t="shared" si="5"/>
        <v>1600560</v>
      </c>
      <c r="L13" s="40">
        <f t="shared" si="6"/>
        <v>1.6054614738797548</v>
      </c>
      <c r="M13" s="39" t="s">
        <v>85</v>
      </c>
    </row>
    <row r="14" spans="1:13" ht="15.6">
      <c r="B14" t="s">
        <v>87</v>
      </c>
      <c r="C14" s="6">
        <v>9</v>
      </c>
      <c r="D14" s="11">
        <v>6960</v>
      </c>
      <c r="E14" s="4">
        <f t="shared" si="0"/>
        <v>10565280</v>
      </c>
      <c r="F14" s="6">
        <v>1518</v>
      </c>
      <c r="G14" s="4">
        <f t="shared" si="1"/>
        <v>17395</v>
      </c>
      <c r="H14" s="4">
        <f t="shared" si="2"/>
        <v>110259980</v>
      </c>
      <c r="I14" s="6">
        <f t="shared" ref="I14:I19" si="7">H14/G14</f>
        <v>6338.6018970968671</v>
      </c>
      <c r="J14" s="6">
        <f t="shared" ref="J14:J19" si="8">G14*D14</f>
        <v>121069200</v>
      </c>
      <c r="K14" s="6">
        <f t="shared" ref="K14:K19" si="9">J14-H14</f>
        <v>10809220</v>
      </c>
      <c r="L14" s="6">
        <f t="shared" ref="L14:L19" si="10">100*(J14-H14)/H14</f>
        <v>9.8033937608187482</v>
      </c>
    </row>
    <row r="15" spans="1:13" ht="15.6">
      <c r="B15" t="s">
        <v>90</v>
      </c>
      <c r="C15" s="6">
        <v>10</v>
      </c>
      <c r="D15" s="4">
        <v>6350</v>
      </c>
      <c r="E15" s="4">
        <f t="shared" si="0"/>
        <v>10661650</v>
      </c>
      <c r="F15" s="6">
        <v>1679</v>
      </c>
      <c r="G15" s="4">
        <f t="shared" si="1"/>
        <v>19074</v>
      </c>
      <c r="H15" s="4">
        <f t="shared" si="2"/>
        <v>120921630</v>
      </c>
      <c r="I15" s="6">
        <f t="shared" si="7"/>
        <v>6339.6052217678516</v>
      </c>
      <c r="J15" s="6">
        <f t="shared" si="8"/>
        <v>121119900</v>
      </c>
      <c r="K15" s="6">
        <f t="shared" si="9"/>
        <v>198270</v>
      </c>
      <c r="L15" s="6">
        <f t="shared" si="10"/>
        <v>0.1639657024140346</v>
      </c>
    </row>
    <row r="16" spans="1:13" ht="15.6">
      <c r="B16" t="s">
        <v>106</v>
      </c>
      <c r="C16" s="10">
        <v>11</v>
      </c>
      <c r="D16" s="4">
        <v>7040</v>
      </c>
      <c r="E16" s="4">
        <f t="shared" si="0"/>
        <v>10961280</v>
      </c>
      <c r="F16" s="48">
        <v>1557</v>
      </c>
      <c r="G16" s="4">
        <f t="shared" si="1"/>
        <v>20631</v>
      </c>
      <c r="H16" s="4">
        <f t="shared" si="2"/>
        <v>131882910</v>
      </c>
      <c r="I16" s="10">
        <f t="shared" si="7"/>
        <v>6392.4632834084632</v>
      </c>
      <c r="J16" s="10">
        <f t="shared" si="8"/>
        <v>145242240</v>
      </c>
      <c r="K16" s="10">
        <f t="shared" si="9"/>
        <v>13359330</v>
      </c>
      <c r="L16" s="10">
        <f t="shared" si="10"/>
        <v>10.129690040961334</v>
      </c>
    </row>
    <row r="17" spans="2:12" ht="15.6">
      <c r="B17" t="s">
        <v>111</v>
      </c>
      <c r="C17" s="8">
        <v>12</v>
      </c>
      <c r="D17" s="11">
        <v>7370</v>
      </c>
      <c r="E17" s="4">
        <f t="shared" si="0"/>
        <v>12698510</v>
      </c>
      <c r="F17" s="8">
        <v>1723</v>
      </c>
      <c r="G17" s="4">
        <f t="shared" si="1"/>
        <v>22354</v>
      </c>
      <c r="H17" s="4">
        <f t="shared" si="2"/>
        <v>144581420</v>
      </c>
      <c r="I17" s="8">
        <f t="shared" si="7"/>
        <v>6467.8097879574125</v>
      </c>
      <c r="J17" s="8">
        <f t="shared" si="8"/>
        <v>164748980</v>
      </c>
      <c r="K17" s="8">
        <f t="shared" si="9"/>
        <v>20167560</v>
      </c>
      <c r="L17" s="8">
        <f t="shared" si="10"/>
        <v>13.948929260758401</v>
      </c>
    </row>
    <row r="18" spans="2:12" ht="15.6">
      <c r="B18" t="s">
        <v>112</v>
      </c>
      <c r="C18" s="8">
        <v>13</v>
      </c>
      <c r="D18" s="4">
        <v>7550</v>
      </c>
      <c r="E18" s="4">
        <f t="shared" si="0"/>
        <v>13650400</v>
      </c>
      <c r="F18" s="29">
        <v>1808</v>
      </c>
      <c r="G18" s="4">
        <f t="shared" si="1"/>
        <v>24162</v>
      </c>
      <c r="H18" s="4">
        <f t="shared" si="2"/>
        <v>158231820</v>
      </c>
      <c r="I18" s="8">
        <f t="shared" si="7"/>
        <v>6548.7881797864411</v>
      </c>
      <c r="J18" s="8">
        <f t="shared" si="8"/>
        <v>182423100</v>
      </c>
      <c r="K18" s="8">
        <f t="shared" si="9"/>
        <v>24191280</v>
      </c>
      <c r="L18" s="8">
        <f t="shared" si="10"/>
        <v>15.288505181827524</v>
      </c>
    </row>
    <row r="19" spans="2:12" ht="15.6">
      <c r="B19" t="s">
        <v>114</v>
      </c>
      <c r="C19" s="8">
        <v>14</v>
      </c>
      <c r="D19" s="11">
        <v>7380</v>
      </c>
      <c r="E19" s="4">
        <f t="shared" si="0"/>
        <v>13948200</v>
      </c>
      <c r="F19" s="8">
        <v>1890</v>
      </c>
      <c r="G19" s="4">
        <f t="shared" si="1"/>
        <v>26052</v>
      </c>
      <c r="H19" s="4">
        <f t="shared" si="2"/>
        <v>172180020</v>
      </c>
      <c r="I19" s="8">
        <f t="shared" si="7"/>
        <v>6609.0902809765084</v>
      </c>
      <c r="J19" s="8">
        <f t="shared" si="8"/>
        <v>192263760</v>
      </c>
      <c r="K19" s="8">
        <f t="shared" si="9"/>
        <v>20083740</v>
      </c>
      <c r="L19" s="8">
        <f t="shared" si="10"/>
        <v>11.66438475265597</v>
      </c>
    </row>
    <row r="20" spans="2:12" ht="15.6">
      <c r="B20" t="s">
        <v>113</v>
      </c>
      <c r="C20" s="53">
        <v>15</v>
      </c>
      <c r="D20" s="54">
        <v>6740</v>
      </c>
      <c r="E20" s="4">
        <f t="shared" si="0"/>
        <v>13951800</v>
      </c>
      <c r="F20" s="53">
        <v>2070</v>
      </c>
      <c r="G20" s="4">
        <f t="shared" si="1"/>
        <v>28122</v>
      </c>
      <c r="H20" s="4">
        <f t="shared" si="2"/>
        <v>186131820</v>
      </c>
      <c r="I20" s="53">
        <f>H20/G20</f>
        <v>6618.7262641348407</v>
      </c>
      <c r="J20" s="53">
        <f>G20*D20</f>
        <v>189542280</v>
      </c>
      <c r="K20" s="53">
        <f>J20-H20</f>
        <v>3410460</v>
      </c>
      <c r="L20" s="53">
        <f>100*(J20-H20)/H20</f>
        <v>1.8322820891129739</v>
      </c>
    </row>
    <row r="21" spans="2:12" ht="15.6">
      <c r="B21" t="s">
        <v>118</v>
      </c>
      <c r="C21" s="6">
        <v>16</v>
      </c>
      <c r="D21" s="6">
        <v>5360</v>
      </c>
      <c r="E21" s="4">
        <f t="shared" si="0"/>
        <v>14450560</v>
      </c>
      <c r="F21" s="6">
        <v>2696</v>
      </c>
      <c r="G21" s="4">
        <f t="shared" si="1"/>
        <v>30818</v>
      </c>
      <c r="H21" s="4">
        <f t="shared" si="2"/>
        <v>200582380</v>
      </c>
      <c r="I21" s="6">
        <f>H21/G21</f>
        <v>6508.6112012460253</v>
      </c>
      <c r="J21" s="6">
        <f>G21*D21</f>
        <v>165184480</v>
      </c>
      <c r="K21" s="6">
        <f>J21-H21</f>
        <v>-35397900</v>
      </c>
      <c r="L21" s="6">
        <f>100*(J21-H21)/H21</f>
        <v>-17.647562064025763</v>
      </c>
    </row>
    <row r="22" spans="2:12" ht="15.6">
      <c r="B22" t="s">
        <v>119</v>
      </c>
      <c r="C22" s="6">
        <v>17</v>
      </c>
      <c r="D22" s="6">
        <v>5280</v>
      </c>
      <c r="E22" s="4">
        <f t="shared" si="0"/>
        <v>13949760</v>
      </c>
      <c r="F22" s="6">
        <f>434+2208</f>
        <v>2642</v>
      </c>
      <c r="G22" s="4">
        <f t="shared" si="1"/>
        <v>33460</v>
      </c>
      <c r="H22" s="4">
        <f t="shared" si="2"/>
        <v>214532140</v>
      </c>
      <c r="I22" s="6">
        <f>H22/G22</f>
        <v>6411.6001195457266</v>
      </c>
      <c r="J22" s="6">
        <f>G22*D22</f>
        <v>176668800</v>
      </c>
      <c r="K22" s="6">
        <f>J22-H22</f>
        <v>-37863340</v>
      </c>
      <c r="L22" s="6">
        <f>100*(J22-H22)/H22</f>
        <v>-17.649262250402202</v>
      </c>
    </row>
    <row r="23" spans="2:12" ht="15.6">
      <c r="C23" s="6"/>
      <c r="D23" s="6"/>
      <c r="E23" s="6"/>
      <c r="F23" s="6" t="e">
        <f>E23/D23</f>
        <v>#DIV/0!</v>
      </c>
      <c r="G23" s="6"/>
      <c r="H23" s="6"/>
      <c r="I23" s="6" t="e">
        <f>H23/G23</f>
        <v>#DIV/0!</v>
      </c>
      <c r="J23" s="6">
        <f>G23*D23</f>
        <v>0</v>
      </c>
      <c r="K23" s="6">
        <f>J23-H23</f>
        <v>0</v>
      </c>
      <c r="L23" s="6" t="e">
        <f>100*(J23-H23)/H23</f>
        <v>#DIV/0!</v>
      </c>
    </row>
    <row r="34" spans="7:10">
      <c r="I34" t="s">
        <v>83</v>
      </c>
    </row>
    <row r="35" spans="7:10">
      <c r="I35" t="s">
        <v>67</v>
      </c>
    </row>
    <row r="36" spans="7:10" ht="15.6">
      <c r="H36" s="34">
        <v>583</v>
      </c>
      <c r="I36">
        <f>H36*2</f>
        <v>1166</v>
      </c>
      <c r="J36" t="s">
        <v>53</v>
      </c>
    </row>
    <row r="37" spans="7:10" ht="15.6">
      <c r="H37" s="35">
        <v>1355</v>
      </c>
      <c r="I37">
        <f t="shared" ref="I37:I38" si="11">H37*2</f>
        <v>2710</v>
      </c>
      <c r="J37" t="s">
        <v>54</v>
      </c>
    </row>
    <row r="38" spans="7:10" ht="15.6">
      <c r="H38" s="36">
        <v>964</v>
      </c>
      <c r="I38">
        <f t="shared" si="11"/>
        <v>1928</v>
      </c>
      <c r="J38" t="s">
        <v>55</v>
      </c>
    </row>
    <row r="39" spans="7:10" ht="15.6">
      <c r="G39" t="s">
        <v>93</v>
      </c>
      <c r="H39" s="38">
        <v>1752</v>
      </c>
      <c r="I39">
        <f>H39*2</f>
        <v>3504</v>
      </c>
      <c r="J39" t="s">
        <v>82</v>
      </c>
    </row>
    <row r="40" spans="7:10" ht="15.6">
      <c r="H40" s="36">
        <v>791</v>
      </c>
      <c r="I40">
        <f>H40*2</f>
        <v>1582</v>
      </c>
      <c r="J40" t="s">
        <v>58</v>
      </c>
    </row>
    <row r="41" spans="7:10" ht="15.6">
      <c r="H41" s="37">
        <v>828</v>
      </c>
      <c r="I41">
        <f>H41*2</f>
        <v>1656</v>
      </c>
      <c r="J41" t="s">
        <v>59</v>
      </c>
    </row>
    <row r="42" spans="7:10" ht="15.6">
      <c r="H42" s="36">
        <v>805</v>
      </c>
      <c r="I42">
        <f>H42*2</f>
        <v>1610</v>
      </c>
      <c r="J42" t="s">
        <v>60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workbookViewId="0">
      <selection activeCell="B18" sqref="B18:F23"/>
    </sheetView>
  </sheetViews>
  <sheetFormatPr defaultRowHeight="14.4"/>
  <cols>
    <col min="2" max="2" width="14.6640625" bestFit="1" customWidth="1"/>
    <col min="4" max="4" width="13.109375" customWidth="1"/>
    <col min="5" max="5" width="19.44140625" customWidth="1"/>
    <col min="6" max="6" width="14.33203125" customWidth="1"/>
    <col min="7" max="7" width="17.5546875" customWidth="1"/>
    <col min="8" max="8" width="14" customWidth="1"/>
    <col min="9" max="9" width="30.109375" customWidth="1"/>
    <col min="10" max="10" width="19.21875" customWidth="1"/>
    <col min="11" max="11" width="14.88671875" customWidth="1"/>
    <col min="12" max="12" width="14" bestFit="1" customWidth="1"/>
    <col min="13" max="13" width="13.6640625" customWidth="1"/>
  </cols>
  <sheetData>
    <row r="2" spans="1:13" ht="31.2">
      <c r="A2" s="13"/>
      <c r="B2" s="13"/>
      <c r="C2" s="13"/>
      <c r="D2" s="13"/>
      <c r="E2" s="13"/>
      <c r="F2" s="13"/>
      <c r="G2" s="14"/>
      <c r="H2" s="13"/>
      <c r="I2" s="13"/>
      <c r="J2" s="13"/>
      <c r="K2" s="13"/>
      <c r="L2" s="13"/>
    </row>
    <row r="3" spans="1:1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3" ht="15.6">
      <c r="A4" s="13"/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</row>
    <row r="5" spans="1:13" ht="16.2" thickBot="1">
      <c r="B5" s="2" t="s">
        <v>11</v>
      </c>
      <c r="C5" s="3" t="s">
        <v>86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1:13" ht="15.6">
      <c r="B6" t="s">
        <v>22</v>
      </c>
      <c r="C6" s="4">
        <v>1</v>
      </c>
      <c r="D6" s="11">
        <v>11490</v>
      </c>
      <c r="E6" s="4">
        <f t="shared" ref="E6:E23" si="0">D6*F6</f>
        <v>7640850</v>
      </c>
      <c r="F6" s="4">
        <v>665</v>
      </c>
      <c r="G6" s="4">
        <v>665</v>
      </c>
      <c r="H6" s="4">
        <v>7640850</v>
      </c>
      <c r="I6" s="4">
        <f>H6/G6</f>
        <v>11490</v>
      </c>
      <c r="J6" s="4">
        <f>G6*D6</f>
        <v>7640850</v>
      </c>
      <c r="K6" s="4">
        <f>J6-H6</f>
        <v>0</v>
      </c>
      <c r="L6" s="4">
        <f>100*(J6-H6)/H6</f>
        <v>0</v>
      </c>
    </row>
    <row r="7" spans="1:13" ht="15.6">
      <c r="B7" t="s">
        <v>21</v>
      </c>
      <c r="C7" s="4">
        <v>2</v>
      </c>
      <c r="D7" s="11">
        <v>11080</v>
      </c>
      <c r="E7" s="4">
        <f t="shared" si="0"/>
        <v>14924760</v>
      </c>
      <c r="F7" s="4">
        <v>1347</v>
      </c>
      <c r="G7" s="4">
        <f t="shared" ref="G7:G23" si="1">G6+F7</f>
        <v>2012</v>
      </c>
      <c r="H7" s="4">
        <f t="shared" ref="H7:H23" si="2">H6+E7</f>
        <v>22565610</v>
      </c>
      <c r="I7" s="4">
        <f t="shared" ref="I7:I13" si="3">H7/G7</f>
        <v>11215.511928429423</v>
      </c>
      <c r="J7" s="4">
        <f t="shared" ref="J7:J13" si="4">G7*D7</f>
        <v>22292960</v>
      </c>
      <c r="K7" s="4">
        <f t="shared" ref="K7:K13" si="5">J7-H7</f>
        <v>-272650</v>
      </c>
      <c r="L7" s="4">
        <f t="shared" ref="L7:L13" si="6">100*(J7-H7)/H7</f>
        <v>-1.2082545076335185</v>
      </c>
    </row>
    <row r="8" spans="1:13" ht="15.6">
      <c r="B8" t="s">
        <v>28</v>
      </c>
      <c r="C8" s="6">
        <v>3</v>
      </c>
      <c r="D8" s="11">
        <v>9650</v>
      </c>
      <c r="E8" s="4">
        <f t="shared" si="0"/>
        <v>11251900</v>
      </c>
      <c r="F8" s="6">
        <v>1166</v>
      </c>
      <c r="G8" s="4">
        <f t="shared" si="1"/>
        <v>3178</v>
      </c>
      <c r="H8" s="4">
        <f t="shared" si="2"/>
        <v>33817510</v>
      </c>
      <c r="I8" s="6">
        <f t="shared" si="3"/>
        <v>10641.129641283826</v>
      </c>
      <c r="J8" s="6">
        <f t="shared" si="4"/>
        <v>30667700</v>
      </c>
      <c r="K8" s="6">
        <f t="shared" si="5"/>
        <v>-3149810</v>
      </c>
      <c r="L8" s="6">
        <f t="shared" si="6"/>
        <v>-9.31413933196146</v>
      </c>
    </row>
    <row r="9" spans="1:13" ht="15.6">
      <c r="B9" t="s">
        <v>32</v>
      </c>
      <c r="C9" s="6">
        <v>4</v>
      </c>
      <c r="D9" s="11">
        <v>12510</v>
      </c>
      <c r="E9" s="4">
        <f t="shared" si="0"/>
        <v>10971270</v>
      </c>
      <c r="F9" s="6">
        <v>877</v>
      </c>
      <c r="G9" s="4">
        <f t="shared" si="1"/>
        <v>4055</v>
      </c>
      <c r="H9" s="4">
        <f t="shared" si="2"/>
        <v>44788780</v>
      </c>
      <c r="I9" s="6">
        <f t="shared" si="3"/>
        <v>11045.321824907522</v>
      </c>
      <c r="J9" s="6">
        <f t="shared" si="4"/>
        <v>50728050</v>
      </c>
      <c r="K9" s="6">
        <f t="shared" si="5"/>
        <v>5939270</v>
      </c>
      <c r="L9" s="6">
        <f t="shared" si="6"/>
        <v>13.260620182108108</v>
      </c>
    </row>
    <row r="10" spans="1:13" ht="15.6">
      <c r="B10" t="s">
        <v>71</v>
      </c>
      <c r="C10" s="6">
        <v>5</v>
      </c>
      <c r="D10" s="4">
        <v>12720</v>
      </c>
      <c r="E10" s="4">
        <f t="shared" si="0"/>
        <v>10366800</v>
      </c>
      <c r="F10" s="6">
        <v>815</v>
      </c>
      <c r="G10" s="4">
        <f t="shared" si="1"/>
        <v>4870</v>
      </c>
      <c r="H10" s="4">
        <f t="shared" si="2"/>
        <v>55155580</v>
      </c>
      <c r="I10" s="6">
        <f t="shared" si="3"/>
        <v>11325.581108829569</v>
      </c>
      <c r="J10" s="6">
        <f t="shared" si="4"/>
        <v>61946400</v>
      </c>
      <c r="K10" s="6">
        <f t="shared" si="5"/>
        <v>6790820</v>
      </c>
      <c r="L10" s="6">
        <f t="shared" si="6"/>
        <v>12.312117831051728</v>
      </c>
    </row>
    <row r="11" spans="1:13" ht="15.6">
      <c r="B11" t="s">
        <v>73</v>
      </c>
      <c r="C11" s="6">
        <v>6</v>
      </c>
      <c r="D11" s="11">
        <v>14560</v>
      </c>
      <c r="E11" s="4">
        <f t="shared" si="0"/>
        <v>11458720</v>
      </c>
      <c r="F11" s="6">
        <v>787</v>
      </c>
      <c r="G11" s="4">
        <f t="shared" si="1"/>
        <v>5657</v>
      </c>
      <c r="H11" s="4">
        <f t="shared" si="2"/>
        <v>66614300</v>
      </c>
      <c r="I11" s="6">
        <f t="shared" si="3"/>
        <v>11775.55241293972</v>
      </c>
      <c r="J11" s="6">
        <f t="shared" si="4"/>
        <v>82365920</v>
      </c>
      <c r="K11" s="6">
        <f t="shared" si="5"/>
        <v>15751620</v>
      </c>
      <c r="L11" s="6">
        <f t="shared" si="6"/>
        <v>23.646003936091802</v>
      </c>
    </row>
    <row r="12" spans="1:13" ht="15.6">
      <c r="B12" t="s">
        <v>75</v>
      </c>
      <c r="C12" s="8">
        <v>7</v>
      </c>
      <c r="D12" s="11">
        <v>12620</v>
      </c>
      <c r="E12" s="4">
        <f t="shared" si="0"/>
        <v>10676520</v>
      </c>
      <c r="F12" s="8">
        <v>846</v>
      </c>
      <c r="G12" s="4">
        <f t="shared" si="1"/>
        <v>6503</v>
      </c>
      <c r="H12" s="4">
        <f t="shared" si="2"/>
        <v>77290820</v>
      </c>
      <c r="I12" s="8">
        <f t="shared" si="3"/>
        <v>11885.409810856529</v>
      </c>
      <c r="J12" s="8">
        <f t="shared" si="4"/>
        <v>82067860</v>
      </c>
      <c r="K12" s="8">
        <f t="shared" si="5"/>
        <v>4777040</v>
      </c>
      <c r="L12" s="8">
        <f t="shared" si="6"/>
        <v>6.1806046306663589</v>
      </c>
    </row>
    <row r="13" spans="1:13" ht="15.6">
      <c r="B13" t="s">
        <v>79</v>
      </c>
      <c r="C13" s="6">
        <v>8</v>
      </c>
      <c r="D13" s="11">
        <v>12530</v>
      </c>
      <c r="E13" s="4">
        <f t="shared" si="0"/>
        <v>10550260</v>
      </c>
      <c r="F13" s="6">
        <v>842</v>
      </c>
      <c r="G13" s="4">
        <f t="shared" si="1"/>
        <v>7345</v>
      </c>
      <c r="H13" s="4">
        <f t="shared" si="2"/>
        <v>87841080</v>
      </c>
      <c r="I13" s="6">
        <f t="shared" si="3"/>
        <v>11959.302927161334</v>
      </c>
      <c r="J13" s="6">
        <f t="shared" si="4"/>
        <v>92032850</v>
      </c>
      <c r="K13" s="6">
        <f t="shared" si="5"/>
        <v>4191770</v>
      </c>
      <c r="L13" s="6">
        <f t="shared" si="6"/>
        <v>4.7719927851524595</v>
      </c>
    </row>
    <row r="14" spans="1:13" ht="15.6">
      <c r="B14" t="s">
        <v>80</v>
      </c>
      <c r="C14" s="6">
        <v>9</v>
      </c>
      <c r="D14" s="11">
        <v>11070</v>
      </c>
      <c r="E14" s="4">
        <f t="shared" si="0"/>
        <v>10948230</v>
      </c>
      <c r="F14" s="6">
        <v>989</v>
      </c>
      <c r="G14" s="4">
        <f t="shared" si="1"/>
        <v>8334</v>
      </c>
      <c r="H14" s="4">
        <f t="shared" si="2"/>
        <v>98789310</v>
      </c>
      <c r="I14" s="6">
        <f t="shared" ref="I14:I19" si="7">H14/G14</f>
        <v>11853.768898488121</v>
      </c>
      <c r="J14" s="6">
        <f t="shared" ref="J14:J19" si="8">G14*D14</f>
        <v>92257380</v>
      </c>
      <c r="K14" s="6">
        <f t="shared" ref="K14:K19" si="9">J14-H14</f>
        <v>-6531930</v>
      </c>
      <c r="L14" s="6">
        <f t="shared" ref="L14:L19" si="10">100*(J14-H14)/H14</f>
        <v>-6.6119805877781719</v>
      </c>
    </row>
    <row r="15" spans="1:13" ht="15.6">
      <c r="A15" s="39"/>
      <c r="B15" s="39" t="s">
        <v>87</v>
      </c>
      <c r="C15" s="40">
        <v>10</v>
      </c>
      <c r="D15" s="42">
        <v>11090</v>
      </c>
      <c r="E15" s="17">
        <f t="shared" si="0"/>
        <v>10557680</v>
      </c>
      <c r="F15" s="40">
        <v>952</v>
      </c>
      <c r="G15" s="17">
        <f t="shared" si="1"/>
        <v>9286</v>
      </c>
      <c r="H15" s="17">
        <f t="shared" si="2"/>
        <v>109346990</v>
      </c>
      <c r="I15" s="40">
        <f t="shared" si="7"/>
        <v>11775.467370234763</v>
      </c>
      <c r="J15" s="40">
        <f t="shared" si="8"/>
        <v>102981740</v>
      </c>
      <c r="K15" s="40">
        <f t="shared" si="9"/>
        <v>-6365250</v>
      </c>
      <c r="L15" s="40">
        <f t="shared" si="10"/>
        <v>-5.821147888935946</v>
      </c>
      <c r="M15" s="39" t="s">
        <v>85</v>
      </c>
    </row>
    <row r="16" spans="1:13" ht="15.6">
      <c r="A16" s="58" t="s">
        <v>107</v>
      </c>
      <c r="B16" t="s">
        <v>90</v>
      </c>
      <c r="C16" s="10">
        <v>11</v>
      </c>
      <c r="D16" s="4">
        <v>952</v>
      </c>
      <c r="E16" s="4">
        <f t="shared" si="0"/>
        <v>10610992</v>
      </c>
      <c r="F16" s="10">
        <v>11146</v>
      </c>
      <c r="G16" s="4">
        <f>G15+F16+97700</f>
        <v>118132</v>
      </c>
      <c r="H16" s="4">
        <f t="shared" si="2"/>
        <v>119957982</v>
      </c>
      <c r="I16" s="10">
        <f t="shared" si="7"/>
        <v>1015.4571326990147</v>
      </c>
      <c r="J16" s="10">
        <f t="shared" si="8"/>
        <v>112461664</v>
      </c>
      <c r="K16" s="10">
        <f t="shared" si="9"/>
        <v>-7496318</v>
      </c>
      <c r="L16" s="10">
        <f t="shared" si="10"/>
        <v>-6.2491197959632228</v>
      </c>
    </row>
    <row r="17" spans="1:12" ht="15.6">
      <c r="A17" s="58"/>
      <c r="B17" t="s">
        <v>106</v>
      </c>
      <c r="C17" s="8">
        <v>12</v>
      </c>
      <c r="D17" s="4">
        <v>952</v>
      </c>
      <c r="E17" s="4">
        <f t="shared" si="0"/>
        <v>10908968</v>
      </c>
      <c r="F17" s="8">
        <v>11459</v>
      </c>
      <c r="G17" s="4">
        <f t="shared" si="1"/>
        <v>129591</v>
      </c>
      <c r="H17" s="4">
        <f t="shared" si="2"/>
        <v>130866950</v>
      </c>
      <c r="I17" s="8">
        <f t="shared" si="7"/>
        <v>1009.8459769582764</v>
      </c>
      <c r="J17" s="8">
        <f t="shared" si="8"/>
        <v>123370632</v>
      </c>
      <c r="K17" s="8">
        <f t="shared" si="9"/>
        <v>-7496318</v>
      </c>
      <c r="L17" s="8">
        <f t="shared" si="10"/>
        <v>-5.7281979904017017</v>
      </c>
    </row>
    <row r="18" spans="1:12" ht="15.6">
      <c r="B18" t="s">
        <v>111</v>
      </c>
      <c r="C18" s="8">
        <v>13</v>
      </c>
      <c r="D18" s="4">
        <v>1010</v>
      </c>
      <c r="E18" s="4">
        <f t="shared" si="0"/>
        <v>12699740</v>
      </c>
      <c r="F18" s="29">
        <v>12574</v>
      </c>
      <c r="G18" s="4">
        <f t="shared" si="1"/>
        <v>142165</v>
      </c>
      <c r="H18" s="4">
        <f t="shared" si="2"/>
        <v>143566690</v>
      </c>
      <c r="I18" s="8">
        <f t="shared" si="7"/>
        <v>1009.8595997608413</v>
      </c>
      <c r="J18" s="8">
        <f t="shared" si="8"/>
        <v>143586650</v>
      </c>
      <c r="K18" s="8">
        <f t="shared" si="9"/>
        <v>19960</v>
      </c>
      <c r="L18" s="8">
        <f t="shared" si="10"/>
        <v>1.3902946428590086E-2</v>
      </c>
    </row>
    <row r="19" spans="1:12" ht="15.6">
      <c r="B19" t="s">
        <v>112</v>
      </c>
      <c r="C19" s="8">
        <v>14</v>
      </c>
      <c r="D19" s="4">
        <v>1021</v>
      </c>
      <c r="E19" s="4">
        <f t="shared" si="0"/>
        <v>13649749</v>
      </c>
      <c r="F19" s="29">
        <v>13369</v>
      </c>
      <c r="G19" s="4">
        <f t="shared" si="1"/>
        <v>155534</v>
      </c>
      <c r="H19" s="4">
        <f t="shared" si="2"/>
        <v>157216439</v>
      </c>
      <c r="I19" s="8">
        <f t="shared" si="7"/>
        <v>1010.8171782375558</v>
      </c>
      <c r="J19" s="8">
        <f t="shared" si="8"/>
        <v>158800214</v>
      </c>
      <c r="K19" s="8">
        <f t="shared" si="9"/>
        <v>1583775</v>
      </c>
      <c r="L19" s="8">
        <f t="shared" si="10"/>
        <v>1.0073851119347641</v>
      </c>
    </row>
    <row r="20" spans="1:12" ht="15.6">
      <c r="B20" t="s">
        <v>114</v>
      </c>
      <c r="C20" s="53">
        <v>15</v>
      </c>
      <c r="D20" s="53">
        <v>1000</v>
      </c>
      <c r="E20" s="4">
        <f t="shared" si="0"/>
        <v>13949000</v>
      </c>
      <c r="F20" s="54">
        <v>13949</v>
      </c>
      <c r="G20" s="4">
        <f t="shared" si="1"/>
        <v>169483</v>
      </c>
      <c r="H20" s="4">
        <f t="shared" si="2"/>
        <v>171165439</v>
      </c>
      <c r="I20" s="53">
        <f>H20/G20</f>
        <v>1009.9268894225379</v>
      </c>
      <c r="J20" s="53">
        <f>G20*D20</f>
        <v>169483000</v>
      </c>
      <c r="K20" s="53">
        <f>J20-H20</f>
        <v>-1682439</v>
      </c>
      <c r="L20" s="53">
        <f>100*(J20-H20)/H20</f>
        <v>-0.98293149004221581</v>
      </c>
    </row>
    <row r="21" spans="1:12" ht="15.6">
      <c r="B21" t="s">
        <v>113</v>
      </c>
      <c r="C21" s="53">
        <v>16</v>
      </c>
      <c r="D21" s="53">
        <v>940</v>
      </c>
      <c r="E21" s="4">
        <f t="shared" si="0"/>
        <v>9963060</v>
      </c>
      <c r="F21" s="54">
        <v>10599</v>
      </c>
      <c r="G21" s="4">
        <f t="shared" si="1"/>
        <v>180082</v>
      </c>
      <c r="H21" s="4">
        <f t="shared" si="2"/>
        <v>181128499</v>
      </c>
      <c r="I21" s="53">
        <f>H21/G21</f>
        <v>1005.8112359924924</v>
      </c>
      <c r="J21" s="53">
        <f>G21*D21</f>
        <v>169277080</v>
      </c>
      <c r="K21" s="53">
        <f>J21-H21</f>
        <v>-11851419</v>
      </c>
      <c r="L21" s="53">
        <f>100*(J21-H21)/H21</f>
        <v>-6.5431001004430565</v>
      </c>
    </row>
    <row r="22" spans="1:12" ht="15.6">
      <c r="B22" t="s">
        <v>118</v>
      </c>
      <c r="C22" s="6">
        <v>17</v>
      </c>
      <c r="D22" s="6">
        <v>919</v>
      </c>
      <c r="E22" s="4">
        <f t="shared" si="0"/>
        <v>9963798</v>
      </c>
      <c r="F22" s="6">
        <v>10842</v>
      </c>
      <c r="G22" s="4">
        <f t="shared" si="1"/>
        <v>190924</v>
      </c>
      <c r="H22" s="4">
        <f t="shared" si="2"/>
        <v>191092297</v>
      </c>
      <c r="I22" s="6">
        <f>H22/G22</f>
        <v>1000.8814868743584</v>
      </c>
      <c r="J22" s="6">
        <f>G22*D22</f>
        <v>175459156</v>
      </c>
      <c r="K22" s="6">
        <f>J22-H22</f>
        <v>-15633141</v>
      </c>
      <c r="L22" s="6">
        <f>100*(J22-H22)/H22</f>
        <v>-8.1809372985871853</v>
      </c>
    </row>
    <row r="23" spans="1:12" ht="15.6">
      <c r="B23" t="s">
        <v>119</v>
      </c>
      <c r="C23" s="6">
        <v>18</v>
      </c>
      <c r="D23" s="6">
        <v>964</v>
      </c>
      <c r="E23" s="4">
        <f t="shared" si="0"/>
        <v>9963904</v>
      </c>
      <c r="F23" s="6">
        <v>10336</v>
      </c>
      <c r="G23" s="4">
        <f t="shared" si="1"/>
        <v>201260</v>
      </c>
      <c r="H23" s="4">
        <f t="shared" si="2"/>
        <v>201056201</v>
      </c>
      <c r="I23" s="6">
        <f>H23/G23</f>
        <v>998.98738447778987</v>
      </c>
      <c r="J23" s="6">
        <f>G23*D23</f>
        <v>194014640</v>
      </c>
      <c r="K23" s="6">
        <f>J23-H23</f>
        <v>-7041561</v>
      </c>
      <c r="L23" s="6">
        <f>100*(J23-H23)/H23</f>
        <v>-3.5022849158479823</v>
      </c>
    </row>
    <row r="24" spans="1:12" ht="15.6">
      <c r="C24" s="6"/>
      <c r="D24" s="6"/>
      <c r="E24" s="6"/>
      <c r="F24" s="6" t="e">
        <f>E24/D24</f>
        <v>#DIV/0!</v>
      </c>
      <c r="G24" s="6"/>
      <c r="H24" s="6"/>
      <c r="I24" s="6" t="e">
        <f>H24/G24</f>
        <v>#DIV/0!</v>
      </c>
      <c r="J24" s="6">
        <f>G24*D24</f>
        <v>0</v>
      </c>
      <c r="K24" s="6">
        <f>J24-H24</f>
        <v>0</v>
      </c>
      <c r="L24" s="6" t="e">
        <f>100*(J24-H24)/H24</f>
        <v>#DIV/0!</v>
      </c>
    </row>
    <row r="33" spans="6:12">
      <c r="G33" t="s">
        <v>99</v>
      </c>
      <c r="H33" t="s">
        <v>98</v>
      </c>
      <c r="K33" s="46">
        <v>22605</v>
      </c>
      <c r="L33">
        <f>1070+1100</f>
        <v>2170</v>
      </c>
    </row>
    <row r="34" spans="6:12">
      <c r="G34" s="46">
        <v>197388</v>
      </c>
      <c r="H34" s="47">
        <v>18761</v>
      </c>
      <c r="K34">
        <f>L34*K33/L33</f>
        <v>11146.244239631336</v>
      </c>
      <c r="L34">
        <v>1070</v>
      </c>
    </row>
    <row r="35" spans="6:12">
      <c r="F35" t="s">
        <v>101</v>
      </c>
      <c r="G35">
        <f>G34*H35/H34</f>
        <v>97699.747774638876</v>
      </c>
      <c r="H35">
        <v>9286</v>
      </c>
      <c r="I35" t="s">
        <v>100</v>
      </c>
      <c r="K35" s="46">
        <f>K33-K34</f>
        <v>11458.755760368664</v>
      </c>
    </row>
  </sheetData>
  <mergeCells count="1">
    <mergeCell ref="A16:A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3</vt:i4>
      </vt:variant>
    </vt:vector>
  </HeadingPairs>
  <TitlesOfParts>
    <vt:vector size="15" baseType="lpstr">
      <vt:lpstr>BTC</vt:lpstr>
      <vt:lpstr>ETH</vt:lpstr>
      <vt:lpstr>USDT</vt:lpstr>
      <vt:lpstr>AUD</vt:lpstr>
      <vt:lpstr>فزر</vt:lpstr>
      <vt:lpstr>فروی</vt:lpstr>
      <vt:lpstr>آریا</vt:lpstr>
      <vt:lpstr>فملی</vt:lpstr>
      <vt:lpstr>شستا</vt:lpstr>
      <vt:lpstr>کچاد</vt:lpstr>
      <vt:lpstr>calulator</vt:lpstr>
      <vt:lpstr>نت صندوق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2021-03-06T17:05:18Z</dcterms:created>
  <dcterms:modified xsi:type="dcterms:W3CDTF">2022-09-15T18:37:04Z</dcterms:modified>
</cp:coreProperties>
</file>