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F3E0C9C8-3BEB-44BD-BBFF-C618F541CCC6}" xr6:coauthVersionLast="47" xr6:coauthVersionMax="47" xr10:uidLastSave="{00000000-0000-0000-0000-000000000000}"/>
  <bookViews>
    <workbookView xWindow="-120" yWindow="-120" windowWidth="29040" windowHeight="15720" tabRatio="500" firstSheet="3" activeTab="7" xr2:uid="{00000000-000D-0000-FFFF-FFFF00000000}"/>
  </bookViews>
  <sheets>
    <sheet name="الموظفين" sheetId="2" r:id="rId1"/>
    <sheet name="المشتريات اليومية" sheetId="4" r:id="rId2"/>
    <sheet name="المصروفات النثرية" sheetId="5" r:id="rId3"/>
    <sheet name="سلف الموظفين" sheetId="8" r:id="rId4"/>
    <sheet name="تفصيلة اليوم" sheetId="16" r:id="rId5"/>
    <sheet name="سلف كل موظف" sheetId="19" r:id="rId6"/>
    <sheet name="ملخص شهري" sheetId="13" r:id="rId7"/>
    <sheet name="تقفيلة اليوم" sheetId="6" r:id="rId8"/>
    <sheet name="الإيرادات اليومية" sheetId="3" r:id="rId9"/>
    <sheet name="test" sheetId="18" r:id="rId10"/>
    <sheet name="فواتير" sheetId="15" r:id="rId11"/>
    <sheet name="الرواتب" sheetId="7" r:id="rId12"/>
    <sheet name="حضور وانصراف" sheetId="9" r:id="rId13"/>
    <sheet name="المخزون" sheetId="10" r:id="rId14"/>
    <sheet name="الجرد" sheetId="11" r:id="rId15"/>
    <sheet name="الموردين" sheetId="12" r:id="rId16"/>
    <sheet name="حساب م جمعة و طارق و هشام" sheetId="17" r:id="rId17"/>
  </sheets>
  <definedNames>
    <definedName name="_xlnm.Print_Area" localSheetId="1">'المشتريات اليومية'!$A$3:$G$73</definedName>
    <definedName name="_xlnm.Print_Area" localSheetId="0">الموظفين!$A$1:$F$31</definedName>
    <definedName name="_xlnm.Print_Area" localSheetId="7">'تقفيلة اليوم'!$A$4:$N$26</definedName>
    <definedName name="_xlnm.Print_Area" localSheetId="16">'حساب م جمعة و طارق و هشام'!$AE$5:$AH$49</definedName>
    <definedName name="_xlnm.Print_Area" localSheetId="3">'سلف الموظفين'!$A$1:$D$217</definedName>
    <definedName name="_xlnm.Print_Area" localSheetId="5">'سلف كل موظف'!$B$2:$DH$31</definedName>
    <definedName name="_xlnm.Print_Area" localSheetId="6">'ملخص شهري'!$A$18:$E$24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71" i="16" l="1"/>
  <c r="D174" i="16"/>
  <c r="D170" i="16"/>
  <c r="I57" i="4"/>
  <c r="E37" i="5"/>
  <c r="I49" i="4"/>
  <c r="B50" i="4"/>
  <c r="I50" i="4"/>
  <c r="AG16" i="3"/>
  <c r="AR17" i="3"/>
  <c r="AQ16" i="3"/>
  <c r="AQ15" i="3"/>
  <c r="AQ14" i="3"/>
  <c r="AQ13" i="3"/>
  <c r="AQ12" i="3"/>
  <c r="AQ11" i="3"/>
  <c r="AQ10" i="3"/>
  <c r="AQ9" i="3"/>
  <c r="AQ8" i="3"/>
  <c r="AF15" i="3"/>
  <c r="AF14" i="3"/>
  <c r="AF13" i="3"/>
  <c r="AF12" i="3"/>
  <c r="AF11" i="3"/>
  <c r="AF10" i="3"/>
  <c r="AF9" i="3"/>
  <c r="AF8" i="3"/>
  <c r="AG7" i="3"/>
  <c r="AF7" i="3"/>
  <c r="DL21" i="19"/>
  <c r="B26" i="3"/>
  <c r="F26" i="3"/>
  <c r="B27" i="3"/>
  <c r="F27" i="3"/>
  <c r="B28" i="3"/>
  <c r="F28" i="3"/>
  <c r="B29" i="3"/>
  <c r="F29" i="3"/>
  <c r="B30" i="3"/>
  <c r="F30" i="3"/>
  <c r="B31" i="3"/>
  <c r="F31" i="3"/>
  <c r="B32" i="3"/>
  <c r="F32" i="3"/>
  <c r="B33" i="3"/>
  <c r="F33" i="3"/>
  <c r="B34" i="3"/>
  <c r="F34" i="3"/>
  <c r="EL28" i="19"/>
  <c r="B68" i="4"/>
  <c r="N27" i="6"/>
  <c r="H27" i="6"/>
  <c r="F27" i="6"/>
  <c r="G27" i="6"/>
  <c r="D144" i="16"/>
  <c r="D148" i="16" s="1"/>
  <c r="D145" i="16"/>
  <c r="N26" i="6"/>
  <c r="I26" i="6"/>
  <c r="D26" i="6"/>
  <c r="E26" i="6"/>
  <c r="D113" i="16"/>
  <c r="D112" i="16"/>
  <c r="D115" i="16" s="1"/>
  <c r="DQ8" i="19"/>
  <c r="DL20" i="19"/>
  <c r="DL17" i="19"/>
  <c r="DL16" i="19"/>
  <c r="DG22" i="19" s="1"/>
  <c r="DK8" i="19"/>
  <c r="DK7" i="19"/>
  <c r="DK5" i="19"/>
  <c r="DG21" i="19" s="1"/>
  <c r="C5" i="8" s="1"/>
  <c r="AA32" i="18"/>
  <c r="B26" i="6"/>
  <c r="E8" i="13"/>
  <c r="AD14" i="18"/>
  <c r="L38" i="4"/>
  <c r="C22" i="13"/>
  <c r="D22" i="13"/>
  <c r="B22" i="13"/>
  <c r="A22" i="13"/>
  <c r="AD35" i="8"/>
  <c r="U25" i="8"/>
  <c r="AE18" i="8"/>
  <c r="AB27" i="8"/>
  <c r="DH23" i="19" l="1"/>
  <c r="B29" i="13"/>
  <c r="E22" i="13" s="1"/>
  <c r="AA36" i="18"/>
  <c r="AA37" i="18"/>
  <c r="AA33" i="18"/>
  <c r="V12" i="8"/>
  <c r="V21" i="8" s="1"/>
  <c r="AD23" i="18" l="1"/>
  <c r="P8" i="8"/>
  <c r="P18" i="8" s="1"/>
  <c r="Z42" i="18"/>
  <c r="H22" i="5"/>
  <c r="L29" i="4"/>
  <c r="AA11" i="17"/>
  <c r="N25" i="6"/>
  <c r="K67" i="4"/>
  <c r="D25" i="6"/>
  <c r="E25" i="6"/>
  <c r="D94" i="16"/>
  <c r="D93" i="16"/>
  <c r="D5" i="3"/>
  <c r="Q12" i="6"/>
  <c r="D96" i="16" l="1"/>
  <c r="AY23" i="16"/>
  <c r="D7" i="6"/>
  <c r="G24" i="6"/>
  <c r="B64" i="4"/>
  <c r="D53" i="16"/>
  <c r="D40" i="16"/>
  <c r="D59" i="16"/>
  <c r="BQ28" i="16"/>
  <c r="F23" i="6"/>
  <c r="F17" i="6"/>
  <c r="F16" i="6"/>
  <c r="N16" i="6"/>
  <c r="N22" i="6"/>
  <c r="BM31" i="16"/>
  <c r="K22" i="6"/>
  <c r="N19" i="6"/>
  <c r="H19" i="6"/>
  <c r="K19" i="6"/>
  <c r="AX44" i="16"/>
  <c r="AX43" i="16"/>
  <c r="AX42" i="16"/>
  <c r="AX41" i="16"/>
  <c r="J18" i="6"/>
  <c r="AY37" i="16"/>
  <c r="G18" i="6"/>
  <c r="F18" i="6"/>
  <c r="AW13" i="16"/>
  <c r="AW10" i="16"/>
  <c r="AT1" i="16"/>
  <c r="N18" i="6"/>
  <c r="N17" i="6"/>
  <c r="H17" i="6"/>
  <c r="H16" i="6"/>
  <c r="N15" i="6"/>
  <c r="F15" i="6"/>
  <c r="N13" i="6"/>
  <c r="H13" i="6"/>
  <c r="J13" i="6"/>
  <c r="N12" i="6"/>
  <c r="N11" i="6"/>
  <c r="H11" i="6"/>
  <c r="N9" i="6"/>
  <c r="H9" i="6"/>
  <c r="N10" i="6"/>
  <c r="F9" i="6"/>
  <c r="H8" i="6"/>
  <c r="E25" i="8"/>
  <c r="E16" i="8"/>
  <c r="E5" i="8"/>
  <c r="H7" i="6"/>
  <c r="G7" i="6"/>
  <c r="F8" i="6"/>
  <c r="F7" i="6"/>
  <c r="BO5" i="16"/>
  <c r="BO23" i="16" s="1"/>
  <c r="F22" i="6"/>
  <c r="BK4" i="16"/>
  <c r="BK5" i="16"/>
  <c r="H21" i="6"/>
  <c r="G21" i="6"/>
  <c r="F21" i="6"/>
  <c r="BG4" i="16"/>
  <c r="BG27" i="16" s="1"/>
  <c r="S17" i="3"/>
  <c r="T16" i="3"/>
  <c r="Q16" i="3"/>
  <c r="T15" i="3"/>
  <c r="Q15" i="3"/>
  <c r="T14" i="3"/>
  <c r="Q14" i="3"/>
  <c r="T13" i="3"/>
  <c r="Q13" i="3"/>
  <c r="T12" i="3"/>
  <c r="Q12" i="3"/>
  <c r="T11" i="3"/>
  <c r="Q11" i="3"/>
  <c r="T10" i="3"/>
  <c r="Q10" i="3"/>
  <c r="R9" i="3"/>
  <c r="T9" i="3" s="1"/>
  <c r="Q9" i="3"/>
  <c r="T8" i="3"/>
  <c r="Q8" i="3"/>
  <c r="T7" i="3"/>
  <c r="Q7" i="3"/>
  <c r="T6" i="3"/>
  <c r="Q6" i="3"/>
  <c r="T5" i="3"/>
  <c r="Q5" i="3"/>
  <c r="R4" i="3"/>
  <c r="T4" i="3" s="1"/>
  <c r="Q4" i="3"/>
  <c r="T17" i="3" l="1"/>
  <c r="D61" i="16"/>
  <c r="AX45" i="16"/>
  <c r="BK25" i="16"/>
  <c r="R17" i="3"/>
  <c r="H20" i="6" l="1"/>
  <c r="G20" i="6"/>
  <c r="N20" i="6" s="1"/>
  <c r="BC31" i="16"/>
  <c r="BC33" i="16"/>
  <c r="BD37" i="16" s="1"/>
  <c r="B47" i="4"/>
  <c r="AI14" i="18"/>
  <c r="AI16" i="18"/>
  <c r="AI15" i="18"/>
  <c r="D17" i="3"/>
  <c r="E17" i="3"/>
  <c r="AY25" i="16"/>
  <c r="AR31" i="16"/>
  <c r="AJ21" i="16"/>
  <c r="AI23" i="16"/>
  <c r="Z24" i="18"/>
  <c r="Z23" i="18"/>
  <c r="Z21" i="18"/>
  <c r="Z19" i="18"/>
  <c r="Z14" i="18"/>
  <c r="AU38" i="16"/>
  <c r="AD13" i="18" l="1"/>
  <c r="AD17" i="18" s="1"/>
  <c r="Z43" i="18"/>
  <c r="AD22" i="18"/>
  <c r="AD24" i="18" s="1"/>
  <c r="AE28" i="18"/>
  <c r="AY26" i="16"/>
  <c r="AI13" i="18"/>
  <c r="AI17" i="18" s="1"/>
  <c r="C5" i="13"/>
  <c r="K10" i="15"/>
  <c r="F182" i="15"/>
  <c r="E36" i="5"/>
  <c r="G17" i="6"/>
  <c r="AG47" i="17"/>
  <c r="AG33" i="17"/>
  <c r="X40" i="17"/>
  <c r="X32" i="17"/>
  <c r="D45" i="17"/>
  <c r="AQ28" i="16"/>
  <c r="J48" i="17"/>
  <c r="J51" i="17" s="1"/>
  <c r="J55" i="17" s="1"/>
  <c r="S9" i="17"/>
  <c r="S10" i="17" s="1"/>
  <c r="AA9" i="17"/>
  <c r="AA10" i="17" s="1"/>
  <c r="AA12" i="17" s="1"/>
  <c r="L14" i="15"/>
  <c r="K9" i="15"/>
  <c r="E35" i="5"/>
  <c r="AM7" i="16"/>
  <c r="AN27" i="16" s="1"/>
  <c r="E15" i="6"/>
  <c r="E19" i="5"/>
  <c r="E34" i="5"/>
  <c r="G11" i="6"/>
  <c r="G8" i="6"/>
  <c r="B24" i="4"/>
  <c r="I24" i="4"/>
  <c r="F11" i="6"/>
  <c r="F10" i="6"/>
  <c r="G6" i="6"/>
  <c r="D5" i="13"/>
  <c r="E33" i="5"/>
  <c r="E32" i="5"/>
  <c r="AE43" i="18" l="1"/>
  <c r="Z44" i="18"/>
  <c r="C14" i="13"/>
  <c r="K5" i="13"/>
  <c r="AM23" i="16"/>
  <c r="AE21" i="16"/>
  <c r="AE26" i="16" s="1"/>
  <c r="AE28" i="16" s="1"/>
  <c r="S9" i="18" l="1"/>
  <c r="T9" i="18" s="1"/>
  <c r="O27" i="18"/>
  <c r="M26" i="18"/>
  <c r="M25" i="18"/>
  <c r="M22" i="18"/>
  <c r="M20" i="18"/>
  <c r="O17" i="18"/>
  <c r="M17" i="18"/>
  <c r="O14" i="18"/>
  <c r="O10" i="18"/>
  <c r="O8" i="18"/>
  <c r="M14" i="18"/>
  <c r="M8" i="18"/>
  <c r="AA22" i="16"/>
  <c r="AA10" i="16"/>
  <c r="M15" i="18"/>
  <c r="I11" i="4"/>
  <c r="B11" i="4"/>
  <c r="I20" i="4"/>
  <c r="B20" i="4"/>
  <c r="AA23" i="16" l="1"/>
  <c r="R13" i="18"/>
  <c r="T13" i="18" s="1"/>
  <c r="M48" i="18"/>
  <c r="M47" i="18"/>
  <c r="A18" i="16" l="1"/>
  <c r="A16" i="16"/>
  <c r="C6" i="6"/>
  <c r="D6" i="6"/>
  <c r="W11" i="16"/>
  <c r="W12" i="16"/>
  <c r="C9" i="3"/>
  <c r="C11" i="6"/>
  <c r="Q13" i="16"/>
  <c r="Q23" i="16" s="1"/>
  <c r="Q25" i="16" s="1"/>
  <c r="I27" i="17"/>
  <c r="I26" i="17"/>
  <c r="I25" i="17"/>
  <c r="M7" i="16"/>
  <c r="M8" i="16"/>
  <c r="H4" i="12"/>
  <c r="F5" i="12"/>
  <c r="H5" i="12" s="1"/>
  <c r="E9" i="6"/>
  <c r="I29" i="16"/>
  <c r="I31" i="16"/>
  <c r="F17" i="16"/>
  <c r="F23" i="16" s="1"/>
  <c r="N8" i="6"/>
  <c r="C7" i="6"/>
  <c r="C4" i="3"/>
  <c r="B8" i="4"/>
  <c r="N7" i="6" l="1"/>
  <c r="M21" i="16"/>
  <c r="W19" i="16"/>
  <c r="N6" i="6"/>
  <c r="B34" i="4" l="1"/>
  <c r="B35" i="4"/>
  <c r="B36" i="4"/>
  <c r="B37" i="4"/>
  <c r="B38" i="4"/>
  <c r="B39" i="4"/>
  <c r="B40" i="4"/>
  <c r="B41" i="4"/>
  <c r="B42" i="4"/>
  <c r="B43" i="4"/>
  <c r="B44" i="4"/>
  <c r="B45" i="4"/>
  <c r="B46" i="4"/>
  <c r="B48" i="4"/>
  <c r="B51" i="4"/>
  <c r="B52" i="4"/>
  <c r="B53" i="4"/>
  <c r="B54" i="4"/>
  <c r="B55" i="4"/>
  <c r="B56" i="4"/>
  <c r="B58" i="4"/>
  <c r="B59" i="4"/>
  <c r="F20" i="10"/>
  <c r="E20" i="10"/>
  <c r="D20" i="10"/>
  <c r="H19" i="10"/>
  <c r="G19" i="10"/>
  <c r="G18" i="10"/>
  <c r="H18" i="10" s="1"/>
  <c r="G17" i="10"/>
  <c r="H17" i="10" s="1"/>
  <c r="G16" i="10"/>
  <c r="H16" i="10" s="1"/>
  <c r="H15" i="10"/>
  <c r="G15" i="10"/>
  <c r="G14" i="10"/>
  <c r="H14" i="10" s="1"/>
  <c r="H13" i="10"/>
  <c r="G13" i="10"/>
  <c r="G12" i="10"/>
  <c r="H12" i="10" s="1"/>
  <c r="G11" i="10"/>
  <c r="H11" i="10" s="1"/>
  <c r="G10" i="10"/>
  <c r="H10" i="10" s="1"/>
  <c r="H9" i="10"/>
  <c r="G9" i="10"/>
  <c r="G8" i="10"/>
  <c r="H8" i="10" s="1"/>
  <c r="H7" i="10"/>
  <c r="G7" i="10"/>
  <c r="G6" i="10"/>
  <c r="H6" i="10" s="1"/>
  <c r="G5" i="10"/>
  <c r="H5" i="10" s="1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N36" i="6"/>
  <c r="B36" i="6"/>
  <c r="N35" i="6"/>
  <c r="B35" i="6"/>
  <c r="N34" i="6"/>
  <c r="B34" i="6"/>
  <c r="N33" i="6"/>
  <c r="B33" i="6"/>
  <c r="N32" i="6"/>
  <c r="B32" i="6"/>
  <c r="N31" i="6"/>
  <c r="B31" i="6"/>
  <c r="N30" i="6"/>
  <c r="B30" i="6"/>
  <c r="N29" i="6"/>
  <c r="B29" i="6"/>
  <c r="N28" i="6"/>
  <c r="B28" i="6"/>
  <c r="B27" i="6"/>
  <c r="B25" i="6"/>
  <c r="N24" i="6"/>
  <c r="B24" i="6"/>
  <c r="N23" i="6"/>
  <c r="B23" i="6"/>
  <c r="B22" i="6"/>
  <c r="N21" i="6"/>
  <c r="B21" i="6"/>
  <c r="B20" i="6"/>
  <c r="B19" i="6"/>
  <c r="B18" i="6"/>
  <c r="B17" i="6"/>
  <c r="B16" i="6"/>
  <c r="B15" i="6"/>
  <c r="N14" i="6"/>
  <c r="B14" i="6"/>
  <c r="B13" i="6"/>
  <c r="B12" i="6"/>
  <c r="B11" i="6"/>
  <c r="B10" i="6"/>
  <c r="B9" i="6"/>
  <c r="B8" i="6"/>
  <c r="B7" i="6"/>
  <c r="B6" i="6"/>
  <c r="E31" i="5"/>
  <c r="E30" i="5"/>
  <c r="E29" i="5"/>
  <c r="E28" i="5"/>
  <c r="E27" i="5"/>
  <c r="E26" i="5"/>
  <c r="E25" i="5"/>
  <c r="E23" i="5"/>
  <c r="E22" i="5"/>
  <c r="E21" i="5"/>
  <c r="E20" i="5"/>
  <c r="E18" i="5"/>
  <c r="E17" i="5"/>
  <c r="E16" i="5"/>
  <c r="E15" i="5"/>
  <c r="E14" i="5"/>
  <c r="E13" i="5"/>
  <c r="E12" i="5"/>
  <c r="E11" i="5"/>
  <c r="E10" i="5"/>
  <c r="E9" i="5"/>
  <c r="E7" i="5"/>
  <c r="E6" i="5"/>
  <c r="E5" i="5"/>
  <c r="I92" i="4"/>
  <c r="B92" i="4"/>
  <c r="I91" i="4"/>
  <c r="B91" i="4"/>
  <c r="I90" i="4"/>
  <c r="B90" i="4"/>
  <c r="I89" i="4"/>
  <c r="B89" i="4"/>
  <c r="I88" i="4"/>
  <c r="B88" i="4"/>
  <c r="I87" i="4"/>
  <c r="B87" i="4"/>
  <c r="I86" i="4"/>
  <c r="B86" i="4"/>
  <c r="I85" i="4"/>
  <c r="B85" i="4"/>
  <c r="I84" i="4"/>
  <c r="B84" i="4"/>
  <c r="I83" i="4"/>
  <c r="B83" i="4"/>
  <c r="I82" i="4"/>
  <c r="B82" i="4"/>
  <c r="I81" i="4"/>
  <c r="B81" i="4"/>
  <c r="B80" i="4"/>
  <c r="I79" i="4"/>
  <c r="B79" i="4"/>
  <c r="I78" i="4"/>
  <c r="B78" i="4"/>
  <c r="I77" i="4"/>
  <c r="B77" i="4"/>
  <c r="I76" i="4"/>
  <c r="B76" i="4"/>
  <c r="I75" i="4"/>
  <c r="B75" i="4"/>
  <c r="I74" i="4"/>
  <c r="B74" i="4"/>
  <c r="I73" i="4"/>
  <c r="B73" i="4"/>
  <c r="I72" i="4"/>
  <c r="B69" i="4"/>
  <c r="I68" i="4"/>
  <c r="I67" i="4"/>
  <c r="B67" i="4"/>
  <c r="I66" i="4"/>
  <c r="B66" i="4"/>
  <c r="I65" i="4"/>
  <c r="B65" i="4"/>
  <c r="B63" i="4"/>
  <c r="I62" i="4"/>
  <c r="B62" i="4"/>
  <c r="I61" i="4"/>
  <c r="B61" i="4"/>
  <c r="I60" i="4"/>
  <c r="B60" i="4"/>
  <c r="I59" i="4"/>
  <c r="I58" i="4"/>
  <c r="I56" i="4"/>
  <c r="I55" i="4"/>
  <c r="I54" i="4"/>
  <c r="I53" i="4"/>
  <c r="I52" i="4"/>
  <c r="I51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B33" i="4"/>
  <c r="I32" i="4"/>
  <c r="B32" i="4"/>
  <c r="I31" i="4"/>
  <c r="B31" i="4"/>
  <c r="I30" i="4"/>
  <c r="B30" i="4"/>
  <c r="I29" i="4"/>
  <c r="B29" i="4"/>
  <c r="I28" i="4"/>
  <c r="B28" i="4"/>
  <c r="I27" i="4"/>
  <c r="B27" i="4"/>
  <c r="I26" i="4"/>
  <c r="B26" i="4"/>
  <c r="I23" i="4"/>
  <c r="B23" i="4"/>
  <c r="I22" i="4"/>
  <c r="B22" i="4"/>
  <c r="I21" i="4"/>
  <c r="B21" i="4"/>
  <c r="I19" i="4"/>
  <c r="B19" i="4"/>
  <c r="I18" i="4"/>
  <c r="B18" i="4"/>
  <c r="I17" i="4"/>
  <c r="B17" i="4"/>
  <c r="I16" i="4"/>
  <c r="B16" i="4"/>
  <c r="I15" i="4"/>
  <c r="I13" i="4"/>
  <c r="I12" i="4"/>
  <c r="B12" i="4"/>
  <c r="I10" i="4"/>
  <c r="B10" i="4"/>
  <c r="I9" i="4"/>
  <c r="B9" i="4"/>
  <c r="I8" i="4"/>
  <c r="I7" i="4"/>
  <c r="B7" i="4"/>
  <c r="I5" i="4"/>
  <c r="B5" i="4"/>
  <c r="E35" i="3"/>
  <c r="D35" i="3"/>
  <c r="C35" i="3"/>
  <c r="F25" i="3"/>
  <c r="B25" i="3"/>
  <c r="F24" i="3"/>
  <c r="B24" i="3"/>
  <c r="F23" i="3"/>
  <c r="B23" i="3"/>
  <c r="F22" i="3"/>
  <c r="B22" i="3"/>
  <c r="F21" i="3"/>
  <c r="B21" i="3"/>
  <c r="F20" i="3"/>
  <c r="B20" i="3"/>
  <c r="F19" i="3"/>
  <c r="B19" i="3"/>
  <c r="F18" i="3"/>
  <c r="B18" i="3"/>
  <c r="F17" i="3"/>
  <c r="B17" i="3"/>
  <c r="F16" i="3"/>
  <c r="B16" i="3"/>
  <c r="F15" i="3"/>
  <c r="B15" i="3"/>
  <c r="F14" i="3"/>
  <c r="B14" i="3"/>
  <c r="F13" i="3"/>
  <c r="B13" i="3"/>
  <c r="F12" i="3"/>
  <c r="B12" i="3"/>
  <c r="F11" i="3"/>
  <c r="B11" i="3"/>
  <c r="F10" i="3"/>
  <c r="B10" i="3"/>
  <c r="F9" i="3"/>
  <c r="B9" i="3"/>
  <c r="F8" i="3"/>
  <c r="B8" i="3"/>
  <c r="F7" i="3"/>
  <c r="B7" i="3"/>
  <c r="F6" i="3"/>
  <c r="B6" i="3"/>
  <c r="F5" i="3"/>
  <c r="B5" i="3"/>
  <c r="F4" i="3"/>
  <c r="B4" i="3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E4" i="11"/>
  <c r="N37" i="6" l="1"/>
  <c r="F35" i="3"/>
  <c r="H20" i="10"/>
  <c r="G20" i="10"/>
  <c r="B5" i="13" l="1"/>
  <c r="F5" i="13" l="1"/>
  <c r="C17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</futureMetadata>
  <valueMetadata count="2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</valueMetadata>
</metadata>
</file>

<file path=xl/sharedStrings.xml><?xml version="1.0" encoding="utf-8"?>
<sst xmlns="http://schemas.openxmlformats.org/spreadsheetml/2006/main" count="1990" uniqueCount="693">
  <si>
    <t>صافي اليوم</t>
  </si>
  <si>
    <t>م</t>
  </si>
  <si>
    <t>اسم الموظف</t>
  </si>
  <si>
    <t>الوظيفة</t>
  </si>
  <si>
    <t>رقم التلفون</t>
  </si>
  <si>
    <t>عبد الله الغذالي</t>
  </si>
  <si>
    <t>محمد احمد صلاح احمد</t>
  </si>
  <si>
    <t xml:space="preserve">بارستا </t>
  </si>
  <si>
    <t>يوسف محمد شحته</t>
  </si>
  <si>
    <t>محمود عثمان فؤاد</t>
  </si>
  <si>
    <t>عبد الله محمد عبد المنعم</t>
  </si>
  <si>
    <t>سيف فخري فوزي</t>
  </si>
  <si>
    <t>محمد صبري محمد</t>
  </si>
  <si>
    <t xml:space="preserve">عمار محمد صبحي عبد الفتاح </t>
  </si>
  <si>
    <t xml:space="preserve">رياض حامد رياض عطية </t>
  </si>
  <si>
    <t xml:space="preserve">سيف عصام  طايل </t>
  </si>
  <si>
    <t>احمد ايمن رجب</t>
  </si>
  <si>
    <t>كاشير</t>
  </si>
  <si>
    <t>عيد نوح عيد نوح صالح</t>
  </si>
  <si>
    <t>محاسب</t>
  </si>
  <si>
    <t>ادم ياسر محمد</t>
  </si>
  <si>
    <t>محمود محمد</t>
  </si>
  <si>
    <t>محمد رافت</t>
  </si>
  <si>
    <t>احمد هش هش</t>
  </si>
  <si>
    <t>محمد اشرف</t>
  </si>
  <si>
    <t>جدول الإيرادات اليومية</t>
  </si>
  <si>
    <t>التاريخ</t>
  </si>
  <si>
    <t>اليوم</t>
  </si>
  <si>
    <t>كاش</t>
  </si>
  <si>
    <t>فودافون كاش</t>
  </si>
  <si>
    <t>انستا باي</t>
  </si>
  <si>
    <t>ملاحظات</t>
  </si>
  <si>
    <t>الإجمالي</t>
  </si>
  <si>
    <t>الفئة</t>
  </si>
  <si>
    <t>اسم المورد</t>
  </si>
  <si>
    <t>الكمية</t>
  </si>
  <si>
    <t>السعر</t>
  </si>
  <si>
    <t>المدفوع</t>
  </si>
  <si>
    <t>المتبقي</t>
  </si>
  <si>
    <t>المبلغ</t>
  </si>
  <si>
    <t>المبلغ المدفوع</t>
  </si>
  <si>
    <t>المبلغ المتبقى</t>
  </si>
  <si>
    <t>مياه</t>
  </si>
  <si>
    <t>اجمالي المصروفات</t>
  </si>
  <si>
    <t>انستا</t>
  </si>
  <si>
    <t>المشتريات</t>
  </si>
  <si>
    <t>السلفة</t>
  </si>
  <si>
    <t>الاجمالي</t>
  </si>
  <si>
    <t>جدول الرواتب</t>
  </si>
  <si>
    <t>الشهر</t>
  </si>
  <si>
    <t>الراتب الأساسي</t>
  </si>
  <si>
    <t>إضافي</t>
  </si>
  <si>
    <t>قيمة السلفة</t>
  </si>
  <si>
    <t>خصومات</t>
  </si>
  <si>
    <t>صافي الراتب</t>
  </si>
  <si>
    <t>التوقيع</t>
  </si>
  <si>
    <t>سلف الموظفين</t>
  </si>
  <si>
    <t>تسجيل الحضور والانصراف</t>
  </si>
  <si>
    <t>المخزون</t>
  </si>
  <si>
    <t>ملاحظة: يتم تحديث الوارد من شيت المشتريات اليومية، والصادر من شيت الجرد</t>
  </si>
  <si>
    <t>اسم الصنف</t>
  </si>
  <si>
    <t>سعر الوحدة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</si>
  <si>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</si>
  <si>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</si>
  <si>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</si>
  <si>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</si>
  <si>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</si>
  <si>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</si>
  <si>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</si>
  <si>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</si>
  <si>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</si>
  <si>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</si>
  <si>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</si>
  <si>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</si>
  <si>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</si>
  <si>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</si>
  <si>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</si>
  <si>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</si>
  <si>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</si>
  <si>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</si>
  <si>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</si>
  <si>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</si>
  <si>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</si>
  <si>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</si>
  <si>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</si>
  <si>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</si>
  <si>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</si>
  <si>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</si>
  <si>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</si>
  <si>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</si>
  <si>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</si>
  <si>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</si>
  <si>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</si>
  <si>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الملخص الشهري</t>
  </si>
  <si>
    <t>Column1</t>
  </si>
  <si>
    <t>Column2</t>
  </si>
  <si>
    <t>Column3</t>
  </si>
  <si>
    <t>Column4</t>
  </si>
  <si>
    <t>Column5</t>
  </si>
  <si>
    <t>Column6</t>
  </si>
  <si>
    <t>Column7</t>
  </si>
  <si>
    <t>إجمالي الإيرادات</t>
  </si>
  <si>
    <t>صافي الربح/الخسارة</t>
  </si>
  <si>
    <t>العماوي</t>
  </si>
  <si>
    <t>مياه اوه</t>
  </si>
  <si>
    <t>كهرباء</t>
  </si>
  <si>
    <t>فاكهة</t>
  </si>
  <si>
    <t>الهنا</t>
  </si>
  <si>
    <t>دليفري  العماوي</t>
  </si>
  <si>
    <t>مياه توصيلة</t>
  </si>
  <si>
    <t>اسلام</t>
  </si>
  <si>
    <t>فهمي</t>
  </si>
  <si>
    <t>خصم نصف يوم</t>
  </si>
  <si>
    <t xml:space="preserve">اسم الموظف </t>
  </si>
  <si>
    <t>الخصومات</t>
  </si>
  <si>
    <t>مكافئة</t>
  </si>
  <si>
    <t>اجل</t>
  </si>
  <si>
    <t>محمد  عزت</t>
  </si>
  <si>
    <t>السبت</t>
  </si>
  <si>
    <t>الاحد</t>
  </si>
  <si>
    <t>الاثنين</t>
  </si>
  <si>
    <t>الثلاثاء</t>
  </si>
  <si>
    <t>الاربعاء</t>
  </si>
  <si>
    <t>الخميس</t>
  </si>
  <si>
    <t>الجمعة</t>
  </si>
  <si>
    <t>حضور</t>
  </si>
  <si>
    <t>انصراف</t>
  </si>
  <si>
    <t>اجمالي المشتريات</t>
  </si>
  <si>
    <t>شتلة</t>
  </si>
  <si>
    <t>دليفري الهنا</t>
  </si>
  <si>
    <t>تابلوهات قهوة</t>
  </si>
  <si>
    <t>ذبادي</t>
  </si>
  <si>
    <t>صيانة تلاجة</t>
  </si>
  <si>
    <t>بنزين للماكينة النجيل</t>
  </si>
  <si>
    <t>ثلج</t>
  </si>
  <si>
    <t>بدل موصلات</t>
  </si>
  <si>
    <t>كابتن</t>
  </si>
  <si>
    <t>ويتر</t>
  </si>
  <si>
    <t>هاوس</t>
  </si>
  <si>
    <t>هيد بار</t>
  </si>
  <si>
    <t>محمود محمد صبحي</t>
  </si>
  <si>
    <t>استيور</t>
  </si>
  <si>
    <t>احمد هشهش</t>
  </si>
  <si>
    <t>اسلام رمضان</t>
  </si>
  <si>
    <t>فهمي جمال</t>
  </si>
  <si>
    <t>بيكب</t>
  </si>
  <si>
    <t>محمد عزت</t>
  </si>
  <si>
    <t>سوبر فايزر</t>
  </si>
  <si>
    <t>تكملة فلوس الكراسي</t>
  </si>
  <si>
    <t>باقي من فاتورة العماوي 15297</t>
  </si>
  <si>
    <t>محمد صلاح</t>
  </si>
  <si>
    <t>خصم ربع يوم</t>
  </si>
  <si>
    <t>رياض</t>
  </si>
  <si>
    <t>عبد الله</t>
  </si>
  <si>
    <t>تلج</t>
  </si>
  <si>
    <t>انترنت</t>
  </si>
  <si>
    <t>فراشة</t>
  </si>
  <si>
    <t>مع  الدليفري</t>
  </si>
  <si>
    <t xml:space="preserve"> </t>
  </si>
  <si>
    <t>اجمالي المبلغ الحالي</t>
  </si>
  <si>
    <t>توصيل تلاجات</t>
  </si>
  <si>
    <t>من الخزنة و ليس من ايرادات اليوم</t>
  </si>
  <si>
    <t>فواكه الهنا</t>
  </si>
  <si>
    <t>نت</t>
  </si>
  <si>
    <t>بدل موصلات احمد هشش</t>
  </si>
  <si>
    <t>عبد الله محمد</t>
  </si>
  <si>
    <t>مستر عبدالله</t>
  </si>
  <si>
    <t>محمود</t>
  </si>
  <si>
    <t>محمد صبري</t>
  </si>
  <si>
    <t>عيد نوح</t>
  </si>
  <si>
    <t xml:space="preserve">تحويل انستا الي مستر جمعة </t>
  </si>
  <si>
    <t>تحويل فودافون كاش الي عبد الله</t>
  </si>
  <si>
    <t>الفاتورة علي الجهاز</t>
  </si>
  <si>
    <t xml:space="preserve">  8فراشة  و 10تسديد لي العماوي</t>
  </si>
  <si>
    <t xml:space="preserve">يوجد زيادة </t>
  </si>
  <si>
    <t>طلبات</t>
  </si>
  <si>
    <t>فكهاني الهنا</t>
  </si>
  <si>
    <t>تحويل فودافون الي مستر عبد الله</t>
  </si>
  <si>
    <t>تحويل انستا الي مستر جمهة</t>
  </si>
  <si>
    <t>تحوبل فودافون الي مستر عبد الله</t>
  </si>
  <si>
    <t>مستر عبد الله</t>
  </si>
  <si>
    <t>ادم</t>
  </si>
  <si>
    <t>محمد صبحي</t>
  </si>
  <si>
    <t>سيف عصام</t>
  </si>
  <si>
    <t>فارس</t>
  </si>
  <si>
    <t>هشش</t>
  </si>
  <si>
    <t xml:space="preserve">محمد صلاح </t>
  </si>
  <si>
    <t>دليفري</t>
  </si>
  <si>
    <t>تم تسليم كاش</t>
  </si>
  <si>
    <t>يوجد زيادة</t>
  </si>
  <si>
    <t>تورته</t>
  </si>
  <si>
    <t>تم سداد 5000</t>
  </si>
  <si>
    <t>محمد صبحي بهنسي</t>
  </si>
  <si>
    <t>تحويل لي مستر عبد الله</t>
  </si>
  <si>
    <t>تحويل لي مستر جمعة</t>
  </si>
  <si>
    <t xml:space="preserve">قبض محمد عزت  </t>
  </si>
  <si>
    <t>تصفية</t>
  </si>
  <si>
    <t xml:space="preserve">عبد الله محمد عبد المنعم </t>
  </si>
  <si>
    <t>بسكوت</t>
  </si>
  <si>
    <t>بدل موصلات هشش</t>
  </si>
  <si>
    <t>مرتب ادم بارستا</t>
  </si>
  <si>
    <t xml:space="preserve">تم تسليم كاش </t>
  </si>
  <si>
    <t>عجز</t>
  </si>
  <si>
    <t>منهم 3000 من الخزنة</t>
  </si>
  <si>
    <t>كان واخد 2000 كمان من مستر جمعة</t>
  </si>
  <si>
    <t xml:space="preserve">قبض احمد هشش </t>
  </si>
  <si>
    <t>الرصيد</t>
  </si>
  <si>
    <t>البيان</t>
  </si>
  <si>
    <t xml:space="preserve">مصدر الرصيد </t>
  </si>
  <si>
    <t>حساب م جمعة علام</t>
  </si>
  <si>
    <t xml:space="preserve">الحساب القديم </t>
  </si>
  <si>
    <t>الماضي</t>
  </si>
  <si>
    <t xml:space="preserve">تصفية ح طارق </t>
  </si>
  <si>
    <t>احمد كامل</t>
  </si>
  <si>
    <t>ديب فريزر</t>
  </si>
  <si>
    <t>مروحة فريش</t>
  </si>
  <si>
    <t>دفعة ساوند</t>
  </si>
  <si>
    <t>شروق</t>
  </si>
  <si>
    <t>جهاز انترنت</t>
  </si>
  <si>
    <t xml:space="preserve">جهازين تابلت </t>
  </si>
  <si>
    <t>عداد مياه و كهرباء</t>
  </si>
  <si>
    <t>كراسي</t>
  </si>
  <si>
    <t>ديب فريزر الاسكا</t>
  </si>
  <si>
    <t>تلاجة</t>
  </si>
  <si>
    <t>اجمالي الرصيد</t>
  </si>
  <si>
    <t>المطلوب</t>
  </si>
  <si>
    <t>نقل ماتور</t>
  </si>
  <si>
    <t>حساب م احمد كامل</t>
  </si>
  <si>
    <t>دفاتر</t>
  </si>
  <si>
    <t>اتعاب حسام و الرجالة</t>
  </si>
  <si>
    <t xml:space="preserve">عربية </t>
  </si>
  <si>
    <t>لبن مراعي</t>
  </si>
  <si>
    <t>مرتجع</t>
  </si>
  <si>
    <t xml:space="preserve">الباقي </t>
  </si>
  <si>
    <t xml:space="preserve">مدفوع </t>
  </si>
  <si>
    <t>ليد م جمعة</t>
  </si>
  <si>
    <t xml:space="preserve">الاجمالي المبلغ </t>
  </si>
  <si>
    <t xml:space="preserve">ح طارق مسعود </t>
  </si>
  <si>
    <t>نسبة قديمة</t>
  </si>
  <si>
    <t>نسبة جديدة</t>
  </si>
  <si>
    <t>من م هشان الي ح طارق</t>
  </si>
  <si>
    <t>ليد  م جمعة</t>
  </si>
  <si>
    <t>ليد م هشام</t>
  </si>
  <si>
    <t>الاجمالي المبلغ</t>
  </si>
  <si>
    <t>تحويل الي م جمعة</t>
  </si>
  <si>
    <t>المبغ</t>
  </si>
  <si>
    <t>كراسي بلاستيك</t>
  </si>
  <si>
    <t>تيك اواي</t>
  </si>
  <si>
    <t>كاميرات</t>
  </si>
  <si>
    <t>مصاريف و عشاء</t>
  </si>
  <si>
    <t>طارق</t>
  </si>
  <si>
    <t>حساب الفرش الداخلي</t>
  </si>
  <si>
    <t>اعلام</t>
  </si>
  <si>
    <t>محطه مياه</t>
  </si>
  <si>
    <t>حداد</t>
  </si>
  <si>
    <t>مشتريات ومون</t>
  </si>
  <si>
    <t>حساب م هشام</t>
  </si>
  <si>
    <t>دومنا و شطرنج</t>
  </si>
  <si>
    <t>خالص</t>
  </si>
  <si>
    <t>بريل</t>
  </si>
  <si>
    <t>تشيزكيك</t>
  </si>
  <si>
    <t>سيف عصام تقفيل</t>
  </si>
  <si>
    <t>دليفري العماوي</t>
  </si>
  <si>
    <t>من الدرج لمستر جمعة</t>
  </si>
  <si>
    <t>سلفة ادم برستا</t>
  </si>
  <si>
    <t>محمد رافت سلفة</t>
  </si>
  <si>
    <t>تحويل الي مستر جمعة</t>
  </si>
  <si>
    <t xml:space="preserve">محمد صيري </t>
  </si>
  <si>
    <t>عمار</t>
  </si>
  <si>
    <t>بدل مواصلات احمد هشش</t>
  </si>
  <si>
    <t xml:space="preserve">خصم </t>
  </si>
  <si>
    <t>محمد رافت ربع يوم</t>
  </si>
  <si>
    <t>خصم رياض 3 ايام غياب بدون اذن</t>
  </si>
  <si>
    <t>خصم علي عبد الله 3 ايام غياب بدون اذن</t>
  </si>
  <si>
    <t>موز حليب</t>
  </si>
  <si>
    <t>الفاتورةعلي الجهاز</t>
  </si>
  <si>
    <t>مرتب</t>
  </si>
  <si>
    <t>سيف  فخري تقفيل شهر 6</t>
  </si>
  <si>
    <t>احمد هشش</t>
  </si>
  <si>
    <t xml:space="preserve"> ربع يوم</t>
  </si>
  <si>
    <t xml:space="preserve">3 ايام </t>
  </si>
  <si>
    <t xml:space="preserve">ايام3 </t>
  </si>
  <si>
    <t>احمدهشش</t>
  </si>
  <si>
    <t>تشيز كيك</t>
  </si>
  <si>
    <t>عصاير مانجة</t>
  </si>
  <si>
    <t>اللورد</t>
  </si>
  <si>
    <t>فواكه</t>
  </si>
  <si>
    <t>ترته</t>
  </si>
  <si>
    <t>موز دليفري العماوي</t>
  </si>
  <si>
    <t>صافي كاش</t>
  </si>
  <si>
    <t>فراشة (شاشة+كراشي)</t>
  </si>
  <si>
    <t>ليد مستر جمعة</t>
  </si>
  <si>
    <t>كاميرا فوتوجرافر</t>
  </si>
  <si>
    <t>درون</t>
  </si>
  <si>
    <t>قيض</t>
  </si>
  <si>
    <t xml:space="preserve">سلفة محمد صبري </t>
  </si>
  <si>
    <t>تحوبل لمستر جمعة</t>
  </si>
  <si>
    <t>تحويل لمستر عبد الله</t>
  </si>
  <si>
    <t>تحويل لمستر عبدالله</t>
  </si>
  <si>
    <t>مكافئة فهمي</t>
  </si>
  <si>
    <t>مكافئة عمار</t>
  </si>
  <si>
    <t>اجل مستر طارق</t>
  </si>
  <si>
    <t>سلف</t>
  </si>
  <si>
    <t>الزيادة</t>
  </si>
  <si>
    <t>تحويلات</t>
  </si>
  <si>
    <t>اجمالي السلف</t>
  </si>
  <si>
    <t>اجمالي التحويلات</t>
  </si>
  <si>
    <t>م عبدالله</t>
  </si>
  <si>
    <t>عبد الرحمن ايهاب</t>
  </si>
  <si>
    <t>احمد الجهري</t>
  </si>
  <si>
    <t>فاتورة مياه</t>
  </si>
  <si>
    <t xml:space="preserve">يوجد كمان درون </t>
  </si>
  <si>
    <t>فرش للماتش</t>
  </si>
  <si>
    <t>ماتش مصر و الارجنتين</t>
  </si>
  <si>
    <t>مدام نهى</t>
  </si>
  <si>
    <t>بيع كرتون</t>
  </si>
  <si>
    <t>تصفية عبد الله و رياض</t>
  </si>
  <si>
    <t>تحوبل ال مستر جمعة انستا</t>
  </si>
  <si>
    <t>ادم من مرتب شهر 6 و باقي ليه 3</t>
  </si>
  <si>
    <t>خصم نص يوم</t>
  </si>
  <si>
    <t xml:space="preserve">فارس </t>
  </si>
  <si>
    <t xml:space="preserve">عبد الرحمن </t>
  </si>
  <si>
    <t>واصل كاش</t>
  </si>
  <si>
    <t>الفاورة علي الجهاز</t>
  </si>
  <si>
    <t>50 كارتونة مياه</t>
  </si>
  <si>
    <t>10 كراتين</t>
  </si>
  <si>
    <t>كرتونة مياه</t>
  </si>
  <si>
    <t>تحويل الي م عبد الله</t>
  </si>
  <si>
    <t>م عبد الله</t>
  </si>
  <si>
    <t>تحولات</t>
  </si>
  <si>
    <t>اجمالي</t>
  </si>
  <si>
    <t>فرق</t>
  </si>
  <si>
    <t>محمد هيبلغني بيهم</t>
  </si>
  <si>
    <t>عبد الرحمن</t>
  </si>
  <si>
    <t>نص يوم</t>
  </si>
  <si>
    <t>تص يوم</t>
  </si>
  <si>
    <t xml:space="preserve">فارس  </t>
  </si>
  <si>
    <t>خامات</t>
  </si>
  <si>
    <t>طليات</t>
  </si>
  <si>
    <t>فاكهة الهنا</t>
  </si>
  <si>
    <t>تحويل الي مستر عبد الله</t>
  </si>
  <si>
    <t>محمد صيري</t>
  </si>
  <si>
    <t>ادم برستا</t>
  </si>
  <si>
    <t>خصم تص يوم</t>
  </si>
  <si>
    <t>تم تسليم</t>
  </si>
  <si>
    <t xml:space="preserve">الاجمالي </t>
  </si>
  <si>
    <t>الفاتورة علي الجهاو</t>
  </si>
  <si>
    <t>محمد صبحي البهنسي</t>
  </si>
  <si>
    <t>سداد 10000</t>
  </si>
  <si>
    <t>باقي 24187</t>
  </si>
  <si>
    <t>إجمالي المصروفات النثرية</t>
  </si>
  <si>
    <t>كان باقي للعماوي 5040 من شهر 6</t>
  </si>
  <si>
    <t>تم سداد 10000</t>
  </si>
  <si>
    <t>من الخزنة وليست من ايراد اليوم</t>
  </si>
  <si>
    <t>في فاتورة ناقصة بقيمة 630</t>
  </si>
  <si>
    <t>يوجد مرتجع بقيمة 270</t>
  </si>
  <si>
    <t>ماتش مصر و استراليا    /  من الخزنة وليس من الايرادات</t>
  </si>
  <si>
    <t>نصف يوم</t>
  </si>
  <si>
    <t>تصف يوم</t>
  </si>
  <si>
    <t>سداد</t>
  </si>
  <si>
    <t>من 8 الي  12</t>
  </si>
  <si>
    <t>تم سداد 10000 من الايراد</t>
  </si>
  <si>
    <t>فاكهه</t>
  </si>
  <si>
    <t>تصفية لحد شهر 6</t>
  </si>
  <si>
    <t>انستا باي م جمعة</t>
  </si>
  <si>
    <t>انستا باي جمعة</t>
  </si>
  <si>
    <t>كاش م عبدالله</t>
  </si>
  <si>
    <t>محمد رمضان</t>
  </si>
  <si>
    <t>احمد الطيب</t>
  </si>
  <si>
    <t>تحويل</t>
  </si>
  <si>
    <t>سلفة</t>
  </si>
  <si>
    <t xml:space="preserve"> احمد الجهري</t>
  </si>
  <si>
    <t xml:space="preserve"> احمد الطيب</t>
  </si>
  <si>
    <t>مصروفات نثرية</t>
  </si>
  <si>
    <t>مشتريات</t>
  </si>
  <si>
    <t xml:space="preserve">الفاتورة علي الجهاز </t>
  </si>
  <si>
    <t>تم الدفع انستا باي و خصمهم من ايرادات اليوم</t>
  </si>
  <si>
    <t>_</t>
  </si>
  <si>
    <t xml:space="preserve">   بيانات الموظفين  - كافية 2M</t>
  </si>
  <si>
    <t>سجل التقفيلات اليومية -يوليو 2026</t>
  </si>
  <si>
    <t>المصروفات النثرية</t>
  </si>
  <si>
    <t>سجل المشاريات اليومية - يويلو 2026</t>
  </si>
  <si>
    <t>سجل المصروفات النثرية - يوليو 2026</t>
  </si>
  <si>
    <t>سجل متابعة فواتير المورد (العماوي)</t>
  </si>
  <si>
    <t>بيان الحركة</t>
  </si>
  <si>
    <t>تم سداد 10000 جنيه من فاتورة العماوي</t>
  </si>
  <si>
    <t>يوجد فاتورة ناقصة بقيمة 630 حنيه</t>
  </si>
  <si>
    <t>تم سداد 33000 من الخزنة</t>
  </si>
  <si>
    <t>مصدر الدفع</t>
  </si>
  <si>
    <t>الايراد اليومي</t>
  </si>
  <si>
    <t>تم  سداد 5000 جنيه من فاتورة العماوي</t>
  </si>
  <si>
    <t xml:space="preserve"> تم سداد 33000 من فاتورة العماوي</t>
  </si>
  <si>
    <t>الخزنة</t>
  </si>
  <si>
    <t>تم سداد 6935 من فاتورة العماوي</t>
  </si>
  <si>
    <t xml:space="preserve"> تم سداد هذه الفاتورة انستا باي  وخصكها من الايراد اليومي</t>
  </si>
  <si>
    <t>خصومات الموظفين</t>
  </si>
  <si>
    <t>قيمة مشتريات العماوي</t>
  </si>
  <si>
    <t>فواتير شهر 7</t>
  </si>
  <si>
    <t xml:space="preserve">يوجد زيادة 38 جنبيه  </t>
  </si>
  <si>
    <t xml:space="preserve">سداد  </t>
  </si>
  <si>
    <t>دفعة قديمة</t>
  </si>
  <si>
    <t>باقي حساب الطقم الخارجي</t>
  </si>
  <si>
    <t>تركيب الشاشات و الدش</t>
  </si>
  <si>
    <t>الكونتر</t>
  </si>
  <si>
    <t>حساب ح طارق</t>
  </si>
  <si>
    <t>انتر لوك</t>
  </si>
  <si>
    <t>شاشات</t>
  </si>
  <si>
    <t>باقي قيمة العقد</t>
  </si>
  <si>
    <t>دهانات للسور</t>
  </si>
  <si>
    <t>فرق خشب بلدي</t>
  </si>
  <si>
    <t>خشب بلدي نقل</t>
  </si>
  <si>
    <t>اصلاح المياه من الشركة الوطنية</t>
  </si>
  <si>
    <t>ماكينة قص النجيل</t>
  </si>
  <si>
    <t>بنزين للماكينة</t>
  </si>
  <si>
    <t>حديد البروجلات + التاندة</t>
  </si>
  <si>
    <t>ادوات البار حسام الجندي</t>
  </si>
  <si>
    <t>فرش من الداخل هشام</t>
  </si>
  <si>
    <t>مريات الحمامات</t>
  </si>
  <si>
    <t>مشوار عربية يوم وسط البلد قرية هاني</t>
  </si>
  <si>
    <t>تقفيلة تحت الحوض</t>
  </si>
  <si>
    <t>ونش رفع البرجيلة</t>
  </si>
  <si>
    <t>تعديل رخامة المطبخ</t>
  </si>
  <si>
    <t>اول مرة</t>
  </si>
  <si>
    <t>اول مره</t>
  </si>
  <si>
    <t>من ابراهيم</t>
  </si>
  <si>
    <t>تاني مره</t>
  </si>
  <si>
    <t>حديد الترابزيت السور</t>
  </si>
  <si>
    <t>باقي من مصفة الكهرباء من الداخل</t>
  </si>
  <si>
    <t>ماكينه شابلاي + مطحة حسام الجندي</t>
  </si>
  <si>
    <t>مرتجع ثلاجة (كسر)</t>
  </si>
  <si>
    <t>بكره ليد خاصه بالحديقه</t>
  </si>
  <si>
    <t>كومبوست</t>
  </si>
  <si>
    <t xml:space="preserve">مصنعية كهرباء للجنينة و سمعات و كاميرات </t>
  </si>
  <si>
    <t>ثلاجتان عرض +ايس ميكر</t>
  </si>
  <si>
    <t>اجمالي المرحلة الثانية</t>
  </si>
  <si>
    <t xml:space="preserve">م جمعة </t>
  </si>
  <si>
    <t xml:space="preserve">تحت حساب اصلاح </t>
  </si>
  <si>
    <t>نورهان</t>
  </si>
  <si>
    <t>ادم ياسر</t>
  </si>
  <si>
    <t xml:space="preserve">محمد صبحي </t>
  </si>
  <si>
    <t>دفعت ساوند</t>
  </si>
  <si>
    <t>جهازين تابلت</t>
  </si>
  <si>
    <t>اجمالي المرحلة الثالثة</t>
  </si>
  <si>
    <t>م جمعة</t>
  </si>
  <si>
    <t>م هشام</t>
  </si>
  <si>
    <t>م احمد كامل</t>
  </si>
  <si>
    <t>ح طارق مسعود</t>
  </si>
  <si>
    <t>اجمالي المنصرف</t>
  </si>
  <si>
    <t>الفاتورة ع الجهاز</t>
  </si>
  <si>
    <t>نقدي</t>
  </si>
  <si>
    <t>من قبض شهر 6</t>
  </si>
  <si>
    <t>70 دليفري</t>
  </si>
  <si>
    <t>عربية للثلاجة</t>
  </si>
  <si>
    <t>اجمالي المصاريف</t>
  </si>
  <si>
    <t>نصيب كل فرد</t>
  </si>
  <si>
    <t>باقي دين خارجي</t>
  </si>
  <si>
    <t>قش</t>
  </si>
  <si>
    <t>ساوند</t>
  </si>
  <si>
    <t>اجمالي الدين الخارجي</t>
  </si>
  <si>
    <t>اجمالي كل المراحل</t>
  </si>
  <si>
    <t>م جمعة علام</t>
  </si>
  <si>
    <t xml:space="preserve">اسلام رمضان </t>
  </si>
  <si>
    <t>حد خد بسكوت و لم يكتب اسمه</t>
  </si>
  <si>
    <t xml:space="preserve">محمد صبري </t>
  </si>
  <si>
    <t>و معه  اسلام و محمود بدل مواصلات</t>
  </si>
  <si>
    <t xml:space="preserve">معه عبد الله بدل مواصلات </t>
  </si>
  <si>
    <t xml:space="preserve">نورهان </t>
  </si>
  <si>
    <t xml:space="preserve">تم سداد 7000 </t>
  </si>
  <si>
    <t>مانجو عصير</t>
  </si>
  <si>
    <t>تحت حساب اصلاح مكنة النجيلة</t>
  </si>
  <si>
    <t>هذه الفاتورة بتاريخ 26/6</t>
  </si>
  <si>
    <t>علي الكاشير رضا</t>
  </si>
  <si>
    <t>بنزين و زيت للمكينة</t>
  </si>
  <si>
    <t>سكر + علب تاك اواي</t>
  </si>
  <si>
    <t>مستر جمعة</t>
  </si>
  <si>
    <t>رضا</t>
  </si>
  <si>
    <t>احمد جوهري</t>
  </si>
  <si>
    <t>عمار محمد</t>
  </si>
  <si>
    <t>محمود بهنسي</t>
  </si>
  <si>
    <t>محمود رمضان</t>
  </si>
  <si>
    <t>سيف فخري</t>
  </si>
  <si>
    <t xml:space="preserve"> ادم من حساب شهر 6 و خالص</t>
  </si>
  <si>
    <t xml:space="preserve">كاش </t>
  </si>
  <si>
    <t>بدل مواصلات  رضا ونور</t>
  </si>
  <si>
    <t>فاتورة</t>
  </si>
  <si>
    <t xml:space="preserve">تصفيات محمد اشرف و خالص </t>
  </si>
  <si>
    <t>قبض شهر 6</t>
  </si>
  <si>
    <t>دلفري 40</t>
  </si>
  <si>
    <t>بنزين و زيت للمكنة</t>
  </si>
  <si>
    <t>سكر و علب تيك اواي</t>
  </si>
  <si>
    <t>محمد صيحي</t>
  </si>
  <si>
    <t>رضا و نور</t>
  </si>
  <si>
    <t xml:space="preserve">اسلام </t>
  </si>
  <si>
    <t>محمودرمضان</t>
  </si>
  <si>
    <t>سبف فخري</t>
  </si>
  <si>
    <t xml:space="preserve">م عبد الله </t>
  </si>
  <si>
    <t>بدل  مواصلات عبد الله و ادم</t>
  </si>
  <si>
    <t>بدل مواصلات احمد هشش و اسلام و محمود</t>
  </si>
  <si>
    <t>مستلزمات مطبخ</t>
  </si>
  <si>
    <t xml:space="preserve">فهمي </t>
  </si>
  <si>
    <t xml:space="preserve">سيف </t>
  </si>
  <si>
    <t>الطيب</t>
  </si>
  <si>
    <t>ابو عمار</t>
  </si>
  <si>
    <t xml:space="preserve">قبض </t>
  </si>
  <si>
    <t>إجمالي التحويلات</t>
  </si>
  <si>
    <t>إجمالي السلف</t>
  </si>
  <si>
    <t>الاجمالي الكلي</t>
  </si>
  <si>
    <t>بيع الكرتون</t>
  </si>
  <si>
    <t>المقبوض من شهر 6</t>
  </si>
  <si>
    <t>الحساب حتى تاريخ : 14/07/2026</t>
  </si>
  <si>
    <t xml:space="preserve">تورته </t>
  </si>
  <si>
    <t>150 دليفري</t>
  </si>
  <si>
    <t xml:space="preserve">ثلج </t>
  </si>
  <si>
    <t>دليفري الثلج</t>
  </si>
  <si>
    <t>بدل موصلات معه عبد الله</t>
  </si>
  <si>
    <t>بدل مواصلات معه اسلام و محمود</t>
  </si>
  <si>
    <t>م عبد اله</t>
  </si>
  <si>
    <t>سيف  حمزه</t>
  </si>
  <si>
    <t xml:space="preserve">مستر جمعة </t>
  </si>
  <si>
    <t>سيف خمزة</t>
  </si>
  <si>
    <t>محمود عثمان</t>
  </si>
  <si>
    <t>يوسف شحته</t>
  </si>
  <si>
    <t>محمود محروص</t>
  </si>
  <si>
    <t>احمد الجري</t>
  </si>
  <si>
    <t>مسامير</t>
  </si>
  <si>
    <t xml:space="preserve">ادم </t>
  </si>
  <si>
    <t>بدل مواصلات</t>
  </si>
  <si>
    <t>مكافاة</t>
  </si>
  <si>
    <t>50 دليفري</t>
  </si>
  <si>
    <t xml:space="preserve">خامات </t>
  </si>
  <si>
    <t>يوجد زيادة 72 جنيه</t>
  </si>
  <si>
    <t>-</t>
  </si>
  <si>
    <t>مرتبات</t>
  </si>
  <si>
    <t>تحوبل</t>
  </si>
  <si>
    <t>محمود البهنسي</t>
  </si>
  <si>
    <t>زبادي</t>
  </si>
  <si>
    <t>مشتريات م جمعة</t>
  </si>
  <si>
    <t>سيف حمزة</t>
  </si>
  <si>
    <t>احد الجهري</t>
  </si>
  <si>
    <t>مشتريان مستر جمعة</t>
  </si>
  <si>
    <t xml:space="preserve">ليها فاتورة ورقه مكتوبه </t>
  </si>
  <si>
    <t>دلبفري</t>
  </si>
  <si>
    <t>تم سداد لي العماوي 7800 من جيب م احمد كمال الخاص</t>
  </si>
  <si>
    <t>م احمد</t>
  </si>
  <si>
    <t>م احمد عاشور</t>
  </si>
  <si>
    <t>مسحوبات نقديه</t>
  </si>
  <si>
    <t>عمار البهنسي</t>
  </si>
  <si>
    <t>سيف حمزه</t>
  </si>
  <si>
    <t>فارس هاني</t>
  </si>
  <si>
    <t>عبد الله و ادم</t>
  </si>
  <si>
    <t>سداد الي م احمد نظير سداد فاتورة العماوي</t>
  </si>
  <si>
    <t>الفاتوؤة ع الجهاز</t>
  </si>
  <si>
    <t>خصم نصف يوم سيف فخري</t>
  </si>
  <si>
    <t>خصم نصف يوم احممد الجهري</t>
  </si>
  <si>
    <t>خصم ربع يوم محمد صبري</t>
  </si>
  <si>
    <t>30 دليفري</t>
  </si>
  <si>
    <t>ادم و عبد الله</t>
  </si>
  <si>
    <t>خصم يومين احمد الطيب</t>
  </si>
  <si>
    <t>خيم يوم محمد صبري</t>
  </si>
  <si>
    <t>رواتب</t>
  </si>
  <si>
    <t>مسحوبات المالك</t>
  </si>
  <si>
    <t>سداد الموردين(العماوي)</t>
  </si>
  <si>
    <t xml:space="preserve">التاريخ </t>
  </si>
  <si>
    <t xml:space="preserve">المبلغ </t>
  </si>
  <si>
    <t>مصروفات من الخزنة</t>
  </si>
  <si>
    <t xml:space="preserve">يوجد زيادة 78 جنيه </t>
  </si>
  <si>
    <t>يوجد زياد 842                   /        ماتش مصر و اتسراليا</t>
  </si>
  <si>
    <t>يوجد زيادة 246 جنيه                         محمد صلاح 800</t>
  </si>
  <si>
    <t xml:space="preserve">                يوجد زياده 80 جنيه / تم سداد اجل بقيمة 1220 جنيه من ح طارق  /  </t>
  </si>
  <si>
    <t>قبض</t>
  </si>
  <si>
    <t xml:space="preserve">                                     ماتش مصر و الارجنتين</t>
  </si>
  <si>
    <t>تغيير الورديه  من 8 الي 12</t>
  </si>
  <si>
    <t xml:space="preserve">   يوجد زياده 150 جنيه</t>
  </si>
  <si>
    <t xml:space="preserve">   تم سداد الي مستر احمد عاشور مبلغ 6832 نظير سداد فاتورة العماوي و باقي ليه 968</t>
  </si>
  <si>
    <t>دليفري ثلج</t>
  </si>
  <si>
    <t>تحويلات م جمعة</t>
  </si>
  <si>
    <t>توصيلة رضا و نور</t>
  </si>
  <si>
    <t>البو عمار</t>
  </si>
  <si>
    <t>بدل مواصلات م عبد الله</t>
  </si>
  <si>
    <t>احمد الجوهري</t>
  </si>
  <si>
    <t>خدهم م احمد لتفضية الخزنة</t>
  </si>
  <si>
    <t>تحويلات م عبد الله</t>
  </si>
  <si>
    <t>صافي</t>
  </si>
  <si>
    <t>خصم نصف يوم رضا</t>
  </si>
  <si>
    <t>ضيافة</t>
  </si>
  <si>
    <t>منظفات</t>
  </si>
  <si>
    <t xml:space="preserve"> العماوي ومنظفات</t>
  </si>
  <si>
    <t>ضيافة ترابيزة 44</t>
  </si>
  <si>
    <t>عجز في 24 جنيه</t>
  </si>
  <si>
    <t>خصم يومين</t>
  </si>
  <si>
    <t>خصم يوم</t>
  </si>
  <si>
    <t>مناديل</t>
  </si>
  <si>
    <t>تم سداد 7000 من الايراد اليومي</t>
  </si>
  <si>
    <t xml:space="preserve">البيان </t>
  </si>
  <si>
    <t xml:space="preserve">امبلغ </t>
  </si>
  <si>
    <t>من حساب العماوي</t>
  </si>
  <si>
    <t>بدل مواصلات عبدالله و ادم</t>
  </si>
  <si>
    <t>شركة الفارس لمكافحة الحشرات</t>
  </si>
  <si>
    <t>ثلج و مواصلاته</t>
  </si>
  <si>
    <t>تحويلات م عبدالله</t>
  </si>
  <si>
    <t xml:space="preserve">صافي كاش </t>
  </si>
  <si>
    <t>سداد م احمد كامل و باقي له 8080</t>
  </si>
  <si>
    <t>تحويل معدات</t>
  </si>
  <si>
    <t xml:space="preserve">اجمالي </t>
  </si>
  <si>
    <t>مصنعية  بروجولات وتاندة</t>
  </si>
  <si>
    <t>عايز 25</t>
  </si>
  <si>
    <t xml:space="preserve"> احمد كامل +100000</t>
  </si>
  <si>
    <t>رش النجيلة</t>
  </si>
  <si>
    <t>الاسم</t>
  </si>
  <si>
    <t>عمار محمد صبحي</t>
  </si>
  <si>
    <t>خصم اكل الاوردر</t>
  </si>
  <si>
    <t>50 بدل مواصلات</t>
  </si>
  <si>
    <t>يومين</t>
  </si>
  <si>
    <t>اليوم ب 166</t>
  </si>
  <si>
    <t>مرتب محمود 4</t>
  </si>
  <si>
    <t>سلف شهر 6</t>
  </si>
  <si>
    <t>عليه</t>
  </si>
  <si>
    <t>المرتب الاساسي</t>
  </si>
  <si>
    <t>الراتب بعد الخصم</t>
  </si>
  <si>
    <t>الباقي</t>
  </si>
  <si>
    <t>الفترة من 15/5  : الي  30/6</t>
  </si>
  <si>
    <t>الراتب الاساسي</t>
  </si>
  <si>
    <t>الفترة من 18/5 : الي 30/6</t>
  </si>
  <si>
    <t>شهر 5</t>
  </si>
  <si>
    <t>شهر 6</t>
  </si>
  <si>
    <t>السلف</t>
  </si>
  <si>
    <t xml:space="preserve">محمود البهنسي </t>
  </si>
  <si>
    <t>عمار محمد البهنسي</t>
  </si>
  <si>
    <t>باقي</t>
  </si>
  <si>
    <t>الفترة من 15/6 الي :30/6</t>
  </si>
  <si>
    <t>ح محمد صبحي</t>
  </si>
  <si>
    <t>الفترة من 7/6 الي : 30/6</t>
  </si>
  <si>
    <t>اجمالي المصاريف النثرية</t>
  </si>
  <si>
    <t>اجمالي الايرادات اليومية</t>
  </si>
  <si>
    <t xml:space="preserve">صافي ربح </t>
  </si>
  <si>
    <t>الفتره من 7/1  الي : 7/13</t>
  </si>
  <si>
    <t xml:space="preserve">  م عبد الله</t>
  </si>
  <si>
    <t>من 7/1 الي : 7/13</t>
  </si>
  <si>
    <t>عبد  الله</t>
  </si>
  <si>
    <t>سلف عمار و ابوه و اخوه</t>
  </si>
  <si>
    <t>سلف محمد صلاح</t>
  </si>
  <si>
    <t>بدل مواصلات احمد هشش و محمود رمضان</t>
  </si>
  <si>
    <t>الهنا  + دليفري</t>
  </si>
  <si>
    <t>تصفية نورهان و خالص</t>
  </si>
  <si>
    <t>باقي حساب احمد عاشور نظير سداد العماوي</t>
  </si>
  <si>
    <t>من حساب فاتورة  العماوي اليوم</t>
  </si>
  <si>
    <t>باقي له 1635</t>
  </si>
  <si>
    <t>تحويلات مستر جمعة</t>
  </si>
  <si>
    <t>تحويلات عبدالله</t>
  </si>
  <si>
    <t>صافي نقدي</t>
  </si>
  <si>
    <t>خصم نصف يوم محمد رافت</t>
  </si>
  <si>
    <t>خصم نصف يوم محمود بهنسي</t>
  </si>
  <si>
    <t>خصم نصف  يوم احمد الجهري</t>
  </si>
  <si>
    <t>تصفية و خالص</t>
  </si>
  <si>
    <t>سداد 8080 الي احمد عاشور  و 2000 عماوي</t>
  </si>
  <si>
    <t xml:space="preserve">رضا </t>
  </si>
  <si>
    <t xml:space="preserve">محمد رافت </t>
  </si>
  <si>
    <t>79 دليفري</t>
  </si>
  <si>
    <t>خانات</t>
  </si>
  <si>
    <t>بدل مواصلات عبد الله و ادم</t>
  </si>
  <si>
    <t>بدل مواصلات احمدهشش و محمود رمضان</t>
  </si>
  <si>
    <t>فاكهه + دليفري</t>
  </si>
  <si>
    <t>ثلج + دليفري</t>
  </si>
  <si>
    <t>الاجمالي ع الجهاز</t>
  </si>
  <si>
    <t xml:space="preserve"> محمد صلاح</t>
  </si>
  <si>
    <t>80 دليفري</t>
  </si>
  <si>
    <t>دلبفري الهنا</t>
  </si>
  <si>
    <t>سبف</t>
  </si>
  <si>
    <t>عبد الله الغذولي</t>
  </si>
  <si>
    <t>فارس  هاني</t>
  </si>
  <si>
    <t xml:space="preserve">محمد اشرف </t>
  </si>
  <si>
    <t>7,6</t>
  </si>
  <si>
    <t xml:space="preserve"> صافي كاش</t>
  </si>
  <si>
    <t>بدل مواصلات 50</t>
  </si>
  <si>
    <t xml:space="preserve">50 بدل مواصلات </t>
  </si>
  <si>
    <t xml:space="preserve"> صافي اليوم</t>
  </si>
  <si>
    <t>ابوه</t>
  </si>
  <si>
    <t>شاليموه اسود مخلف</t>
  </si>
  <si>
    <t>فاتوره</t>
  </si>
  <si>
    <t>بدل مواصلات عبد الله و ادم ياسر</t>
  </si>
  <si>
    <t>عمار بهنسي تصفيه</t>
  </si>
  <si>
    <t>فاتورة العماوي</t>
  </si>
  <si>
    <t>تصليح الايس ميكر + ماكينة الاسبرسو +</t>
  </si>
  <si>
    <t xml:space="preserve">شوكلت </t>
  </si>
  <si>
    <t>فاتورة المنجا</t>
  </si>
  <si>
    <t>ثلج + الدليفري</t>
  </si>
  <si>
    <t>مخالفة</t>
  </si>
  <si>
    <t>حساب 15 كرتونة مياه من فاتورة العماوي</t>
  </si>
  <si>
    <t>شوكلت</t>
  </si>
  <si>
    <t>؟</t>
  </si>
  <si>
    <t>تصليح الايس ميكر + ماكينة الاسبرسو</t>
  </si>
  <si>
    <t>تم</t>
  </si>
  <si>
    <t>دلفري الهنا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</si>
</sst>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color theme="1"/>
      <name val="Aptos Narrow"/>
      <family val="2"/>
      <charset val="1"/>
    </font>
    <font>
      <b/>
      <sz val="18"/>
      <name val="Aptos Narrow"/>
      <family val="2"/>
      <charset val="1"/>
    </font>
    <font>
      <b/>
      <sz val="16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b/>
      <sz val="11"/>
      <color theme="1"/>
      <name val="Aptos Narrow"/>
      <family val="2"/>
    </font>
    <font>
      <sz val="11"/>
      <color rgb="FF006100"/>
      <name val="Aptos Narrow"/>
      <family val="2"/>
      <charset val="178"/>
      <scheme val="minor"/>
    </font>
    <font>
      <b/>
      <sz val="11"/>
      <name val="Aptos Narrow"/>
      <family val="2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</font>
    <font>
      <b/>
      <sz val="11"/>
      <color rgb="FF006100"/>
      <name val="Aptos Narrow"/>
      <family val="2"/>
      <scheme val="minor"/>
    </font>
    <font>
      <b/>
      <sz val="14"/>
      <color rgb="FF006100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rgb="FF006100"/>
      <name val="Aptos Narrow"/>
      <family val="2"/>
      <scheme val="minor"/>
    </font>
    <font>
      <b/>
      <sz val="14"/>
      <color theme="1"/>
      <name val="Aptos Narrow"/>
      <family val="2"/>
    </font>
    <font>
      <sz val="11"/>
      <color rgb="FF9C0006"/>
      <name val="Aptos Narrow"/>
      <family val="2"/>
      <charset val="178"/>
      <scheme val="minor"/>
    </font>
    <font>
      <b/>
      <sz val="16"/>
      <color theme="1"/>
      <name val="Aptos Narrow"/>
      <family val="2"/>
    </font>
    <font>
      <sz val="11"/>
      <color rgb="FF9C5700"/>
      <name val="Aptos Narrow"/>
      <family val="2"/>
      <charset val="178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sz val="12"/>
      <color theme="0"/>
      <name val="Aptos Narrow"/>
      <family val="2"/>
    </font>
    <font>
      <b/>
      <sz val="14"/>
      <color theme="0"/>
      <name val="Aptos Narrow"/>
      <family val="2"/>
    </font>
    <font>
      <b/>
      <sz val="18"/>
      <color theme="0"/>
      <name val="Aptos Narrow"/>
      <family val="2"/>
    </font>
    <font>
      <b/>
      <sz val="12"/>
      <color rgb="FF9C5700"/>
      <name val="Aptos Narrow"/>
      <family val="2"/>
      <scheme val="minor"/>
    </font>
    <font>
      <b/>
      <sz val="16"/>
      <color theme="0"/>
      <name val="Aptos Narrow"/>
      <family val="2"/>
    </font>
    <font>
      <b/>
      <sz val="14"/>
      <color rgb="FF9C5700"/>
      <name val="Aptos Narrow"/>
      <family val="2"/>
      <scheme val="minor"/>
    </font>
    <font>
      <sz val="11"/>
      <color rgb="FFFF0000"/>
      <name val="Aptos Narrow"/>
      <family val="2"/>
      <charset val="1"/>
    </font>
    <font>
      <sz val="11"/>
      <color theme="0"/>
      <name val="Aptos Narrow"/>
      <family val="2"/>
      <charset val="178"/>
      <scheme val="minor"/>
    </font>
    <font>
      <b/>
      <sz val="20"/>
      <color theme="2"/>
      <name val="Aptos Narrow"/>
      <family val="2"/>
    </font>
    <font>
      <sz val="14"/>
      <color rgb="FF9C0006"/>
      <name val="Aptos Narrow"/>
      <family val="2"/>
      <charset val="178"/>
      <scheme val="minor"/>
    </font>
    <font>
      <b/>
      <sz val="11"/>
      <color rgb="FF9C5700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4"/>
        <bgColor rgb="FFE2EFDA"/>
      </patternFill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E2EFDA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rgb="FFE2EFDA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11" fillId="4" borderId="0" applyNumberFormat="0" applyBorder="0" applyAlignment="0" applyProtection="0"/>
    <xf numFmtId="0" fontId="22" fillId="5" borderId="0" applyNumberFormat="0" applyBorder="0" applyAlignment="0" applyProtection="0"/>
    <xf numFmtId="0" fontId="24" fillId="6" borderId="0" applyNumberFormat="0" applyBorder="0" applyAlignment="0" applyProtection="0"/>
    <xf numFmtId="0" fontId="34" fillId="18" borderId="0" applyNumberFormat="0" applyBorder="0" applyAlignment="0" applyProtection="0"/>
  </cellStyleXfs>
  <cellXfs count="339">
    <xf numFmtId="0" fontId="0" fillId="0" borderId="0" xfId="0"/>
    <xf numFmtId="4" fontId="0" fillId="0" borderId="0" xfId="0" applyNumberFormat="1"/>
    <xf numFmtId="0" fontId="4" fillId="0" borderId="0" xfId="0" applyFont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6" fillId="0" borderId="1" xfId="0" applyFont="1" applyBorder="1"/>
    <xf numFmtId="14" fontId="6" fillId="0" borderId="1" xfId="0" applyNumberFormat="1" applyFont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4" fontId="0" fillId="0" borderId="1" xfId="0" applyNumberFormat="1" applyBorder="1"/>
    <xf numFmtId="4" fontId="0" fillId="0" borderId="1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  <xf numFmtId="14" fontId="0" fillId="0" borderId="0" xfId="0" applyNumberFormat="1"/>
    <xf numFmtId="4" fontId="3" fillId="0" borderId="0" xfId="0" applyNumberFormat="1" applyFont="1"/>
    <xf numFmtId="14" fontId="0" fillId="0" borderId="1" xfId="0" applyNumberFormat="1" applyBorder="1"/>
    <xf numFmtId="0" fontId="8" fillId="0" borderId="1" xfId="0" applyFont="1" applyBorder="1" applyAlignment="1">
      <alignment horizontal="center"/>
    </xf>
    <xf numFmtId="20" fontId="0" fillId="0" borderId="0" xfId="0" applyNumberFormat="1"/>
    <xf numFmtId="0" fontId="4" fillId="3" borderId="0" xfId="0" applyFont="1" applyFill="1"/>
    <xf numFmtId="0" fontId="0" fillId="3" borderId="0" xfId="0" applyFill="1"/>
    <xf numFmtId="4" fontId="4" fillId="3" borderId="0" xfId="0" applyNumberFormat="1" applyFont="1" applyFill="1"/>
    <xf numFmtId="0" fontId="4" fillId="2" borderId="2" xfId="0" applyFont="1" applyFill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0" fillId="0" borderId="7" xfId="0" applyBorder="1"/>
    <xf numFmtId="0" fontId="16" fillId="0" borderId="1" xfId="0" applyFont="1" applyBorder="1" applyAlignment="1">
      <alignment horizontal="center" vertical="center"/>
    </xf>
    <xf numFmtId="0" fontId="10" fillId="0" borderId="1" xfId="0" applyFont="1" applyBorder="1"/>
    <xf numFmtId="0" fontId="17" fillId="4" borderId="1" xfId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" fontId="19" fillId="0" borderId="1" xfId="0" applyNumberFormat="1" applyFont="1" applyBorder="1" applyAlignment="1">
      <alignment horizontal="center" vertical="center"/>
    </xf>
    <xf numFmtId="14" fontId="19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2" fillId="2" borderId="2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0" fillId="0" borderId="1" xfId="0" applyFont="1" applyBorder="1" applyAlignment="1">
      <alignment vertical="center"/>
    </xf>
    <xf numFmtId="0" fontId="20" fillId="4" borderId="1" xfId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8" fillId="4" borderId="1" xfId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10" fillId="0" borderId="0" xfId="0" applyFont="1" applyAlignment="1">
      <alignment vertical="center"/>
    </xf>
    <xf numFmtId="4" fontId="22" fillId="5" borderId="1" xfId="2" applyNumberFormat="1" applyBorder="1" applyAlignment="1">
      <alignment horizontal="center" vertical="center"/>
    </xf>
    <xf numFmtId="0" fontId="22" fillId="5" borderId="1" xfId="2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10" fillId="0" borderId="0" xfId="0" applyFont="1"/>
    <xf numFmtId="0" fontId="11" fillId="4" borderId="0" xfId="1" applyAlignment="1">
      <alignment horizontal="center" vertical="center"/>
    </xf>
    <xf numFmtId="0" fontId="11" fillId="4" borderId="0" xfId="1"/>
    <xf numFmtId="14" fontId="0" fillId="0" borderId="1" xfId="0" applyNumberForma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24" fillId="6" borderId="1" xfId="3" applyNumberForma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7" borderId="1" xfId="2" applyFont="1" applyFill="1" applyBorder="1" applyAlignment="1">
      <alignment horizontal="center" vertical="center"/>
    </xf>
    <xf numFmtId="0" fontId="25" fillId="7" borderId="1" xfId="2" applyFont="1" applyFill="1" applyBorder="1" applyAlignment="1">
      <alignment horizontal="center" vertical="center"/>
    </xf>
    <xf numFmtId="0" fontId="20" fillId="4" borderId="1" xfId="1" applyFont="1" applyBorder="1"/>
    <xf numFmtId="0" fontId="26" fillId="8" borderId="1" xfId="0" applyFont="1" applyFill="1" applyBorder="1" applyAlignment="1">
      <alignment horizontal="center" vertical="center"/>
    </xf>
    <xf numFmtId="0" fontId="27" fillId="8" borderId="1" xfId="0" applyFont="1" applyFill="1" applyBorder="1" applyAlignment="1">
      <alignment horizontal="center" vertical="center"/>
    </xf>
    <xf numFmtId="0" fontId="28" fillId="8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4" fontId="0" fillId="10" borderId="1" xfId="0" applyNumberForma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center" vertical="center"/>
    </xf>
    <xf numFmtId="2" fontId="0" fillId="10" borderId="1" xfId="0" applyNumberFormat="1" applyFill="1" applyBorder="1"/>
    <xf numFmtId="0" fontId="0" fillId="10" borderId="1" xfId="0" applyFill="1" applyBorder="1"/>
    <xf numFmtId="14" fontId="30" fillId="6" borderId="1" xfId="3" applyNumberFormat="1" applyFont="1" applyBorder="1" applyAlignment="1">
      <alignment horizontal="center" vertical="center"/>
    </xf>
    <xf numFmtId="0" fontId="30" fillId="6" borderId="1" xfId="3" applyFont="1" applyBorder="1" applyAlignment="1">
      <alignment horizontal="center" vertical="center"/>
    </xf>
    <xf numFmtId="4" fontId="30" fillId="6" borderId="1" xfId="3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vertical="center"/>
    </xf>
    <xf numFmtId="2" fontId="10" fillId="10" borderId="1" xfId="0" applyNumberFormat="1" applyFont="1" applyFill="1" applyBorder="1" applyAlignment="1">
      <alignment vertical="center"/>
    </xf>
    <xf numFmtId="0" fontId="10" fillId="10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right" vertical="center"/>
    </xf>
    <xf numFmtId="2" fontId="10" fillId="10" borderId="1" xfId="0" applyNumberFormat="1" applyFont="1" applyFill="1" applyBorder="1" applyAlignment="1">
      <alignment horizontal="right" vertical="center"/>
    </xf>
    <xf numFmtId="2" fontId="16" fillId="0" borderId="1" xfId="0" applyNumberFormat="1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4" fontId="0" fillId="10" borderId="1" xfId="0" applyNumberFormat="1" applyFill="1" applyBorder="1"/>
    <xf numFmtId="4" fontId="0" fillId="10" borderId="1" xfId="0" applyNumberFormat="1" applyFill="1" applyBorder="1" applyAlignment="1">
      <alignment horizontal="center"/>
    </xf>
    <xf numFmtId="0" fontId="10" fillId="10" borderId="1" xfId="0" applyFont="1" applyFill="1" applyBorder="1" applyAlignment="1">
      <alignment horizontal="center"/>
    </xf>
    <xf numFmtId="4" fontId="32" fillId="6" borderId="1" xfId="3" applyNumberFormat="1" applyFont="1" applyBorder="1" applyAlignment="1">
      <alignment horizontal="center" vertical="center"/>
    </xf>
    <xf numFmtId="0" fontId="0" fillId="7" borderId="1" xfId="0" applyFill="1" applyBorder="1"/>
    <xf numFmtId="0" fontId="7" fillId="0" borderId="0" xfId="0" applyFont="1" applyAlignment="1">
      <alignment vertical="center"/>
    </xf>
    <xf numFmtId="0" fontId="21" fillId="0" borderId="11" xfId="0" applyFont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" fontId="0" fillId="7" borderId="1" xfId="0" applyNumberFormat="1" applyFill="1" applyBorder="1"/>
    <xf numFmtId="4" fontId="10" fillId="7" borderId="1" xfId="0" applyNumberFormat="1" applyFont="1" applyFill="1" applyBorder="1" applyAlignment="1">
      <alignment horizontal="center" vertical="center"/>
    </xf>
    <xf numFmtId="4" fontId="0" fillId="7" borderId="1" xfId="0" applyNumberFormat="1" applyFill="1" applyBorder="1" applyAlignment="1">
      <alignment horizontal="center" vertical="center"/>
    </xf>
    <xf numFmtId="4" fontId="0" fillId="7" borderId="1" xfId="0" applyNumberFormat="1" applyFill="1" applyBorder="1" applyAlignment="1">
      <alignment horizontal="center"/>
    </xf>
    <xf numFmtId="0" fontId="26" fillId="9" borderId="0" xfId="0" applyFont="1" applyFill="1" applyAlignment="1">
      <alignment horizontal="center" vertical="center"/>
    </xf>
    <xf numFmtId="14" fontId="0" fillId="0" borderId="0" xfId="0" applyNumberFormat="1" applyAlignment="1">
      <alignment vertical="center"/>
    </xf>
    <xf numFmtId="0" fontId="24" fillId="6" borderId="0" xfId="3" applyAlignment="1">
      <alignment horizontal="center"/>
    </xf>
    <xf numFmtId="0" fontId="27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4" fillId="6" borderId="0" xfId="3" applyAlignment="1">
      <alignment horizontal="center" vertical="center"/>
    </xf>
    <xf numFmtId="0" fontId="1" fillId="7" borderId="0" xfId="2" applyFont="1" applyFill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21" fillId="0" borderId="0" xfId="0" applyFont="1" applyAlignment="1">
      <alignment horizontal="center" vertical="center"/>
    </xf>
    <xf numFmtId="0" fontId="22" fillId="5" borderId="1" xfId="2" applyBorder="1"/>
    <xf numFmtId="0" fontId="17" fillId="4" borderId="1" xfId="1" applyFont="1" applyBorder="1"/>
    <xf numFmtId="2" fontId="16" fillId="10" borderId="1" xfId="0" applyNumberFormat="1" applyFont="1" applyFill="1" applyBorder="1" applyAlignment="1">
      <alignment horizontal="right" vertical="center"/>
    </xf>
    <xf numFmtId="0" fontId="18" fillId="7" borderId="1" xfId="1" applyNumberFormat="1" applyFont="1" applyFill="1" applyBorder="1" applyAlignment="1">
      <alignment horizontal="center" vertical="center"/>
    </xf>
    <xf numFmtId="4" fontId="18" fillId="7" borderId="1" xfId="1" applyNumberFormat="1" applyFont="1" applyFill="1" applyBorder="1" applyAlignment="1">
      <alignment horizontal="center" vertical="center"/>
    </xf>
    <xf numFmtId="0" fontId="24" fillId="6" borderId="1" xfId="3" applyBorder="1"/>
    <xf numFmtId="0" fontId="11" fillId="4" borderId="1" xfId="1" applyBorder="1"/>
    <xf numFmtId="0" fontId="19" fillId="0" borderId="1" xfId="0" applyFont="1" applyBorder="1"/>
    <xf numFmtId="0" fontId="24" fillId="6" borderId="1" xfId="3" applyBorder="1" applyAlignment="1">
      <alignment horizontal="center" vertical="center"/>
    </xf>
    <xf numFmtId="0" fontId="24" fillId="6" borderId="12" xfId="3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0" fillId="15" borderId="1" xfId="0" applyFill="1" applyBorder="1"/>
    <xf numFmtId="0" fontId="0" fillId="16" borderId="1" xfId="0" applyFill="1" applyBorder="1"/>
    <xf numFmtId="2" fontId="10" fillId="0" borderId="1" xfId="0" applyNumberFormat="1" applyFont="1" applyBorder="1" applyAlignment="1">
      <alignment horizontal="right" vertical="center"/>
    </xf>
    <xf numFmtId="0" fontId="11" fillId="4" borderId="1" xfId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11" fillId="7" borderId="1" xfId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4" fontId="10" fillId="15" borderId="1" xfId="0" applyNumberFormat="1" applyFont="1" applyFill="1" applyBorder="1" applyAlignment="1">
      <alignment horizontal="center" vertical="center"/>
    </xf>
    <xf numFmtId="4" fontId="0" fillId="15" borderId="1" xfId="0" applyNumberForma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4" fillId="15" borderId="1" xfId="3" applyFill="1" applyBorder="1"/>
    <xf numFmtId="0" fontId="34" fillId="18" borderId="1" xfId="4" applyBorder="1"/>
    <xf numFmtId="0" fontId="24" fillId="7" borderId="1" xfId="3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19" borderId="4" xfId="0" applyFont="1" applyFill="1" applyBorder="1" applyAlignment="1">
      <alignment horizontal="center" vertical="center"/>
    </xf>
    <xf numFmtId="0" fontId="10" fillId="16" borderId="4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0" fontId="10" fillId="20" borderId="4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24" fillId="6" borderId="4" xfId="3" applyBorder="1" applyAlignment="1">
      <alignment horizontal="center" vertical="center"/>
    </xf>
    <xf numFmtId="0" fontId="24" fillId="7" borderId="4" xfId="3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6" fillId="15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6" fillId="22" borderId="1" xfId="0" applyFont="1" applyFill="1" applyBorder="1"/>
    <xf numFmtId="0" fontId="10" fillId="22" borderId="1" xfId="0" applyFont="1" applyFill="1" applyBorder="1" applyAlignment="1">
      <alignment horizontal="center" vertical="center"/>
    </xf>
    <xf numFmtId="0" fontId="11" fillId="22" borderId="1" xfId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center" vertical="center"/>
    </xf>
    <xf numFmtId="0" fontId="19" fillId="22" borderId="1" xfId="0" applyFont="1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10" fillId="22" borderId="1" xfId="0" applyFont="1" applyFill="1" applyBorder="1"/>
    <xf numFmtId="0" fontId="0" fillId="22" borderId="1" xfId="0" applyFill="1" applyBorder="1"/>
    <xf numFmtId="0" fontId="24" fillId="22" borderId="1" xfId="3" applyFill="1" applyBorder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8" fillId="7" borderId="1" xfId="1" applyFont="1" applyFill="1" applyBorder="1" applyAlignment="1">
      <alignment horizontal="center" vertical="center"/>
    </xf>
    <xf numFmtId="0" fontId="10" fillId="23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10" borderId="1" xfId="0" applyFont="1" applyFill="1" applyBorder="1"/>
    <xf numFmtId="0" fontId="22" fillId="7" borderId="1" xfId="2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16" fillId="0" borderId="2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" fontId="17" fillId="4" borderId="1" xfId="1" applyNumberFormat="1" applyFont="1" applyBorder="1" applyAlignment="1">
      <alignment horizontal="center" vertical="center"/>
    </xf>
    <xf numFmtId="0" fontId="24" fillId="24" borderId="1" xfId="3" applyFill="1" applyBorder="1" applyAlignment="1">
      <alignment horizontal="center" vertical="center"/>
    </xf>
    <xf numFmtId="4" fontId="11" fillId="7" borderId="1" xfId="1" applyNumberFormat="1" applyFill="1" applyBorder="1" applyAlignment="1">
      <alignment horizontal="center" vertical="center"/>
    </xf>
    <xf numFmtId="4" fontId="11" fillId="4" borderId="1" xfId="1" applyNumberFormat="1" applyBorder="1" applyAlignment="1">
      <alignment horizontal="center" vertical="center"/>
    </xf>
    <xf numFmtId="0" fontId="11" fillId="4" borderId="1" xfId="1" applyBorder="1" applyAlignment="1">
      <alignment horizontal="center"/>
    </xf>
    <xf numFmtId="0" fontId="11" fillId="4" borderId="4" xfId="1" applyBorder="1" applyAlignment="1">
      <alignment horizontal="center" vertical="center"/>
    </xf>
    <xf numFmtId="0" fontId="37" fillId="6" borderId="1" xfId="3" applyFont="1" applyBorder="1" applyAlignment="1">
      <alignment horizontal="center" vertical="center"/>
    </xf>
    <xf numFmtId="0" fontId="10" fillId="24" borderId="1" xfId="0" applyFont="1" applyFill="1" applyBorder="1" applyAlignment="1">
      <alignment horizontal="center" vertical="center"/>
    </xf>
    <xf numFmtId="0" fontId="17" fillId="16" borderId="1" xfId="1" applyFont="1" applyFill="1" applyBorder="1" applyAlignment="1">
      <alignment horizontal="center" vertical="center"/>
    </xf>
    <xf numFmtId="0" fontId="16" fillId="25" borderId="1" xfId="0" applyFont="1" applyFill="1" applyBorder="1" applyAlignment="1">
      <alignment horizontal="center" vertical="center"/>
    </xf>
    <xf numFmtId="14" fontId="36" fillId="7" borderId="1" xfId="2" applyNumberFormat="1" applyFont="1" applyFill="1" applyBorder="1" applyAlignment="1">
      <alignment vertical="center"/>
    </xf>
    <xf numFmtId="0" fontId="10" fillId="10" borderId="12" xfId="0" applyFont="1" applyFill="1" applyBorder="1" applyAlignment="1">
      <alignment horizontal="center" vertical="center"/>
    </xf>
    <xf numFmtId="0" fontId="22" fillId="5" borderId="4" xfId="2" applyBorder="1" applyAlignment="1">
      <alignment horizontal="center" vertical="center"/>
    </xf>
    <xf numFmtId="0" fontId="0" fillId="24" borderId="1" xfId="0" applyFill="1" applyBorder="1"/>
    <xf numFmtId="0" fontId="24" fillId="24" borderId="1" xfId="3" applyFill="1" applyBorder="1"/>
    <xf numFmtId="4" fontId="23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10" fillId="26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10" fillId="0" borderId="5" xfId="0" applyNumberFormat="1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4" fontId="10" fillId="0" borderId="6" xfId="0" applyNumberFormat="1" applyFont="1" applyBorder="1" applyAlignment="1">
      <alignment horizontal="center" vertical="center"/>
    </xf>
    <xf numFmtId="14" fontId="10" fillId="0" borderId="8" xfId="0" applyNumberFormat="1" applyFont="1" applyBorder="1" applyAlignment="1">
      <alignment horizontal="center" vertical="center"/>
    </xf>
    <xf numFmtId="14" fontId="10" fillId="0" borderId="10" xfId="0" applyNumberFormat="1" applyFont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0" fontId="0" fillId="0" borderId="0" xfId="0"/>
    <xf numFmtId="0" fontId="33" fillId="15" borderId="7" xfId="0" applyFont="1" applyFill="1" applyBorder="1" applyAlignment="1">
      <alignment horizontal="center"/>
    </xf>
    <xf numFmtId="0" fontId="0" fillId="15" borderId="0" xfId="0" applyFill="1" applyAlignment="1">
      <alignment horizontal="center"/>
    </xf>
    <xf numFmtId="0" fontId="10" fillId="0" borderId="1" xfId="0" applyFont="1" applyBorder="1" applyAlignment="1">
      <alignment horizontal="center"/>
    </xf>
    <xf numFmtId="14" fontId="0" fillId="0" borderId="5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1" fillId="11" borderId="1" xfId="0" applyFont="1" applyFill="1" applyBorder="1" applyAlignment="1">
      <alignment horizontal="center" vertical="center"/>
    </xf>
    <xf numFmtId="14" fontId="16" fillId="0" borderId="11" xfId="0" applyNumberFormat="1" applyFont="1" applyBorder="1" applyAlignment="1">
      <alignment horizontal="center" vertical="center"/>
    </xf>
    <xf numFmtId="14" fontId="16" fillId="0" borderId="12" xfId="0" applyNumberFormat="1" applyFont="1" applyBorder="1" applyAlignment="1">
      <alignment horizontal="center" vertical="center"/>
    </xf>
    <xf numFmtId="14" fontId="16" fillId="0" borderId="2" xfId="0" applyNumberFormat="1" applyFont="1" applyBorder="1" applyAlignment="1">
      <alignment horizontal="center" vertical="center"/>
    </xf>
    <xf numFmtId="14" fontId="10" fillId="0" borderId="11" xfId="0" applyNumberFormat="1" applyFont="1" applyBorder="1" applyAlignment="1">
      <alignment horizontal="center" vertical="center"/>
    </xf>
    <xf numFmtId="14" fontId="10" fillId="0" borderId="12" xfId="0" applyNumberFormat="1" applyFont="1" applyBorder="1" applyAlignment="1">
      <alignment horizontal="center" vertical="center"/>
    </xf>
    <xf numFmtId="14" fontId="10" fillId="0" borderId="2" xfId="0" applyNumberFormat="1" applyFont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31" fillId="9" borderId="10" xfId="0" applyFont="1" applyFill="1" applyBorder="1" applyAlignment="1">
      <alignment horizontal="center" vertical="center"/>
    </xf>
    <xf numFmtId="14" fontId="10" fillId="10" borderId="11" xfId="0" applyNumberFormat="1" applyFont="1" applyFill="1" applyBorder="1" applyAlignment="1">
      <alignment horizontal="center" vertical="center"/>
    </xf>
    <xf numFmtId="14" fontId="10" fillId="10" borderId="12" xfId="0" applyNumberFormat="1" applyFont="1" applyFill="1" applyBorder="1" applyAlignment="1">
      <alignment horizontal="center" vertical="center"/>
    </xf>
    <xf numFmtId="14" fontId="10" fillId="10" borderId="2" xfId="0" applyNumberFormat="1" applyFont="1" applyFill="1" applyBorder="1" applyAlignment="1">
      <alignment horizontal="center" vertical="center"/>
    </xf>
    <xf numFmtId="0" fontId="24" fillId="6" borderId="1" xfId="3" applyBorder="1" applyAlignment="1">
      <alignment horizontal="center" vertical="center"/>
    </xf>
    <xf numFmtId="0" fontId="31" fillId="9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9" fillId="0" borderId="11" xfId="0" applyNumberFormat="1" applyFont="1" applyBorder="1" applyAlignment="1">
      <alignment horizontal="center" vertical="center"/>
    </xf>
    <xf numFmtId="14" fontId="19" fillId="0" borderId="12" xfId="0" applyNumberFormat="1" applyFont="1" applyBorder="1" applyAlignment="1">
      <alignment horizontal="center" vertical="center"/>
    </xf>
    <xf numFmtId="14" fontId="19" fillId="0" borderId="2" xfId="0" applyNumberFormat="1" applyFont="1" applyBorder="1" applyAlignment="1">
      <alignment horizontal="center" vertical="center"/>
    </xf>
    <xf numFmtId="14" fontId="22" fillId="7" borderId="11" xfId="2" applyNumberFormat="1" applyFill="1" applyBorder="1" applyAlignment="1">
      <alignment horizontal="center" vertical="center"/>
    </xf>
    <xf numFmtId="14" fontId="22" fillId="7" borderId="12" xfId="2" applyNumberFormat="1" applyFill="1" applyBorder="1" applyAlignment="1">
      <alignment horizontal="center" vertical="center"/>
    </xf>
    <xf numFmtId="14" fontId="22" fillId="7" borderId="2" xfId="2" applyNumberFormat="1" applyFill="1" applyBorder="1" applyAlignment="1">
      <alignment horizontal="center" vertical="center"/>
    </xf>
    <xf numFmtId="14" fontId="22" fillId="5" borderId="11" xfId="2" applyNumberFormat="1" applyBorder="1" applyAlignment="1">
      <alignment horizontal="center" vertical="center"/>
    </xf>
    <xf numFmtId="14" fontId="22" fillId="5" borderId="12" xfId="2" applyNumberFormat="1" applyBorder="1" applyAlignment="1">
      <alignment horizontal="center" vertical="center"/>
    </xf>
    <xf numFmtId="14" fontId="22" fillId="5" borderId="2" xfId="2" applyNumberFormat="1" applyBorder="1" applyAlignment="1">
      <alignment horizontal="center" vertical="center"/>
    </xf>
    <xf numFmtId="0" fontId="29" fillId="12" borderId="0" xfId="0" applyFont="1" applyFill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36" fillId="7" borderId="12" xfId="2" applyNumberFormat="1" applyFont="1" applyFill="1" applyBorder="1" applyAlignment="1">
      <alignment horizontal="center" vertical="center"/>
    </xf>
    <xf numFmtId="14" fontId="36" fillId="7" borderId="2" xfId="2" applyNumberFormat="1" applyFont="1" applyFill="1" applyBorder="1" applyAlignment="1">
      <alignment horizontal="center" vertical="center"/>
    </xf>
    <xf numFmtId="0" fontId="28" fillId="14" borderId="3" xfId="0" applyFont="1" applyFill="1" applyBorder="1" applyAlignment="1">
      <alignment horizontal="center" vertical="center"/>
    </xf>
    <xf numFmtId="0" fontId="28" fillId="14" borderId="4" xfId="0" applyFont="1" applyFill="1" applyBorder="1" applyAlignment="1">
      <alignment horizontal="center" vertical="center"/>
    </xf>
    <xf numFmtId="0" fontId="11" fillId="4" borderId="3" xfId="1" applyBorder="1" applyAlignment="1">
      <alignment horizontal="center"/>
    </xf>
    <xf numFmtId="0" fontId="11" fillId="4" borderId="4" xfId="1" applyBorder="1" applyAlignment="1">
      <alignment horizontal="center"/>
    </xf>
    <xf numFmtId="0" fontId="31" fillId="14" borderId="1" xfId="0" applyFont="1" applyFill="1" applyBorder="1" applyAlignment="1">
      <alignment horizontal="center" vertical="center"/>
    </xf>
    <xf numFmtId="0" fontId="22" fillId="5" borderId="3" xfId="2" applyBorder="1" applyAlignment="1">
      <alignment horizontal="center"/>
    </xf>
    <xf numFmtId="0" fontId="22" fillId="5" borderId="4" xfId="2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1" fillId="4" borderId="1" xfId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10" fillId="26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5" fillId="9" borderId="5" xfId="0" applyFont="1" applyFill="1" applyBorder="1" applyAlignment="1">
      <alignment horizontal="center" vertical="center"/>
    </xf>
    <xf numFmtId="0" fontId="35" fillId="9" borderId="7" xfId="0" applyFont="1" applyFill="1" applyBorder="1" applyAlignment="1">
      <alignment horizontal="center" vertical="center"/>
    </xf>
    <xf numFmtId="0" fontId="35" fillId="9" borderId="6" xfId="0" applyFont="1" applyFill="1" applyBorder="1" applyAlignment="1">
      <alignment horizontal="center" vertical="center"/>
    </xf>
    <xf numFmtId="0" fontId="35" fillId="9" borderId="8" xfId="0" applyFont="1" applyFill="1" applyBorder="1" applyAlignment="1">
      <alignment horizontal="center" vertical="center"/>
    </xf>
    <xf numFmtId="0" fontId="35" fillId="9" borderId="10" xfId="0" applyFont="1" applyFill="1" applyBorder="1" applyAlignment="1">
      <alignment horizontal="center" vertical="center"/>
    </xf>
    <xf numFmtId="0" fontId="35" fillId="9" borderId="9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24" fillId="6" borderId="10" xfId="3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6" fillId="9" borderId="1" xfId="0" applyFont="1" applyFill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0" fontId="10" fillId="21" borderId="1" xfId="0" applyFont="1" applyFill="1" applyBorder="1" applyAlignment="1">
      <alignment horizontal="center"/>
    </xf>
    <xf numFmtId="0" fontId="10" fillId="21" borderId="1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21" borderId="5" xfId="0" applyFill="1" applyBorder="1" applyAlignment="1">
      <alignment horizontal="center" vertical="center"/>
    </xf>
    <xf numFmtId="0" fontId="0" fillId="21" borderId="7" xfId="0" applyFill="1" applyBorder="1" applyAlignment="1">
      <alignment horizontal="center" vertical="center"/>
    </xf>
    <xf numFmtId="0" fontId="0" fillId="21" borderId="6" xfId="0" applyFill="1" applyBorder="1" applyAlignment="1">
      <alignment horizontal="center" vertical="center"/>
    </xf>
    <xf numFmtId="0" fontId="0" fillId="21" borderId="8" xfId="0" applyFill="1" applyBorder="1" applyAlignment="1">
      <alignment horizontal="center" vertical="center"/>
    </xf>
    <xf numFmtId="0" fontId="0" fillId="21" borderId="10" xfId="0" applyFill="1" applyBorder="1" applyAlignment="1">
      <alignment horizontal="center" vertical="center"/>
    </xf>
    <xf numFmtId="0" fontId="0" fillId="21" borderId="9" xfId="0" applyFill="1" applyBorder="1" applyAlignment="1">
      <alignment horizontal="center" vertical="center"/>
    </xf>
    <xf numFmtId="0" fontId="0" fillId="21" borderId="5" xfId="0" applyFill="1" applyBorder="1" applyAlignment="1">
      <alignment horizontal="center"/>
    </xf>
    <xf numFmtId="0" fontId="0" fillId="21" borderId="7" xfId="0" applyFill="1" applyBorder="1" applyAlignment="1">
      <alignment horizontal="center"/>
    </xf>
    <xf numFmtId="0" fontId="0" fillId="21" borderId="6" xfId="0" applyFill="1" applyBorder="1" applyAlignment="1">
      <alignment horizontal="center"/>
    </xf>
    <xf numFmtId="0" fontId="0" fillId="21" borderId="8" xfId="0" applyFill="1" applyBorder="1" applyAlignment="1">
      <alignment horizontal="center"/>
    </xf>
    <xf numFmtId="0" fontId="0" fillId="21" borderId="10" xfId="0" applyFill="1" applyBorder="1" applyAlignment="1">
      <alignment horizontal="center"/>
    </xf>
    <xf numFmtId="0" fontId="0" fillId="21" borderId="9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14" fontId="14" fillId="0" borderId="13" xfId="0" applyNumberFormat="1" applyFont="1" applyBorder="1" applyAlignment="1">
      <alignment horizontal="center" vertical="center"/>
    </xf>
    <xf numFmtId="14" fontId="14" fillId="0" borderId="8" xfId="0" applyNumberFormat="1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20" fontId="14" fillId="0" borderId="11" xfId="0" applyNumberFormat="1" applyFont="1" applyBorder="1" applyAlignment="1">
      <alignment horizontal="center" vertical="center"/>
    </xf>
    <xf numFmtId="20" fontId="14" fillId="0" borderId="2" xfId="0" applyNumberFormat="1" applyFont="1" applyBorder="1" applyAlignment="1">
      <alignment horizontal="center" vertical="center"/>
    </xf>
    <xf numFmtId="20" fontId="14" fillId="0" borderId="5" xfId="0" applyNumberFormat="1" applyFont="1" applyBorder="1" applyAlignment="1">
      <alignment horizontal="center" vertical="center"/>
    </xf>
    <xf numFmtId="20" fontId="14" fillId="0" borderId="8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4" fillId="0" borderId="11" xfId="0" applyNumberFormat="1" applyFont="1" applyBorder="1" applyAlignment="1">
      <alignment horizontal="center" vertical="center"/>
    </xf>
    <xf numFmtId="14" fontId="14" fillId="0" borderId="12" xfId="0" applyNumberFormat="1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5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0C4DE"/>
      <rgbColor rgb="FF808080"/>
      <rgbColor rgb="FF9999FF"/>
      <rgbColor rgb="FF993366"/>
      <rgbColor rgb="FFE2EFDA"/>
      <rgbColor rgb="FFCCFFFF"/>
      <rgbColor rgb="FF660066"/>
      <rgbColor rgb="FFFF6B6B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87CEEB"/>
      <rgbColor rgb="FFFF69B4"/>
      <rgbColor rgb="FFCC99FF"/>
      <rgbColor rgb="FFD2B48C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50A28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ustomXml" Target="../ink/ink3.xml"/><Relationship Id="rId18" Type="http://schemas.openxmlformats.org/officeDocument/2006/relationships/image" Target="../media/image6.png"/><Relationship Id="rId26" Type="http://schemas.openxmlformats.org/officeDocument/2006/relationships/image" Target="../media/image14.png"/><Relationship Id="rId39" Type="http://schemas.openxmlformats.org/officeDocument/2006/relationships/customXml" Target="../ink/ink16.xml"/><Relationship Id="rId21" Type="http://schemas.openxmlformats.org/officeDocument/2006/relationships/customXml" Target="../ink/ink7.xml"/><Relationship Id="rId34" Type="http://schemas.openxmlformats.org/officeDocument/2006/relationships/image" Target="../media/image18.png"/><Relationship Id="rId42" Type="http://schemas.openxmlformats.org/officeDocument/2006/relationships/image" Target="../media/image22.png"/><Relationship Id="rId12" Type="http://schemas.openxmlformats.org/officeDocument/2006/relationships/image" Target="../media/image8.png"/><Relationship Id="rId17" Type="http://schemas.openxmlformats.org/officeDocument/2006/relationships/customXml" Target="../ink/ink5.xml"/><Relationship Id="rId25" Type="http://schemas.openxmlformats.org/officeDocument/2006/relationships/customXml" Target="../ink/ink9.xml"/><Relationship Id="rId33" Type="http://schemas.openxmlformats.org/officeDocument/2006/relationships/customXml" Target="../ink/ink13.xml"/><Relationship Id="rId38" Type="http://schemas.openxmlformats.org/officeDocument/2006/relationships/image" Target="../media/image20.png"/><Relationship Id="rId16" Type="http://schemas.openxmlformats.org/officeDocument/2006/relationships/image" Target="../media/image12.png"/><Relationship Id="rId20" Type="http://schemas.openxmlformats.org/officeDocument/2006/relationships/image" Target="../media/image11.png"/><Relationship Id="rId29" Type="http://schemas.openxmlformats.org/officeDocument/2006/relationships/customXml" Target="../ink/ink11.xml"/><Relationship Id="rId41" Type="http://schemas.openxmlformats.org/officeDocument/2006/relationships/customXml" Target="../ink/ink17.xml"/><Relationship Id="rId1" Type="http://schemas.openxmlformats.org/officeDocument/2006/relationships/customXml" Target="../ink/ink1.xml"/><Relationship Id="rId11" Type="http://schemas.openxmlformats.org/officeDocument/2006/relationships/customXml" Target="../ink/ink2.xml"/><Relationship Id="rId24" Type="http://schemas.openxmlformats.org/officeDocument/2006/relationships/image" Target="../media/image13.png"/><Relationship Id="rId32" Type="http://schemas.openxmlformats.org/officeDocument/2006/relationships/image" Target="../media/image17.png"/><Relationship Id="rId37" Type="http://schemas.openxmlformats.org/officeDocument/2006/relationships/customXml" Target="../ink/ink15.xml"/><Relationship Id="rId40" Type="http://schemas.openxmlformats.org/officeDocument/2006/relationships/image" Target="../media/image21.png"/><Relationship Id="rId15" Type="http://schemas.openxmlformats.org/officeDocument/2006/relationships/customXml" Target="../ink/ink4.xml"/><Relationship Id="rId23" Type="http://schemas.openxmlformats.org/officeDocument/2006/relationships/customXml" Target="../ink/ink8.xml"/><Relationship Id="rId28" Type="http://schemas.openxmlformats.org/officeDocument/2006/relationships/image" Target="../media/image15.png"/><Relationship Id="rId36" Type="http://schemas.openxmlformats.org/officeDocument/2006/relationships/image" Target="../media/image19.png"/><Relationship Id="rId10" Type="http://schemas.openxmlformats.org/officeDocument/2006/relationships/image" Target="../media/image7.png"/><Relationship Id="rId19" Type="http://schemas.openxmlformats.org/officeDocument/2006/relationships/customXml" Target="../ink/ink6.xml"/><Relationship Id="rId31" Type="http://schemas.openxmlformats.org/officeDocument/2006/relationships/customXml" Target="../ink/ink12.xml"/><Relationship Id="rId14" Type="http://schemas.openxmlformats.org/officeDocument/2006/relationships/image" Target="../media/image9.png"/><Relationship Id="rId22" Type="http://schemas.openxmlformats.org/officeDocument/2006/relationships/image" Target="../media/image120.png"/><Relationship Id="rId27" Type="http://schemas.openxmlformats.org/officeDocument/2006/relationships/customXml" Target="../ink/ink10.xml"/><Relationship Id="rId30" Type="http://schemas.openxmlformats.org/officeDocument/2006/relationships/image" Target="../media/image16.png"/><Relationship Id="rId35" Type="http://schemas.openxmlformats.org/officeDocument/2006/relationships/customXml" Target="../ink/ink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65497</xdr:colOff>
      <xdr:row>45</xdr:row>
      <xdr:rowOff>54708</xdr:rowOff>
    </xdr:from>
    <xdr:to>
      <xdr:col>1</xdr:col>
      <xdr:colOff>65857</xdr:colOff>
      <xdr:row>45</xdr:row>
      <xdr:rowOff>55068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14:cNvPr>
            <xdr14:cNvContentPartPr/>
          </xdr14:nvContentPartPr>
          <xdr14:nvPr macro=""/>
          <xdr14:xfrm>
            <a:off x="678600" y="321876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72480" y="32126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196513</xdr:colOff>
      <xdr:row>43</xdr:row>
      <xdr:rowOff>141830</xdr:rowOff>
    </xdr:from>
    <xdr:to>
      <xdr:col>5</xdr:col>
      <xdr:colOff>133802</xdr:colOff>
      <xdr:row>43</xdr:row>
      <xdr:rowOff>142550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14:cNvPr>
            <xdr14:cNvContentPartPr/>
          </xdr14:nvContentPartPr>
          <xdr14:nvPr macro=""/>
          <xdr14:xfrm>
            <a:off x="1422720" y="2933640"/>
            <a:ext cx="2080800" cy="72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416600" y="2921400"/>
              <a:ext cx="209304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140353</xdr:colOff>
      <xdr:row>42</xdr:row>
      <xdr:rowOff>86030</xdr:rowOff>
    </xdr:from>
    <xdr:to>
      <xdr:col>5</xdr:col>
      <xdr:colOff>223802</xdr:colOff>
      <xdr:row>43</xdr:row>
      <xdr:rowOff>164510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14:cNvPr>
            <xdr14:cNvContentPartPr/>
          </xdr14:nvContentPartPr>
          <xdr14:nvPr macro=""/>
          <xdr14:xfrm>
            <a:off x="1366560" y="2691720"/>
            <a:ext cx="2226960" cy="2646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360440" y="2685600"/>
              <a:ext cx="2239200" cy="27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200160</xdr:colOff>
      <xdr:row>32</xdr:row>
      <xdr:rowOff>43557</xdr:rowOff>
    </xdr:from>
    <xdr:to>
      <xdr:col>2</xdr:col>
      <xdr:colOff>136903</xdr:colOff>
      <xdr:row>50</xdr:row>
      <xdr:rowOff>118841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14:cNvPr>
            <xdr14:cNvContentPartPr/>
          </xdr14:nvContentPartPr>
          <xdr14:nvPr macro=""/>
          <xdr14:xfrm>
            <a:off x="200160" y="817947"/>
            <a:ext cx="1160280" cy="356004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94053" y="811776"/>
              <a:ext cx="1172493" cy="35723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404287</xdr:colOff>
      <xdr:row>48</xdr:row>
      <xdr:rowOff>170540</xdr:rowOff>
    </xdr:from>
    <xdr:to>
      <xdr:col>4</xdr:col>
      <xdr:colOff>503890</xdr:colOff>
      <xdr:row>48</xdr:row>
      <xdr:rowOff>171260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14:cNvPr>
            <xdr14:cNvContentPartPr/>
          </xdr14:nvContentPartPr>
          <xdr14:nvPr macro=""/>
          <xdr14:xfrm>
            <a:off x="2237400" y="3944597"/>
            <a:ext cx="710640" cy="72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231280" y="3932357"/>
              <a:ext cx="72288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610685</xdr:colOff>
      <xdr:row>49</xdr:row>
      <xdr:rowOff>133758</xdr:rowOff>
    </xdr:from>
    <xdr:to>
      <xdr:col>2</xdr:col>
      <xdr:colOff>789490</xdr:colOff>
      <xdr:row>51</xdr:row>
      <xdr:rowOff>47591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14:cNvPr>
            <xdr14:cNvContentPartPr/>
          </xdr14:nvContentPartPr>
          <xdr14:nvPr macro=""/>
          <xdr14:xfrm>
            <a:off x="1832760" y="4096517"/>
            <a:ext cx="181440" cy="29124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1826640" y="4090397"/>
              <a:ext cx="193680" cy="30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224647</xdr:colOff>
      <xdr:row>49</xdr:row>
      <xdr:rowOff>89478</xdr:rowOff>
    </xdr:from>
    <xdr:to>
      <xdr:col>3</xdr:col>
      <xdr:colOff>514807</xdr:colOff>
      <xdr:row>51</xdr:row>
      <xdr:rowOff>162791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14:cNvPr>
            <xdr14:cNvContentPartPr/>
          </xdr14:nvContentPartPr>
          <xdr14:nvPr macro=""/>
          <xdr14:xfrm>
            <a:off x="2057760" y="4052237"/>
            <a:ext cx="290160" cy="45072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051640" y="4046117"/>
              <a:ext cx="302400" cy="462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595087</xdr:colOff>
      <xdr:row>50</xdr:row>
      <xdr:rowOff>166455</xdr:rowOff>
    </xdr:from>
    <xdr:to>
      <xdr:col>4</xdr:col>
      <xdr:colOff>26890</xdr:colOff>
      <xdr:row>51</xdr:row>
      <xdr:rowOff>72792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14:cNvPr>
            <xdr14:cNvContentPartPr/>
          </xdr14:nvContentPartPr>
          <xdr14:nvPr macro=""/>
          <xdr14:xfrm>
            <a:off x="2428200" y="4317917"/>
            <a:ext cx="42840" cy="9504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422080" y="4311797"/>
              <a:ext cx="55080" cy="10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98889</xdr:colOff>
      <xdr:row>49</xdr:row>
      <xdr:rowOff>107118</xdr:rowOff>
    </xdr:from>
    <xdr:to>
      <xdr:col>5</xdr:col>
      <xdr:colOff>205331</xdr:colOff>
      <xdr:row>51</xdr:row>
      <xdr:rowOff>64151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14:cNvPr>
            <xdr14:cNvContentPartPr/>
          </xdr14:nvContentPartPr>
          <xdr14:nvPr macro=""/>
          <xdr14:xfrm>
            <a:off x="2543040" y="4069877"/>
            <a:ext cx="717480" cy="33444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536920" y="4063757"/>
              <a:ext cx="729720" cy="34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591965</xdr:colOff>
      <xdr:row>49</xdr:row>
      <xdr:rowOff>99918</xdr:rowOff>
    </xdr:from>
    <xdr:to>
      <xdr:col>2</xdr:col>
      <xdr:colOff>767530</xdr:colOff>
      <xdr:row>51</xdr:row>
      <xdr:rowOff>33191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14:cNvPr>
            <xdr14:cNvContentPartPr/>
          </xdr14:nvContentPartPr>
          <xdr14:nvPr macro=""/>
          <xdr14:xfrm>
            <a:off x="1814040" y="4062677"/>
            <a:ext cx="178200" cy="31068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807920" y="4056557"/>
              <a:ext cx="190440" cy="32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563525</xdr:colOff>
      <xdr:row>49</xdr:row>
      <xdr:rowOff>78318</xdr:rowOff>
    </xdr:from>
    <xdr:to>
      <xdr:col>2</xdr:col>
      <xdr:colOff>899290</xdr:colOff>
      <xdr:row>51</xdr:row>
      <xdr:rowOff>42191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14:cNvPr>
            <xdr14:cNvContentPartPr/>
          </xdr14:nvContentPartPr>
          <xdr14:nvPr macro=""/>
          <xdr14:xfrm>
            <a:off x="1785600" y="4041077"/>
            <a:ext cx="338400" cy="34128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779480" y="4034957"/>
              <a:ext cx="350640" cy="35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285009</xdr:colOff>
      <xdr:row>101</xdr:row>
      <xdr:rowOff>17244</xdr:rowOff>
    </xdr:from>
    <xdr:to>
      <xdr:col>5</xdr:col>
      <xdr:colOff>315491</xdr:colOff>
      <xdr:row>103</xdr:row>
      <xdr:rowOff>7399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14:cNvPr>
            <xdr14:cNvContentPartPr/>
          </xdr14:nvContentPartPr>
          <xdr14:nvPr macro=""/>
          <xdr14:xfrm>
            <a:off x="2729160" y="13792551"/>
            <a:ext cx="641520" cy="3675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2723040" y="13786431"/>
              <a:ext cx="6537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167052</xdr:colOff>
      <xdr:row>36</xdr:row>
      <xdr:rowOff>78663</xdr:rowOff>
    </xdr:from>
    <xdr:to>
      <xdr:col>13</xdr:col>
      <xdr:colOff>187212</xdr:colOff>
      <xdr:row>38</xdr:row>
      <xdr:rowOff>127438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14:cNvPr>
            <xdr14:cNvContentPartPr/>
          </xdr14:nvContentPartPr>
          <xdr14:nvPr macro=""/>
          <xdr14:xfrm>
            <a:off x="8081640" y="1571240"/>
            <a:ext cx="20160" cy="42192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8075520" y="1565187"/>
              <a:ext cx="32400" cy="434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390231</xdr:colOff>
      <xdr:row>34</xdr:row>
      <xdr:rowOff>183607</xdr:rowOff>
    </xdr:from>
    <xdr:to>
      <xdr:col>21</xdr:col>
      <xdr:colOff>116937</xdr:colOff>
      <xdr:row>38</xdr:row>
      <xdr:rowOff>41758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14:cNvPr>
            <xdr14:cNvContentPartPr/>
          </xdr14:nvContentPartPr>
          <xdr14:nvPr macro=""/>
          <xdr14:xfrm>
            <a:off x="12566520" y="1303040"/>
            <a:ext cx="335520" cy="60444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2560478" y="1297135"/>
              <a:ext cx="347604" cy="61625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523528</xdr:colOff>
      <xdr:row>33</xdr:row>
      <xdr:rowOff>117099</xdr:rowOff>
    </xdr:from>
    <xdr:to>
      <xdr:col>6</xdr:col>
      <xdr:colOff>276873</xdr:colOff>
      <xdr:row>37</xdr:row>
      <xdr:rowOff>108811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14:cNvPr>
            <xdr14:cNvContentPartPr/>
          </xdr14:nvContentPartPr>
          <xdr14:nvPr macro=""/>
          <xdr14:xfrm>
            <a:off x="3567600" y="1049960"/>
            <a:ext cx="362160" cy="7380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561552" y="1044017"/>
              <a:ext cx="374256" cy="749886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250739</xdr:colOff>
      <xdr:row>44</xdr:row>
      <xdr:rowOff>186381</xdr:rowOff>
    </xdr:from>
    <xdr:to>
      <xdr:col>13</xdr:col>
      <xdr:colOff>555882</xdr:colOff>
      <xdr:row>49</xdr:row>
      <xdr:rowOff>156863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C41866B-AC5B-BE43-EBD0-B517C45CBB1F}"/>
            </a:ext>
          </a:extLst>
        </xdr:cNvPr>
        <xdr:cNvSpPr txBox="1"/>
      </xdr:nvSpPr>
      <xdr:spPr>
        <a:xfrm>
          <a:off x="7561820" y="3206922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12</xdr:col>
      <xdr:colOff>250739</xdr:colOff>
      <xdr:row>44</xdr:row>
      <xdr:rowOff>66245</xdr:rowOff>
    </xdr:from>
    <xdr:to>
      <xdr:col>13</xdr:col>
      <xdr:colOff>555882</xdr:colOff>
      <xdr:row>46</xdr:row>
      <xdr:rowOff>170366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D23009D-5606-67A7-B68A-D04190412548}"/>
            </a:ext>
          </a:extLst>
        </xdr:cNvPr>
        <xdr:cNvSpPr txBox="1"/>
      </xdr:nvSpPr>
      <xdr:spPr>
        <a:xfrm>
          <a:off x="7591959" y="3163806"/>
          <a:ext cx="916911" cy="49131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11</xdr:col>
      <xdr:colOff>609403</xdr:colOff>
      <xdr:row>143</xdr:row>
      <xdr:rowOff>137626</xdr:rowOff>
    </xdr:from>
    <xdr:to>
      <xdr:col>11</xdr:col>
      <xdr:colOff>890196</xdr:colOff>
      <xdr:row>143</xdr:row>
      <xdr:rowOff>170746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14:cNvPr>
            <xdr14:cNvContentPartPr/>
          </xdr14:nvContentPartPr>
          <xdr14:nvPr macro=""/>
          <xdr14:xfrm>
            <a:off x="7338854" y="22401346"/>
            <a:ext cx="281160" cy="3312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7332734" y="22395226"/>
              <a:ext cx="293400" cy="4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472628</xdr:colOff>
      <xdr:row>141</xdr:row>
      <xdr:rowOff>178502</xdr:rowOff>
    </xdr:from>
    <xdr:to>
      <xdr:col>11</xdr:col>
      <xdr:colOff>615479</xdr:colOff>
      <xdr:row>143</xdr:row>
      <xdr:rowOff>147707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14:cNvPr>
            <xdr14:cNvContentPartPr/>
          </xdr14:nvContentPartPr>
          <xdr14:nvPr macro=""/>
          <xdr14:xfrm>
            <a:off x="5366774" y="22055026"/>
            <a:ext cx="2052360" cy="35640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360668" y="22048850"/>
              <a:ext cx="2064572" cy="36875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19.751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24.510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5747 15 23619,'-5747'0'0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33.085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156 743 24575,'-2'0'0,"0"-1"0,0 1 0,-1-1 0,1 0 0,0 0 0,0 0 0,0 0 0,0 0 0,-1 0 0,2-1 0,-1 1 0,0 0 0,0-1 0,0 0 0,1 1 0,0-2 0,0 1 0,-1-1 0,1 1 0,-3-3 0,-21-49 0,22 46 0,-27-57 0,18 42 0,1 1 0,-15-46 0,24 61 0,0 1 0,1-2 0,0 1 0,0-1 0,1 1 0,0 0 0,0 0 0,0-1 0,1 1 0,0-1 0,1 1 0,-1 0 0,1 3 0,6-12 0,-6 13 0,0-2 0,1 2 0,0-1 0,-1 1 0,2 0 0,-1-1 0,0 2 0,1-1 0,0 1 0,-1-1 0,1 1 0,0 0 0,0 0 0,0 2 0,0-2 0,0 1 0,-1 0 0,1-1 0,-1 1 0,1 1 0,6-1 0,16 0 0,-3 0 0,42 5 0,-29-1 0,-1-3 0,-2-1 0,2-3 0,45-11 0,-39 9 0,77-1 0,-74 6 0,62-9 0,-29 3 0,-1 0 0,113 6 0,50-2 0,-148-12 0,-64 9 0,2 2 0,27-2 0,287 6 0,-156 1 0,-160-2 0,-1-3 0,36-8 0,37-1 0,-13 12 0,-60 2 0,-1-1 0,0-1 0,1-1 0,1-3 0,-1 1 0,29-11 0,-25 7 0,2 0 0,2 2 0,-2 0 0,-1 3 0,61 0 0,6-1 0,-1-10 0,-65 8 0,52-4 0,12 9 0,-43 1 0,-3-1 0,87-14 0,-68-2 0,-31 9 0,-2 1 0,2 1 0,49-1 0,24 8 0,-25 1 0,-1-4 0,114-17 0,-116 10 0,-1 3 0,130 7 0,-71 1 0,917-2 0,-1050 1 0,1 0 0,1 0 0,-1 0 0,0 1 0,-1 1 0,0 0 0,1 0 0,-1 1 0,13 7 0,16 6 0,24 5 0,-44-17 0,-1 0 0,0 1 0,29 17 0,-41-20 0,1 1 0,0 0 0,-1-1 0,1 1 0,-1 0 0,0 2 0,0-3 0,1 2 0,-2 0 0,0 0 0,0-2 0,0 4 0,0-2 0,-1 2 0,3 8 0,0 14 0,-1-1 0,-1-1 0,-1 3 0,-1-1 0,-5 35 0,1 13 0,4-70 0,-1 1 0,0-1 0,-1 0 0,1 0 0,-1 0 0,-1 1 0,0-1 0,0 0 0,0-1 0,0 0 0,-1 2 0,0-1 0,-1-1 0,1 1 0,-1-3 0,-1 1 0,0 1 0,1-2 0,-1 2 0,0-1 0,0-1 0,-1 0 0,2 0 0,-2 1 0,1-2 0,-1 1 0,-9 2 0,-44 35 0,50-35 0,0 0 0,-1 1 0,1-2 0,-1 1 0,1-2 0,-18 9 0,-3-6-1365,4-3-5461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44.11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3200 5706 24575,'-4'-1'0,"-1"0"0,1-2 0,0 2 0,0-1 0,0 0 0,1 0 0,-1-1 0,0 1 0,1-1 0,-1 1 0,-3-4 0,-3-5 0,-117-102 0,44 38 0,-200-219 0,210 211 0,24 25 0,3 1 0,3-4 0,1-2 0,4-2 0,2-2 0,4 1 0,3-4 0,-28-92 0,49 136 0,-126-395 0,109 366 0,19 45 0,0 2 0,2-2 0,-2-1 0,3 1 0,-1-1 0,1 0 0,-2-14 0,2-214-9,5 147-1347,-1 63-5470</inkml:trace>
  <inkml:trace contextRef="#ctx0" brushRef="#br0" timeOffset="1239.51">1640 3474 24575,'9'-32'0,"0"7"0,47-191 0,-45 176 0,-10 38 0,0-2 0,-1 1 0,2 0 0,0-1 0,-1 0 0,1 1 0,0 1 0,2-1 0,-2 0 0,0 0 0,1 1 0,0 0 0,0 0 0,-1 0 0,1-3 0,0 3 0,5-3 0,-1 2 0,1 1 0,-1-1 0,1-1 0,0 3 0,1-1 0,-2 1 0,1 1 0,9-1 0,6 3 0,2 0 0,-1 4 0,-1-2 0,34 13 0,93 24 0,-101-25-1365,-30-10-5461</inkml:trace>
  <inkml:trace contextRef="#ctx0" brushRef="#br0" timeOffset="3322.27">1223 0 24575,'14'9'0,"-2"1"0,1 1 0,-2-2 0,1 2 0,12 16 0,30 25 0,30 13 0,-57-48 0,-1 0 0,-1 4 0,-1 0 0,0 1 0,24 33 0,-20-25 0,-24-27 0,1 0 0,-1 2 0,0 1 0,0-1 0,0 0 0,-1 0 0,4 7 0,-6-11 0,-1 1 0,1 0 0,-1-1 0,0 1 0,0 0 0,0 1 0,0-1 0,0-1 0,0 1 0,0-1 0,0 3 0,-1-1 0,1-1 0,-1 0 0,0-1 0,1 1 0,-1 0 0,0-1 0,0 1 0,0 0 0,0-1 0,0 1 0,0-1 0,-1 1 0,1-1 0,0 0 0,-4 4 0,-18 14 0,-36 25 0,45-36 0,0 2 0,1 0 0,0 0 0,1 1 0,0 0 0,1 3 0,0-2 0,1 2 0,-13 20 0,-72 114 0,94-146 0,0 0 0,0 0 0,0 0 0,0 0 0,0 0 0,0 0 0,0 1 0,1-1 0,-1 0 0,1 0 0,-1 1 0,1 0 0,0-1 0,0 0 0,0 1 0,0-1 0,1 0 0,-1 1 0,1-1 0,-1 0 0,1 0 0,0 0 0,-1 1 0,3 2 0,-1-3 0,1 1 0,-1-1 0,1 1 0,0-1 0,-1 0 0,1-1 0,0 1 0,0-1 0,0 1 0,0-1 0,0 0 0,2 0 0,-2-1 0,0 1 0,4 0 0,10 2 0,-1-2 0,-1-1 0,3-1 0,-2 0 0,28-7 0,-21 2 0,-7 0 0,-1 2 0,0 1 0,0 1 0,18-2 0,-31 4 0,-1 0 0,1 0 0,0 0 0,0 0 0,0 0 0,0 0 0,-1 0 0,1 0 0,0 1 0,0-1 0,0 1 0,-1 0 0,1-1 0,0 1 0,-1 0 0,1 0 0,-1 0 0,1 0 0,-1 0 0,1 0 0,-1 0 0,0 1 0,1-1 0,-1 1 0,0 0 0,0-1 0,0 1 0,0 0 0,0-1 0,0 1 0,-1 0 0,1-1 0,0 1 0,-1 1 0,0-1 0,1-1 0,-1 0 0,0 1 0,0 0 0,0 0 0,0 0 0,0 2 0,-2 8 0,0-4 0,-1 1 0,0 0 0,0-1 0,-1 2 0,-5 8 0,-13 41 0,19-45 0,0-2 0,1 1 0,0-1 0,1 1 0,0-1 0,1 1 0,2 20 0,-1-29 0,0 1 0,0 0 0,1 0 0,0-1 0,0 1 0,0 0 0,0-1 0,1 2 0,-1-2 0,1 1 0,0-1 0,0-1 0,1 1 0,-1-1 0,1 1 0,0-1 0,0 0 0,0 0 0,1 1 0,-1-3 0,4 4 0,7 2 0,-1 2 0,1 0 0,-3 2 0,1 1 0,-1-2 0,1 4 0,20 24 0,-1 6 0,29 52 0,-54-84-227,-1 0-1,0 2 1,0-2-1,-2 1 1,6 22-1,-5-8-6598</inkml:trace>
  <inkml:trace contextRef="#ctx0" brushRef="#br0" timeOffset="6391.03">921 1427 24575,'6'2'0,"-2"1"0,2-1 0,-1 1 0,0-1 0,0 1 0,0 1 0,-1 0 0,1-2 0,-1 2 0,0-1 0,0 3 0,7 8 0,2 0 0,6 6 0,-1-1 0,0 2 0,-1-3 0,18 39 0,-30-48 0,-1-1 0,-2 0 0,1 1 0,0 0 0,0-2 0,-1 3 0,0-1 0,-1-1 0,1 2 0,-2-2 0,1-1 0,-2 3 0,1-1 0,-1 1 0,0-1 0,-1 0 0,-4 13 0,3-15 0,0 0 0,0-2 0,-1 3 0,0-2 0,-1 2 0,1-2 0,-1-1 0,1 1 0,-1 0 0,-1-2 0,0 0 0,0 3 0,0-3 0,-14 6 0,14-6 0,-1-1 0,0 1 0,1-1 0,-1-2 0,0 1 0,0 0 0,0 0 0,0-1 0,-1 0 0,1-1 0,0 1 0,-1-1 0,1-1 0,0 1 0,-9-3 0,10 1 0,1 0 0,-2 0 0,3 0 0,-2-2 0,2 1 0,-1-1 0,0 1 0,0-1 0,0 0 0,-7-10 0,2 2 0,1-1 0,-14-27 0,16 25 0,5 14 0,1 0 0,0-2 0,-1 1 0,1 0 0,0 0 0,0 0 0,-1 0 0,0 1 0,0-1 0,0 0 0,0 0 0,0 0 0,0 1 0,-1 0 0,1 0 0,0 0 0,-1 0 0,-3-1 0,6 2 0,-1 1 0,1-1 0,0 1 0,-1-1 0,1 1 0,0-1 0,0 1 0,0 0 0,-2-1 0,2 1 0,0 0 0,0-1 0,0 1 0,0-1 0,0 1 0,0 1 0,0-2 0,2 1 0,-2-1 0,0 1 0,0 0 0,0-1 0,1 1 0,-1-1 0,0 1 0,0-1 0,1 1 0,-1-1 0,1 1 0,-1-1 0,0 1 0,1-1 0,-1 1 0,1-1 0,0 1 0,17 21 0,-12-13 0,-1-1 0,0 2 0,0 1 0,0-1 0,-1 0 0,0 0 0,-1 1 0,0 0 0,-1-1 0,-1 1 0,1 1 0,-1 12 0,1 23 0,-7 71 0,3-89 0,-3 9 0,-2 2 0,-1-3 0,-2 0 0,-28 65 0,-8 30 0,38-110 0,-4 24 0,12-45 0,-1 1 0,1-1 0,0 1 0,-1 1 0,1-2 0,0 1 0,0-1 0,0 1 0,0-1 0,0 0 0,1 1 0,-1-1 0,0 1 0,1-1 0,-1 2 0,1-3 0,0 2 0,-1-1 0,1 0 0,0 2 0,0-3 0,0 2 0,0-1 0,-1-1 0,2 1 0,-1-1 0,0 0 0,0 1 0,0-1 0,0 0 0,1 0 0,-1 0 0,0 0 0,0 0 0,0 0 0,1 0 0,-1 0 0,0 0 0,0-1 0,0 1 0,0 0 0,1-1 0,-1 1 0,-1-1 0,1 1 0,0-2 0,0 2 0,0-1 0,1-1 0,29-21 0,-29 22 0,41-46 0,-30 35 0,0-3 0,1 1 0,28-21 0,-42 34 0,0 1 0,1 0 0,-1-1 0,1 1 0,-1 0 0,0 0 0,1 0 0,-1-1 0,1 1 0,-1 0 0,1 0 0,-1-1 0,1 1 0,-1 0 0,1 0 0,-1 0 0,1 0 0,-1-1 0,0 1 0,1 0 0,-1 0 0,1 0 0,-1 0 0,1 0 0,-1 1 0,2-1 0,-2 0 0,1 0 0,-1 0 0,1 0 0,-1 1 0,1-1 0,-1 0 0,1 0 0,-1 1 0,1-1 0,-1 0 0,1 0 0,0 1 0,-2 26 0,-19 33 0,8-27 0,1-4 0,2 3 0,0 0 0,2 0 0,2 2 0,1-3 0,2 4 0,2 60 0,1-90 0,-1 1 0,1-3 0,0 2 0,1 0 0,0 0 0,0 1 0,0-1 0,1 0 0,-1-2 0,1 1 0,0 0 0,0 0 0,7 7 0,6 3 0,-1-1 0,20 15 0,5 3 0,58 40 0,-73-55 0,-1 3 0,51 41 0,-16 7-1365,-46-50-5461</inkml:trace>
  <inkml:trace contextRef="#ctx0" brushRef="#br0" timeOffset="8061.2">1581 2140 24575,'2'0'0,"-1"0"0,0-1 0,0 1 0,1-1 0,-1 0 0,0 1 0,0-1 0,0 0 0,0 1 0,0-1 0,0 0 0,0 0 0,0 0 0,0 0 0,0 0 0,0 0 0,-1 0 0,0 0 0,0 0 0,1-4 0,14-32 0,-12 28 0,7-17 0,8-24 0,2 4 0,32-61 0,61-102 0,-113 209 0,0 0 0,0 0 0,0 0 0,0 0 0,-1 0 0,1 0 0,0 0 0,0 0 0,0 0 0,0 0 0,0 0 0,0 0 0,-1 0 0,1-1 0,0 1 0,0 0 0,0 0 0,0 0 0,0 0 0,0 0 0,0 0 0,0 0 0,0 0 0,-1 0 0,1 0 0,0 0 0,0 0 0,0 0 0,0 0 0,0 0 0,0-1 0,0 1 0,0 0 0,0 0 0,0 0 0,0 0 0,0 0 0,0-1 0,0 1 0,-23 18 0,-23 34 0,31-30 0,-1 0 0,3 4 0,0-3 0,2 1 0,0 2 0,1-1 0,1 2 0,2 2 0,1-3 0,-5 38 0,8-52 27,0 5 0,-2-2-1,1 0 1,-9 13 0,-9 40-1526,17-44-5327</inkml:trace>
  <inkml:trace contextRef="#ctx0" brushRef="#br0" timeOffset="9745.71">682 1334 24575,'-5'0'0,"-2"6"0,-5 7 0,0 6 0,-4 10 0,-4 6 0,1 1 0,-4 2 0,-1-3 0,5 5 0,0 0 0,4 1 0,4-15 0,4-16 0</inkml:trace>
  <inkml:trace contextRef="#ctx0" brushRef="#br0" timeOffset="11081.52">442 3194 24575,'18'2'0,"1"1"0,-1 1 0,0 0 0,0 2 0,0-1 0,23 12 0,-24-9 0,18 9 0,-1 4 0,-3-2 0,0 3 0,37 30 0,-4-1 0,-28-18 0,-1-1 0,-1 2 0,47 59 0,-42-42 0,-37-49-80,-1-2 39,-1 1-1,1 0 1,1 0-1,-1-1 1,0 1 0,0 0-1,0 1 1,-1-1-1,1 0 1,0 0-1,0 2 1,0-2-1,-1 0 1,1 2-1,-1-2 1,1 0-1,-1 0 1,0 2 0,0-2-1,1 1 1,-1-1-1,0 1 1,0-1-1,0 1 1,0-1-1,-1 0 1,1 0-1,0 2 1,-1-2-1,0 2 1,-8 4-6785</inkml:trace>
  <inkml:trace contextRef="#ctx0" brushRef="#br0" timeOffset="12624.4">352 3535 24575,'8'1'0,"0"0"0,0 0 0,0 1 0,0 0 0,0 1 0,0 0 0,-1 0 0,-1 1 0,2 0 0,5 4 0,65 57 0,-52-38 0,41 53 0,-25-31 0,-20-15 0,0-6 0,-5 5 0,0 1 0,1 2 0,-4 0 0,16 45 0,12 33 0,-26-77 0,-1 3 0,-2-2 0,-2 4 0,-2-3 0,0 2 0,3 60 0,-12-95-49,3 14-83,-2-1 0,-1 2 1,0-1-1,-1 1 1,-1 0-1,-1-2 1,-1 3-1,-1-3 1,-7 19-1,-1-9-6694</inkml:trace>
  <inkml:trace contextRef="#ctx0" brushRef="#br0" timeOffset="13629.25">53 4342 24575,'0'0'0,"10"0"0,9 0 0,4 0 0,7 0 0,4 0 0,10 0 0,2 0 0,2 0 0,1 0 0,-5 0 0,-6 0 0,-3 0 0,-3 0 0,-6 0-8191</inkml:trace>
  <inkml:trace contextRef="#ctx0" brushRef="#br0" timeOffset="15093.62">1011 4031 24575,'-3'3'0,"1"-2"0,-1 0 0,1 1 0,-1 0 0,1-1 0,0 1 0,0 0 0,0 0 0,0 0 0,0 0 0,0 1 0,0-1 0,1-1 0,-1 3 0,1-2 0,0 2 0,0-2 0,0 0 0,0 1 0,0-1 0,0 1 0,1-1 0,-1 1 0,1 1 0,0 4 0,1-7 0,-1 0 0,1-1 0,0 1 0,0 0 0,0-1 0,0 1 0,0-1 0,0 1 0,0-1 0,0 1 0,0-1 0,0 0 0,0 0 0,0 2 0,0-2 0,1 0 0,-1 0 0,0 0 0,0 0 0,0 0 0,0 0 0,0-2 0,0 2 0,0 0 0,0-1 0,0 1 0,0 0 0,0-1 0,0 1 0,0-1 0,0 0 0,0 1 0,0-1 0,1-1 0,34-21 0,-30 19 0,0 1 0,0-1 0,0-1 0,0 3 0,0 0 0,0-1 0,0 1 0,-1 0 0,1 0 0,1 1 0,8-1 0,-12 1 0,0 1 0,-1 0 0,1 0 0,-1 1 0,1-1 0,1 1 0,-2-1 0,1 1 0,-1 0 0,1 0 0,-1 0 0,0 0 0,1 0 0,-1 1 0,0-1 0,0 1 0,0-1 0,0 1 0,0-1 0,1 2 0,-1-1 0,0 1 0,-1-1 0,1 0 0,-1-1 0,1 2 0,-1-1 0,0-1 0,0 2 0,0-1 0,0 1 0,0 3 0,2 9-273,-1 0 0,-1-1 0,0 0 0,-2 19 0,0-5-6553</inkml:trace>
  <inkml:trace contextRef="#ctx0" brushRef="#br0" timeOffset="17734.57">652 4714 24575,'3'39'0,"-2"4"0,-4 41 0,0-48 0,2 3 0,2-3 0,6 44 0,13 24 0,-6-42 0,-4-1 0,2 88 0,-13 396 0,1-539 0,-1 2 0,1-3 0,-1 0 0,0 1 0,0 0 0,0-1 0,-1 0 0,1 1 0,-1 0 0,1 0 0,-2-1 0,0-1 0,-4 4 0,6-4 0,-1 2 0,1-1 0,0-1 0,0 1 0,1-1 0,0 1 0,0 1 0,0-1 0,0-1 0,1 0 0,-1 0 0,1 1 0,2 0 0,-2-1 0,3 7 0,3 18 0,3 85 0,-3 0 0,-8 132 0,-1-102 0,3-24 0,-4 131 0,3-248 0,0 1 0,-1 0 0,1-1 0,-1 0 0,0 0 0,1 0 0,-2 1 0,1-1 0,1 1 0,-2-1 0,1 0 0,0 1 0,-1-1 0,0 0 0,0 0 0,0 1 0,-1-2 0,1 1 0,-2-1 0,1 1 0,0 0 0,0 0 0,0-2 0,0 1 0,0-1 0,0 1 0,0-1 0,-4 2 0,-3-2 0,1 1 0,-2-1 0,2-1 0,-1 0 0,1 0 0,0-1 0,0 0 0,0-1 0,-14-4 0,-17-4 0,-171-50 0,172 46 0,0-3 0,1 0 0,-44-26 0,73 38 0,1-1 0,0-1 0,0 2 0,1-2 0,-11-10 0,17 15 0,0 1 0,0 0 0,0 0 0,0 0 0,0 1 0,0-2 0,1 0 0,-1 1 0,1 0 0,-1-1 0,1 0 0,-1 0 0,1 1 0,0 0 0,-1-1 0,1 1 0,0-1 0,0 1 0,0-1 0,0 1 0,0-1 0,1 2 0,-1-1 0,0-1 0,1 1 0,-1-1 0,1 1 0,-1 0 0,1-2 0,0 2 0,-1 0 0,1 0 0,0 0 0,0-1 0,0-1 0,0 2 0,0 0 0,0 0 0,0 0 0,0 1 0,1-1 0,-1 0 0,0 0 0,0 1 0,1-1 0,1 0 0,12-6 0,1-1 0,0 3 0,0 1 0,0-1 0,0 1 0,0 1 0,0 0 0,0 1 0,3 2 0,-1-1 0,-1 2 0,-1 1 0,1 1 0,0 0 0,-1-1 0,31 12 0,0 4 0,-4 4 0,2-2 0,-1 4 0,60 42 0,2 11 0,-3 4 0,119 121 0,-155-126 0,4 0 0,-9 6 0,84 130 0,-118-160-114,-1 3 1,-2 3-1,-2 0 0,-3 1 0,-2 0 1,-3 1-1,-2 0 0,-3 4 0,-5-5 1,0 5-1,-4 63 0,-1-90-6712</inkml:trace>
  <inkml:trace contextRef="#ctx0" brushRef="#br0" timeOffset="18832.7">199 6015 24575,'0'-4'0,"0"-15"0,0-6 0,0-18 0,0-2 0,5-10 0,3 3 0,4-5 0,1-5 0,-2-2 0,-5-2 0,4 7 0,0 12-8191</inkml:trace>
  <inkml:trace contextRef="#ctx0" brushRef="#br0" timeOffset="20151.56">712 7720 24575,'-7'0'0,"2"2"0,-2 0 0,-1 2 0,2-2 0,-1 1 0,1 1 0,-8 5 0,-8 4 0,-159 83 0,59-27 0,-29 2 120,130-61-417,-1-4 0,-1 0 0,-1 1 0,-43 2 0,48-8-6529</inkml:trace>
  <inkml:trace contextRef="#ctx0" brushRef="#br0" timeOffset="21597.32">321 8805 24575,'7'-2'0,"-1"1"0,0-1 0,1 0 0,0 0 0,-1 0 0,0 0 0,0 0 0,5-4 0,-3 0 0,0 2 0,1 0 0,-1 1 0,0 0 0,10-4 0,-16 7 0,0-1 0,0 1 0,-1 0 0,1 0 0,1 0 0,-1 0 0,0 1 0,0-1 0,0 0 0,-1 1 0,1-1 0,0 1 0,0 0 0,0 0 0,0 1 0,0-1 0,-1-1 0,1 1 0,0 1 0,-2-1 0,2 1 0,-1-2 0,0 2 0,1-1 0,0 1 0,-1-1 0,0 1 0,1 3 0,1 0 0,0 0 0,0 0 0,-2 3 0,1-1 0,0 0 0,-1-1 0,0 1 0,0 0 0,0 8 0,-4 67 0,0-41 0,1 28 0,2 219 0,1-279 0,1-1 0,0-1 0,1 0 0,-1 0 0,1 0 0,1 2 0,0-3 0,0 2 0,0-2 0,0 0 0,1 0 0,1 2 0,-1-2 0,1 0 0,-1-1 0,2 0 0,10 9 0,13 6 0,2-1 0,51 22 0,-56-29 0,169 72 0,-98-47 0,-28-2-1365,-38-14-5461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41.5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24046,'1973'0'0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53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28 24575,'0'-1'0,"0"0"0,1-1 0,-1 1 0,1 0 0,0 0 0,-1 0 0,1 0 0,0 0 0,0 0 0,-1 0 0,1 0 0,0 1 0,0-1 0,0 0 0,0 0 0,0 1 0,0-1 0,0 1 0,1-1 0,-1 1 0,0-1 0,0 1 0,0-1 0,1 1 0,-1 0 0,0 0 0,3 0 0,39-5 0,-38 5 0,47-3 0,69 6 0,-119-3 0,0 0 0,0 0 0,0 1 0,1-1 0,-1 1 0,0-1 0,0 1 0,1 0 0,-1 0 0,0 0 0,0 0 0,0 0 0,0 1 0,-1-1 0,1 1 0,0-1 0,0 1 0,-1-1 0,1 1 0,-1 0 0,0 0 0,1 0 0,-1 0 0,0 0 0,0 0 0,0 0 0,0 0 0,-1 0 0,1 1 0,0-1 0,-1 0 0,0 1 0,1-1 0,-1 0 0,0 3 0,-1 9 0,0-1 0,-1 1 0,0-1 0,-8 26 0,4-19 0,-68 204 0,66-201 0,-41 80 0,-4 10 0,48-101 0,1 0 0,1 1 0,1-1 0,0 1 0,0-1 0,1 1 0,0 19 0,1-29 0,1-1 0,-1 1 0,1-1 0,0 1 0,0-1 0,0 1 0,0-1 0,0 1 0,0-1 0,0 0 0,1 0 0,0 0 0,-1 0 0,1 0 0,0 0 0,0 0 0,0 0 0,0-1 0,0 1 0,1-1 0,-1 1 0,0-1 0,1 0 0,-1 0 0,1 0 0,-1-1 0,1 1 0,0 0 0,-1-1 0,1 0 0,0 1 0,3-1 0,12 1 0,1-1 0,-1 0 0,28-5 0,-37 4 0,165-25 0,-171 26-50,1-1-1,-1 1 1,0 0-1,1-1 0,-1 0 1,0 1-1,0-1 1,0-1-1,0 1 1,0 0-1,0-1 0,0 1 1,0-1-1,0 0 1,-1 0-1,1 0 1,-1 0-1,0-1 0,1 1 1,-1-1-1,0 1 1,0-1-1,-1 0 1,1 0-1,0 0 1,1-6-1,1-8-6775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0.19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24575,'651'0'0,"-640"0"0,0 0 0,0 1 0,0 0 0,-1 1 0,1 0 0,19 7 0,-26-8 0,-1 1 0,0-1 0,1 1 0,-1 0 0,0 0 0,0 0 0,-1 1 0,1-1 0,0 1 0,-1-1 0,1 1 0,-1 0 0,0 0 0,0 0 0,0 0 0,0 0 0,-1 1 0,1-1 0,-1 0 0,0 1 0,0-1 0,0 1 0,0 5 0,3 39 0,-3 0 0,-4 54 0,-1 2 0,2-81 0,-1 1 0,0-1 0,-2 0 0,-1-1 0,-14 37 0,9-29 0,-13 64 0,18-68 0,-1 0 0,-14 36 0,2-9 0,-22 50 0,31-82 0,1 1 0,0 0 0,2 0 0,1 0 0,0 1 0,2 0 0,-4 42 0,10-5-1365,-2-43-5461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6.9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 87 24575,'-1'-1'0,"0"1"0,1 0 0,-1 0 0,0-1 0,0 1 0,0 0 0,0-1 0,1 1 0,-1-1 0,0 1 0,0-1 0,1 1 0,-1-1 0,0 1 0,1-1 0,-1 0 0,0 1 0,1-1 0,-1 0 0,1 0 0,-1 0 0,1 1 0,0-1 0,-1 0 0,1 0 0,0 0 0,-1 0 0,1 0 0,0 1 0,0-1 0,0 0 0,0 0 0,0 0 0,0 0 0,0 0 0,1-1 0,-1-2 0,0 1 0,0 0 0,1 0 0,-1 0 0,1 0 0,0-1 0,0 1 0,0 0 0,2-4 0,-2 6 0,0-1 0,0 0 0,0 1 0,1-1 0,-1 1 0,0-1 0,1 1 0,-1 0 0,1-1 0,-1 1 0,1 0 0,0 0 0,-1 0 0,1 0 0,0 0 0,0 1 0,-1-1 0,1 0 0,0 1 0,0 0 0,0-1 0,0 1 0,0 0 0,0 0 0,0 0 0,0 0 0,0 0 0,0 1 0,0-1 0,0 0 0,-1 1 0,1 0 0,0-1 0,0 1 0,0 0 0,-1 0 0,1 0 0,0 0 0,2 2 0,0 0 0,-1 0 0,0 0 0,0 1 0,0-1 0,0 0 0,-1 1 0,1 0 0,-1 0 0,0-1 0,0 1 0,0 1 0,0-1 0,-1 0 0,0 0 0,0 1 0,0-1 0,0 5 0,-1 6-136,-2 0-1,1-1 1,-2 1-1,0-1 1,-1 0-1,0 0 1,-1 0-1,-1 0 0,-11 19 1,7-16-6690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18.8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0 152 24575,'4'-4'0,"0"-1"0,-1 1 0,2 0 0,-1 1 0,0-1 0,1 1 0,-1 0 0,1 0 0,0 0 0,0 1 0,0-1 0,1 1 0,-1 1 0,1-1 0,-1 1 0,1 0 0,10-1 0,10 0 0,-1 1 0,27 3 0,-42-1 0,0 0 0,0 0 0,-1 1 0,1 1 0,-2 0 0,2 0 0,-1 1 0,13 6 0,-20-7 0,1-1 0,-1 0 0,1 1 0,-1-1 0,0 1 0,0 0 0,0 0 0,0 0 0,0 0 0,-1 0 0,1 0 0,-1 0 0,0 1 0,0-1 0,0 0 0,-1 1 0,1-1 0,-1 6 0,0 70 0,-1-54 0,0-10 0,2 1 0,-1 0 0,-1 0 0,0 0 0,-1-1 0,-1 1 0,0 0 0,-1-1 0,-1 0 0,0 1 0,-1-1 0,-10 16 0,-66 110 0,78-133 0,0 0 0,0 1 0,1-1 0,0 1 0,0 0 0,1 0 0,0 0 0,1 0 0,0 9 0,0 7 0,1-1 0,3 28 0,-2-49 0,-1-1 0,1 1 0,-1-1 0,1 1 0,0-1 0,0 0 0,0 0 0,0 1 0,0-1 0,0 0 0,1 0 0,-1 0 0,1 0 0,-1 0 0,1-1 0,0 1 0,0 0 0,0-1 0,0 1 0,4 1 0,-1 0 0,1-1 0,-1 0 0,1 0 0,0 0 0,-1-1 0,1 0 0,-1 0 0,12 0 0,-7-1 0,1 0 0,0-1 0,-1-1 0,0 1 0,1-1 0,-1-1 0,0 0 0,0-1 0,0 0 0,9-5 0,-16 7-124,0 0 0,0 0 0,-1-1 0,1 1 0,-1-1 0,1 0-1,-1 1 1,0-1 0,0 0 0,1-4 0,5-11-6702</inkml:trace>
  <inkml:trace contextRef="#ctx0" brushRef="#br0" timeOffset="2728.14">1071 102 24575,'-2'0'0,"0"1"0,1-1 0,-1 0 0,0 1 0,1 0 0,-1-1 0,1 1 0,-1 0 0,1 0 0,-1 0 0,1 0 0,-1 0 0,1 0 0,0 0 0,-1 0 0,1 1 0,0-1 0,0 0 0,0 1 0,0-1 0,-1 3 0,-18 39 0,12-22 0,-43 71 0,-16 37 0,50-92 0,2 1 0,2 1 0,-10 51 0,20-75 0,1 0 0,0 1 0,2-1 0,0 1 0,0-1 0,2 1 0,-1-1 0,2 1 0,0-1 0,1 0 0,11 25 0,-12-30 0,2 0 0,-1 0 0,1-1 0,1 0 0,0 0 0,9 11 0,-12-17 0,1 0 0,0 0 0,0 0 0,0-1 0,0 0 0,0 1 0,1-1 0,-1-1 0,1 1 0,-1-1 0,1 1 0,0-1 0,0-1 0,-1 1 0,1-1 0,6 0 0,11-2 0,1-1 0,-1-1 0,0-1 0,-1-1 0,0-1 0,0-1 0,33-18 0,-29 12 0,0-1 0,-2-1 0,0-1 0,-1-1 0,24-25 0,-41 37 0,0-1 0,0 0 0,-1 0 0,0 0 0,0-1 0,-1 1 0,1-1 0,-2 0 0,1 0 0,-1 0 0,1-9 0,2-14 0,1-50 0,-6 75 0,0-1 0,0 0 0,-1 1 0,0-1 0,0 1 0,-1-1 0,0 1 0,0-1 0,0 1 0,-1-1 0,1 1 0,-2 0 0,-3-6 0,0 3 0,0 1 0,-1-1 0,0 1 0,-1 1 0,0 0 0,0 0 0,-10-6 0,3 3 0,0 1 0,-1 1 0,1 1 0,-2 0 0,1 1 0,-1 1 0,-1 0 0,-21-2 0,-13 3 0,-83 2 0,80 3 0,53-1 0,0 1 0,0-1 0,0 0 0,0-1 0,0 1 0,0 0 0,0-1 0,0 0 0,0 0 0,0 0 0,0 0 0,0 0 0,1 0 0,-1-1 0,0 1 0,1-1 0,-1 0 0,1 0 0,0 0 0,-1 0 0,-2-4 0,3 1 0,-1 0 0,1 0 0,0 0 0,1 0 0,-1-1 0,1 1 0,0 0 0,1-1 0,-1 1 0,1-1 0,1-7 0,-1 4 0,0 0 0,1-1 0,0 1 0,1 0 0,0 0 0,0 0 0,1 1 0,1-1 0,4-11 0,-5 17 0,-1-1 0,0 0 0,1 0 0,0 1 0,0-1 0,0 1 0,0 0 0,0 0 0,1 0 0,-1 1 0,1-1 0,0 1 0,0 0 0,0 0 0,0 0 0,0 0 0,0 1 0,1 0 0,-1-1 0,9 0 0,11 0 40,0 1 0,43 4 0,-58-3-175,0 2 0,0-1 0,0 1 0,0 0 0,-1 1 0,1 0 0,-1 1 0,1 0 0,-1 0 0,11 8 0,-3 2-6691</inkml:trace>
  <inkml:trace contextRef="#ctx0" brushRef="#br0" timeOffset="5473.22">1569 52 24575,'0'-2'0,"1"0"0,-1 0 0,1 0 0,-1 0 0,1 0 0,0 0 0,0 1 0,0-1 0,0 0 0,0 0 0,0 1 0,1-1 0,-1 1 0,0-1 0,1 1 0,0-1 0,-1 1 0,1 0 0,-1 0 0,1 0 0,0 0 0,0 0 0,0 0 0,0 0 0,0 1 0,0-1 0,2 0 0,55-10 0,-44 11 0,1-1 0,-1 2 0,1 0 0,-2 1 0,1 0 0,1 1 0,-1 1 0,25 10 0,-34-12 0,0 1 0,-1-1 0,1 2 0,-1-1 0,0 0 0,0 1 0,0 0 0,0 0 0,-1 1 0,0-1 0,0 1 0,0 0 0,0 0 0,-1 0 0,1 0 0,-1 1 0,-1-1 0,1 1 0,-1 0 0,0 0 0,-1 0 0,1 0 0,-1 0 0,1 8 0,8 76 0,-6-71 0,-1 0 0,-1 0 0,0 1 0,-2-1 0,0 0 0,-1 0 0,-1 0 0,-1 0 0,0 0 0,-8 22 0,-40 81 0,-21 57 0,63-154 0,6-18 0,0 0 0,0 1 0,1-1 0,0 1 0,0 0 0,0 11 0,2-17 0,0 0 0,0 0 0,0-1 0,1 1 0,-1 0 0,1 0 0,0-1 0,-1 1 0,1 0 0,0-1 0,0 1 0,0-1 0,0 1 0,0-1 0,0 0 0,0 1 0,1-1 0,-1 0 0,0 0 0,1 0 0,-1 0 0,1 0 0,-1 0 0,1 0 0,0 0 0,-1-1 0,1 1 0,0 0 0,-1-1 0,1 0 0,0 1 0,0-1 0,3 0 0,2 1 8,0-1-1,0 0 1,0 0-1,1-1 1,-1 1-1,0-2 1,0 1-1,0-1 1,-1 0-1,1 0 1,0-1-1,-1 0 1,1 0-1,-1-1 1,9-6-1,-11 7-75,0 0 1,0 0-1,0-1 1,0 1-1,-1-1 1,1 0-1,-1 0 1,0 0-1,0 0 1,0-1-1,-1 1 1,0-1-1,0 0 1,0 1-1,0-1 1,-1 0-1,1 0 1,-1 0-1,-1 0 1,1 0-1,-1-10 1,-3-10-6759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0.16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3 297 24575,'-1'-32'0,"0"13"0,1 0 0,0 0 0,2 0 0,4-22 0,-5 37 0,0 0 0,0 0 0,0 1 0,1-1 0,-1 0 0,1 0 0,0 1 0,0-1 0,0 1 0,1-1 0,-1 1 0,1 0 0,0 0 0,0 0 0,0 0 0,0 1 0,0-1 0,1 1 0,-1 0 0,1 0 0,0 0 0,-2 0 0,2 1 0,7-3 0,5 0 0,-1-1 0,0-1 0,-1 0 0,1-2 0,25-16 0,-37 21 0,1 1 0,0 0 0,0 0 0,-1 0 0,1 1 0,0-1 0,1 1 0,-1 0 0,0 0 0,0 0 0,0 1 0,1 0 0,-1 0 0,0 0 0,0 0 0,1 0 0,-1 1 0,0 0 0,0 0 0,5 1 0,-1 2 0,0 1 0,0-1 0,-1 1 0,0 1 0,0-1 0,0 1 0,0 0 0,8 11 0,8 6 0,-18-18 0,1 0 0,-1 1 0,0-1 0,0 1 0,5 10 0,-8-13 0,-1 1 0,1-1 0,-1 1 0,0-1 0,-1 1 0,1-1 0,0 1 0,-1 0 0,0 0 0,0-1 0,0 1 0,0 0 0,-1-1 0,-1 8 0,-4 7 0,0-1 0,-1 1 0,0-1 0,-17 25 0,14-24 0,0 1 0,1 0 0,-8 24 0,12-29 0,-1 0 0,0 0 0,-14 23 0,11-23 0,1 0 0,-12 30 0,12-18 0,2 1 0,0 0 0,1 1 0,2-1 0,1 1 0,1 0 0,5 50 0,-4-76 0,0 0 0,1 0 0,-1 0 0,0-1 0,0 1 0,1 0 0,-1-1 0,1 1 0,0 0 0,-1-1 0,1 1 0,0-1 0,0 1 0,0-1 0,0 1 0,0-1 0,1 0 0,-1 0 0,0 1 0,1-1 0,-1 0 0,0 0 0,1 0 0,-1 0 0,1-1 0,0 1 0,-1 0 0,1-1 0,0 1 0,-1-1 0,1 1 0,0-1 0,1 0 0,7 1 0,0-2 0,0 1 0,-1-1 0,0-1 0,12-3 0,19-2 0,-16 7-104,33-2 332,-56 2-288,1-1 1,0 1-1,0 0 1,-1 0-1,1-1 0,0 1 1,-1-1-1,1 0 1,0 1-1,-1-1 1,1 0-1,-1 0 1,1 0-1,-1 0 0,1 0 1,-1 0-1,0-1 1,0 1-1,0 0 1,1-1-1,-1 1 1,0-1-1,-1 1 0,2-3 1,-1-6-6767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4.5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82 207 24575,'0'-2'0,"1"0"0,-1 0 0,1 1 0,0-1 0,0 0 0,0 1 0,0-1 0,0 1 0,0-1 0,0 1 0,0 0 0,1-1 0,-1 1 0,0 0 0,1 0 0,-1 0 0,1 0 0,-1 0 0,1 0 0,0 1 0,-1-1 0,3 0 0,38-13 0,-20 9 0,0 2 0,0 1 0,30 0 0,-41 2 0,1 1 0,-1 0 0,0 1 0,0 0 0,0 0 0,0 1 0,-1 1 0,14 6 0,-24-10 0,1 0 0,-1 1 0,0-1 0,1 0 0,-1 1 0,1-1 0,-1 0 0,1 1 0,-1-1 0,1 0 0,-1 0 0,1 1 0,0-1 0,-1 0 0,1 0 0,-1 0 0,1 0 0,-1 0 0,1 0 0,0 0 0,-1 0 0,1 0 0,-1 0 0,1 0 0,-1 0 0,1-1 0,0 1 0,-1 0 0,1 0 0,0-1 0,-5-16 0,-23-29 0,23 40 0,-1-3 0,-2-2 0,1 0 0,-1 0 0,-1 1 0,-14-14 0,18 20 0,0 1 0,0 0 0,0 1 0,-1-1 0,1 1 0,-1 0 0,0 0 0,0 0 0,0 0 0,0 1 0,0 0 0,0 0 0,0 0 0,-9 1 0,-10-1 0,5-1 0,1 1 0,-1 1 0,0 1 0,2 1 0,-38 7 0,52-7 0,-1 0 0,0 0 0,1 0 0,0 1 0,-1-1 0,1 1 0,0 0 0,0-1 0,0 1 0,1 1 0,-1-1 0,1 0 0,0 1 0,0-1 0,0 1 0,0 0 0,0-1 0,1 1 0,0 0 0,-1 0 0,2 0 0,-1 0 0,0 7 0,-1 12 0,1 0 0,1 1 0,3 25 0,0-4 0,-1-14 0,1 0 0,1 0 0,2-1 0,1 0 0,2 0 0,20 50 0,-29-79 0,0-1 0,0 0 0,0 1 0,0-1 0,0 0 0,0 1 0,0-1 0,0 0 0,0 0 0,0 1 0,0-1 0,1 0 0,-1 1 0,0-1 0,0 0 0,0 0 0,0 1 0,0-1 0,1 0 0,-1 0 0,0 1 0,0-1 0,0 0 0,1 0 0,-1 0 0,0 1 0,0-1 0,1 0 0,-1 0 0,0 0 0,0 0 0,1 1 0,-1-1 0,0 0 0,0 0 0,1 0 0,-1 0 0,0 0 0,1 0 0,-1 0 0,0 0 0,1 0 0,-1 0 0,0 0 0,0 0 0,1 0 0,0 0 0,3-19 0,-2-29 0,-2 47 0,-2-84 0,3-87 0,1 160 0,0 0 0,1 0 0,0 0 0,1 0 0,0 1 0,0 0 0,2 0 0,-1 0 0,0 0 0,2 1 0,0 0 0,0 1 0,11-11 0,-15 16 0,1 1 0,-1-1 0,1 1 0,0 0 0,1 0 0,-1 0 0,0 1 0,1-1 0,0 1 0,-1 0 0,1 0 0,0 1 0,0 0 0,0 0 0,0 0 0,0 0 0,0 1 0,0-1 0,0 1 0,0 1 0,0-1 0,0 1 0,0 0 0,0 0 0,0 0 0,0 1 0,0 0 0,0 0 0,-1 0 0,1 0 0,-1 1 0,0-1 0,6 5 0,4 3 0,-1 1 0,-1 0 0,0 1 0,0 0 0,-1 1 0,12 16 0,-18-20 0,0 0 0,0 0 0,0 0 0,-1 0 0,-1 1 0,0-1 0,0 1 0,-1 0 0,0 0 0,-1 0 0,1 16 0,-2-9 0,-5 241 0,3-240 0,-1-1 0,-1 0 0,-11 32 0,9-32 0,0 0 0,2 1 0,-5 32 0,9-42 0,-1-1 0,0 0 0,0 1 0,0-1 0,-1 0 0,0 0 0,0 0 0,-1 0 0,0 0 0,0-1 0,-1 1 0,1-1 0,-2 0 0,1 0 0,0 0 0,-1 0 0,-9 8 0,-37 49 0,65-67 0,0 0 0,1 0 0,-1 1 0,0 1 0,18 0 0,-22 1 0,0 0 0,1 0 0,-1 1 0,0 0 0,0 1 0,0 0 0,0 1 0,0 0 0,-1 0 0,1 1 0,0 1 0,-1-1 0,16 10 0,7-1 0,-22-14 0,-15-15 0,2 14-124,2 0 0,-1 1 0,-1-1 0,0 1 0,0-1 0,0 1-1,0 0 1,0 0 0,0 0 0,-5-1 0,-16-8-6702</inkml:trace>
  <inkml:trace contextRef="#ctx0" brushRef="#br0" timeOffset="2326.42">803 57 24575,'4'0'0,"6"0"0,4 0 0,6 0 0,3 0 0,1 0 0,-2 5 0,-6 0-8191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3:22:11.26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1527 903 24575,'-28'0'0,"0"3"0,1 0 0,0 2 0,0 0 0,-44 16 0,42-14 0,-1-2 0,1-2 0,-1 0 0,0-2 0,-54-5 0,-1 1 0,-48 6 0,-133-6 0,250 0 0,0 0 0,0-2 0,0 1 0,1-2 0,-27-13 0,-35-12 0,7 1 0,12 4 0,45 20 0,0 0 0,0-1 0,1 0 0,1-1 0,-1 0 0,0-1 0,1-2 0,1 2 0,-11-14 0,-11-14 0,-34-55 0,55 76 0,5 5 0,0 0 0,1 0 0,1 0 0,0-1 0,0 0 0,1 1 0,1-1 0,0 0 0,-1-24 0,2-1 0,8-73 0,-5 100 0,0 0 0,1 0 0,1 1 0,-1-2 0,2 2 0,-1 0 0,1 0 0,1 0 0,10-13 0,-4 7 0,1 0 0,0 1 0,1 1 0,19-15 0,-21 21 0,1 0 0,0 1 0,0 1 0,1 0 0,-1 1 0,0 0 0,19-2 0,34-11 0,-29 4 0,-21 6 0,0 1 0,1 1 0,0 1 0,-1 0 0,1 1 0,22 0 0,689 4 0,-716 0 0,1 0 0,-1 1 0,1 1 0,-1 0 0,0 0 0,0 1 0,0 0 0,-1 1 0,1 1 0,-1 0 0,-1 0 0,1 1 0,9 9 0,17 14 0,-2 3 0,35 41 0,-25-25 0,-22-23 0,0-1 0,-2 2 0,-1 1 0,-1 0 0,18 38 0,-30-51 0,0 1 0,-1 0 0,-1 0 0,0 1 0,-2-1 0,0 1 0,0 0 0,-2 0 0,-1 33 0,0-15 0,-1-1 0,-12 65 0,10-88 0,0 1 0,-1-1 0,-1 1 0,0-1 0,0 0 0,-1-1 0,0 1 0,-1-1 0,0-1 0,0 1 0,-16 14 0,15-16 0,0-1 0,1 0 0,-1 0 0,0-1 0,0 0 0,-11 6 0,16-11 0,0 1 0,1-1 0,-1 0 0,0-1 0,0 1 0,0 0 0,0-1 0,0 0 0,0 0 0,0 0 0,0 0 0,0 0 0,0 0 0,0-1 0,0 1 0,0-1 0,1 0 0,-1 0 0,0 0 0,1 0 0,0-1 0,-5-2 0,-3-2-124,0-1 0,1-1 0,0 0 0,0 0 0,1-1 0,0 0-1,0-1 1,1 1 0,0-1 0,-5-12 0,3 9-6702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4.24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24575,'16'532'0,"13"-249"0,-22-190-238,-4 111 0,-3-156-651,0-24-5937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6.94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62 459 24575,'-1'0'0,"-1"0"0,1-1 0,-1 0 0,1 1 0,-1-1 0,1 0 0,-1 0 0,1 0 0,0 0 0,0 0 0,-1 0 0,1 0 0,0 0 0,0 0 0,0-1 0,0 1 0,0 0 0,0-1 0,0 1 0,1-1 0,-1 1 0,0-3 0,-13-36 0,14 40 0,-6-28 0,0 0 0,2-1 0,2 2 0,0-2 0,2 1 0,1-1 0,8-53 0,-7 77 0,-1-1 0,0 1 0,1 0 0,0 0 0,1 0 0,-1 0 0,1 0 0,-1 1 0,1-1 0,1 1 0,-1-1 0,1 1 0,-1 1 0,1-1 0,0 0 0,7-4 0,-3 4 0,-1 0 0,1 0 0,0 0 0,0 1 0,1 1 0,-1-1 0,0 1 0,1 1 0,13-1 0,-5 1 0,0 1 0,-1 1 0,1 1 0,-1 0 0,0 1 0,0 1 0,0 0 0,0 2 0,0 0 0,21 11 0,-31-12 0,1 0 0,-1 0 0,0 1 0,0-1 0,-1 1 0,0 1 0,0-1 0,0 1 0,-1 0 0,0 0 0,6 13 0,-6-10 0,1 0 0,0-1 0,1 0 0,0-1 0,0 1 0,11 10 0,-12-15 0,-1 0 0,0 0 0,0 1 0,0-1 0,0 1 0,-1 0 0,0 0 0,0 1 0,0-1 0,-1 0 0,0 1 0,0 0 0,0-1 0,0 1 0,-1 0 0,0-1 0,-1 1 0,1 8 0,-2 1 0,-1 0 0,0 0 0,-1-1 0,0 1 0,-2-1 0,-6 17 0,-1 2 0,-9 28 0,-3-1 0,-54 99 0,65-136 0,1 0 0,1 1 0,1 0 0,1 1 0,1-1 0,1 1 0,2 1 0,0 0 0,2 0 0,0 1 0,3 48 0,-1 42 0,0-47 0,2 0 0,14 91 0,-12-144 0,1 0 0,1 0 0,0 0 0,2-1 0,0 0 0,0 0 0,2-1 0,-1 0 0,2 0 0,20 23 0,-25-35 0,0 1 0,0-1 0,0 0 0,0-1 0,0 1 0,1-1 0,-1 0 0,1 0 0,0-1 0,-1 0 0,1 0 0,11 0 0,81-4 0,-51 0 0,255 2-1365,-277 1-5461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9.86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321 31 24575,'53'-3'0,"57"-9"0,33-3 0,-139 15 0,0 0 0,0 0 0,-1 0 0,1 0 0,0 0 0,-1 1 0,1 0 0,-1 0 0,1 0 0,0 0 0,-1 0 0,0 1 0,1 0 0,-1-1 0,0 1 0,4 3 0,-5-2 0,1 0 0,-1 1 0,0-1 0,0 0 0,0 1 0,-1-1 0,1 1 0,-1 0 0,0 0 0,0-1 0,0 1 0,0 0 0,0 0 0,-1 0 0,0 7 0,0 10 0,0 1 0,-2-1 0,0 1 0,-1-1 0,-2 0 0,0 0 0,-10 26 0,-3-4 0,-1-2 0,-33 54 0,17-31 0,22-38 0,-1-1 0,-24 33 0,14-29 0,12-16 0,2 1 0,-1 0 0,1 0 0,-9 20 0,18-34 0,1 1 0,0-1 0,0 0 0,0 1 0,0-1 0,0 0 0,-1 1 0,1-1 0,0 0 0,0 1 0,0-1 0,0 0 0,0 1 0,0-1 0,0 0 0,0 1 0,0-1 0,0 0 0,0 1 0,0-1 0,0 0 0,1 1 0,-1-1 0,0 0 0,0 0 0,0 1 0,0-1 0,0 0 0,1 1 0,-1-1 0,0 0 0,0 0 0,1 1 0,-1-1 0,0 0 0,0 0 0,1 0 0,-1 1 0,0-1 0,1 0 0,17 1 0,20-11 0,27-19 0,-49 20 0,1 1 0,-1 1 0,1 1 0,0 1 0,1 0 0,28-4 0,-24 7 0,1 1 0,0 0 0,-1 2 0,1 1 0,36 8 0,-49-8 0,0 1 0,0 1 0,0 0 0,-1 0 0,0 0 0,0 2 0,0-1 0,0 1 0,-1 0 0,0 1 0,0 0 0,-1 0 0,0 0 0,0 1 0,6 10 0,-9-11 0,-1 0 0,0 1 0,0-1 0,-1 1 0,0 0 0,0 0 0,0 0 0,-1 0 0,-1 0 0,1 0 0,-1 0 0,-2 16 0,-2 8 0,-14 57 0,-81 224 0,34-121 0,62-181 0,-1-1 0,0 0 0,0 0 0,-1 0 0,-1-2 0,1 2 0,-2-1 0,1 0 0,-1-1 0,-9 10 0,0-5 0,-1 1 0,-1-2 0,0 0 0,-24 10 0,-58 35 0,2 3 0,-112 93 0,181-129 0,-53 39 0,73-57 0,0 0 0,-1-1 0,1 0 0,-1 0 0,0-2 0,0 1 0,-13 2 0,0-6-1365,6-4-5461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0.85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781 91 24575,'-377'-17'0,"169"-10"0,181 24-273,-1 0 0,1-2 0,0-1 0,-42-15 0,51 12-6553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5.44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5709 979 24575,'-84'-17'0,"-178"10"0,192 9 0,0-3 0,-128-18 0,115 5 0,43 9 0,0-2 0,1-2 0,-55-20 0,68 13 0,22 13 0,0 0 0,0 1 0,0-1 0,0 1 0,-1 0 0,-8-3 0,-268-54 0,85 23 0,-185-63 0,4 1 0,43 46 0,110 23 0,207 26 0,-177-36 0,152 26 0,-40-19 0,57 20 0,1 2 0,-1 1 0,-1 1 0,0 2 0,0 0 0,-31-2 0,-4 5 0,28 3 0,-1-2 0,1-1 0,1-2 0,-39-10 0,-16-7 0,56 16 0,0-2 0,0-1 0,1-2 0,-30-15 0,48 22 0,0-1 0,-1 2 0,0 0 0,0 0 0,0 1 0,0 1 0,0 0 0,0 0 0,0 2 0,-18 1 0,9 0 0,0-2 0,-32-3 0,-71-9 0,84 9 0,1-1 0,0-2 0,-47-12 0,57 10 0,-1 2 0,-52-4 0,-12-1 0,77 8 0,-65-14 0,0 5 0,-136-4 0,-238 18 0,452-2-54,1 1-1,0-1 0,-1-1 1,1 1-1,-1-1 1,1 0-1,0 1 0,-1-2 1,1 1-1,0-1 1,0 1-1,0-1 0,0 0 1,0 0-1,0-1 0,0 1 1,1-1-1,0 0 1,-1 0-1,1 0 0,0 0 1,0-1-1,1 1 1,-4-6-1,1-4-6771</inkml:trace>
</inkml:ink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3:G13" totalsRowCount="1" headerRowCellStyle="Normal">
  <autoFilter ref="A3:G12" xr:uid="{00000000-0009-0000-0100-000002000000}"/>
  <tableColumns count="7">
    <tableColumn id="1" xr3:uid="{00000000-0010-0000-0100-000001000000}" name="Column1"/>
    <tableColumn id="2" xr3:uid="{00000000-0010-0000-0100-000002000000}" name="Column2" totalsRowDxfId="4"/>
    <tableColumn id="3" xr3:uid="{00000000-0010-0000-0100-000003000000}" name="Column3" totalsRowDxfId="3"/>
    <tableColumn id="4" xr3:uid="{00000000-0010-0000-0100-000004000000}" name="Column4" totalsRowDxfId="2"/>
    <tableColumn id="5" xr3:uid="{00000000-0010-0000-0100-000005000000}" name="Column5" totalsRowDxfId="1"/>
    <tableColumn id="6" xr3:uid="{00000000-0010-0000-0100-000006000000}" name="Column6" totalsRowDxfId="0"/>
    <tableColumn id="7" xr3:uid="{00000000-0010-0000-0100-000007000000}" name="Column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H25" totalsRowShown="0">
  <autoFilter ref="A3:H25" xr:uid="{00000000-0009-0000-0100-000001000000}"/>
  <tableColumns count="8">
    <tableColumn id="1" xr3:uid="{00000000-0010-0000-0000-000001000000}" name="م"/>
    <tableColumn id="2" xr3:uid="{00000000-0010-0000-0000-000002000000}" name="اسم المورد"/>
    <tableColumn id="3" xr3:uid="{00000000-0010-0000-0000-000003000000}" name="رقم الهاتف"/>
    <tableColumn id="4" xr3:uid="{00000000-0010-0000-0000-000004000000}" name="العنوان"/>
    <tableColumn id="5" xr3:uid="{00000000-0010-0000-0000-000005000000}" name="المنتجات الموردة"/>
    <tableColumn id="6" xr3:uid="{00000000-0010-0000-0000-000006000000}" name="اجمالي المبلغ الحالي"/>
    <tableColumn id="7" xr3:uid="{00000000-0010-0000-0000-000007000000}" name="مدفوع"/>
    <tableColumn id="8" xr3:uid="{00000000-0010-0000-0000-000008000000}" name="المتبقي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  <pageSetUpPr fitToPage="1"/>
  </sheetPr>
  <dimension ref="B2:E30"/>
  <sheetViews>
    <sheetView topLeftCell="A6" zoomScale="86" zoomScaleNormal="100" workbookViewId="0">
      <selection activeCell="M25" sqref="M25"/>
    </sheetView>
  </sheetViews>
  <sheetFormatPr defaultColWidth="8.5703125" defaultRowHeight="15" x14ac:dyDescent="0.25"/>
  <cols>
    <col min="2" max="2" width="6" customWidth="1"/>
    <col min="3" max="3" width="34.28515625" customWidth="1"/>
    <col min="4" max="4" width="20" customWidth="1"/>
    <col min="5" max="5" width="24.28515625" customWidth="1"/>
  </cols>
  <sheetData>
    <row r="2" spans="2:5" ht="24" customHeight="1" x14ac:dyDescent="0.25">
      <c r="B2" s="215" t="s">
        <v>378</v>
      </c>
      <c r="C2" s="215"/>
      <c r="D2" s="215"/>
      <c r="E2" s="215"/>
    </row>
    <row r="4" spans="2:5" ht="26.25" customHeight="1" x14ac:dyDescent="0.25">
      <c r="B4" s="69" t="s">
        <v>1</v>
      </c>
      <c r="C4" s="69" t="s">
        <v>2</v>
      </c>
      <c r="D4" s="69" t="s">
        <v>3</v>
      </c>
      <c r="E4" s="69" t="s">
        <v>4</v>
      </c>
    </row>
    <row r="5" spans="2:5" ht="20.25" customHeight="1" x14ac:dyDescent="0.25">
      <c r="B5" s="70">
        <v>1</v>
      </c>
      <c r="C5" s="70" t="s">
        <v>668</v>
      </c>
      <c r="D5" s="70" t="s">
        <v>147</v>
      </c>
      <c r="E5" s="71">
        <v>1099724995</v>
      </c>
    </row>
    <row r="6" spans="2:5" ht="21" customHeight="1" x14ac:dyDescent="0.25">
      <c r="B6" s="23">
        <v>2</v>
      </c>
      <c r="C6" s="23" t="s">
        <v>6</v>
      </c>
      <c r="D6" s="23" t="s">
        <v>7</v>
      </c>
      <c r="E6" s="28">
        <v>1098610851</v>
      </c>
    </row>
    <row r="7" spans="2:5" ht="21.75" customHeight="1" x14ac:dyDescent="0.25">
      <c r="B7" s="70">
        <v>3</v>
      </c>
      <c r="C7" s="70" t="s">
        <v>8</v>
      </c>
      <c r="D7" s="70" t="s">
        <v>136</v>
      </c>
      <c r="E7" s="71">
        <v>1022948840</v>
      </c>
    </row>
    <row r="8" spans="2:5" ht="23.25" customHeight="1" x14ac:dyDescent="0.25">
      <c r="B8" s="23">
        <v>4</v>
      </c>
      <c r="C8" s="23" t="s">
        <v>9</v>
      </c>
      <c r="D8" s="23" t="s">
        <v>136</v>
      </c>
      <c r="E8" s="28">
        <v>1094787318</v>
      </c>
    </row>
    <row r="9" spans="2:5" ht="23.25" customHeight="1" x14ac:dyDescent="0.25">
      <c r="B9" s="70">
        <v>5</v>
      </c>
      <c r="C9" s="70" t="s">
        <v>11</v>
      </c>
      <c r="D9" s="70" t="s">
        <v>138</v>
      </c>
      <c r="E9" s="71">
        <v>1203252448</v>
      </c>
    </row>
    <row r="10" spans="2:5" ht="22.5" customHeight="1" x14ac:dyDescent="0.25">
      <c r="B10" s="23">
        <v>6</v>
      </c>
      <c r="C10" s="23" t="s">
        <v>669</v>
      </c>
      <c r="D10" s="23" t="s">
        <v>137</v>
      </c>
      <c r="E10" s="28">
        <v>1273884672</v>
      </c>
    </row>
    <row r="11" spans="2:5" ht="24.75" customHeight="1" x14ac:dyDescent="0.25">
      <c r="B11" s="70">
        <v>7</v>
      </c>
      <c r="C11" s="70" t="s">
        <v>12</v>
      </c>
      <c r="D11" s="70" t="s">
        <v>137</v>
      </c>
      <c r="E11" s="71">
        <v>1556027058</v>
      </c>
    </row>
    <row r="12" spans="2:5" ht="24.75" customHeight="1" x14ac:dyDescent="0.25">
      <c r="B12" s="23">
        <v>8</v>
      </c>
      <c r="C12" s="23" t="s">
        <v>13</v>
      </c>
      <c r="D12" s="23" t="s">
        <v>17</v>
      </c>
      <c r="E12" s="28">
        <v>1148115761</v>
      </c>
    </row>
    <row r="13" spans="2:5" ht="27" customHeight="1" x14ac:dyDescent="0.25">
      <c r="B13" s="70">
        <v>9</v>
      </c>
      <c r="C13" s="70" t="s">
        <v>18</v>
      </c>
      <c r="D13" s="70" t="s">
        <v>19</v>
      </c>
      <c r="E13" s="71">
        <v>1097710346</v>
      </c>
    </row>
    <row r="14" spans="2:5" ht="26.25" customHeight="1" x14ac:dyDescent="0.25">
      <c r="B14" s="23">
        <v>10</v>
      </c>
      <c r="C14" s="23" t="s">
        <v>20</v>
      </c>
      <c r="D14" s="23" t="s">
        <v>139</v>
      </c>
      <c r="E14" s="28">
        <v>1221210579</v>
      </c>
    </row>
    <row r="15" spans="2:5" ht="24.75" customHeight="1" x14ac:dyDescent="0.25">
      <c r="B15" s="70">
        <v>11</v>
      </c>
      <c r="C15" s="70" t="s">
        <v>140</v>
      </c>
      <c r="D15" s="70" t="s">
        <v>138</v>
      </c>
      <c r="E15" s="71" t="s">
        <v>377</v>
      </c>
    </row>
    <row r="16" spans="2:5" ht="24" customHeight="1" x14ac:dyDescent="0.25">
      <c r="B16" s="23">
        <v>12</v>
      </c>
      <c r="C16" s="23" t="s">
        <v>22</v>
      </c>
      <c r="D16" s="23" t="s">
        <v>141</v>
      </c>
      <c r="E16" s="28" t="s">
        <v>377</v>
      </c>
    </row>
    <row r="17" spans="2:5" ht="26.25" customHeight="1" x14ac:dyDescent="0.25">
      <c r="B17" s="70">
        <v>13</v>
      </c>
      <c r="C17" s="70" t="s">
        <v>142</v>
      </c>
      <c r="D17" s="70" t="s">
        <v>136</v>
      </c>
      <c r="E17" s="71">
        <v>1028966193</v>
      </c>
    </row>
    <row r="18" spans="2:5" ht="26.25" customHeight="1" x14ac:dyDescent="0.25">
      <c r="B18" s="23">
        <v>14</v>
      </c>
      <c r="C18" s="49" t="s">
        <v>24</v>
      </c>
      <c r="D18" s="49" t="s">
        <v>141</v>
      </c>
      <c r="E18" s="185" t="s">
        <v>377</v>
      </c>
    </row>
    <row r="19" spans="2:5" ht="24" customHeight="1" x14ac:dyDescent="0.25">
      <c r="B19" s="70">
        <v>15</v>
      </c>
      <c r="C19" s="72" t="s">
        <v>143</v>
      </c>
      <c r="D19" s="70" t="s">
        <v>137</v>
      </c>
      <c r="E19" s="71" t="s">
        <v>377</v>
      </c>
    </row>
    <row r="20" spans="2:5" ht="22.5" customHeight="1" x14ac:dyDescent="0.25">
      <c r="B20" s="23">
        <v>16</v>
      </c>
      <c r="C20" s="25" t="s">
        <v>144</v>
      </c>
      <c r="D20" s="23" t="s">
        <v>145</v>
      </c>
      <c r="E20" s="23">
        <v>1277585870</v>
      </c>
    </row>
    <row r="21" spans="2:5" ht="24.75" customHeight="1" x14ac:dyDescent="0.25">
      <c r="B21" s="70">
        <v>17</v>
      </c>
      <c r="C21" s="49" t="s">
        <v>146</v>
      </c>
      <c r="D21" s="49" t="s">
        <v>137</v>
      </c>
      <c r="E21" s="49">
        <v>1020633821</v>
      </c>
    </row>
    <row r="22" spans="2:5" ht="25.5" customHeight="1" x14ac:dyDescent="0.25">
      <c r="B22" s="23">
        <v>18</v>
      </c>
      <c r="C22" s="23" t="s">
        <v>308</v>
      </c>
      <c r="D22" s="23" t="s">
        <v>377</v>
      </c>
      <c r="E22" s="23" t="s">
        <v>377</v>
      </c>
    </row>
    <row r="23" spans="2:5" ht="30" customHeight="1" x14ac:dyDescent="0.25">
      <c r="B23" s="70">
        <v>19</v>
      </c>
      <c r="C23" s="70" t="s">
        <v>309</v>
      </c>
      <c r="D23" s="70" t="s">
        <v>377</v>
      </c>
      <c r="E23" s="70" t="s">
        <v>377</v>
      </c>
    </row>
    <row r="24" spans="2:5" ht="27" customHeight="1" x14ac:dyDescent="0.25">
      <c r="B24" s="23">
        <v>20</v>
      </c>
      <c r="C24" s="25" t="s">
        <v>368</v>
      </c>
      <c r="D24" s="4"/>
      <c r="E24" s="4"/>
    </row>
    <row r="25" spans="2:5" ht="24.75" customHeight="1" x14ac:dyDescent="0.25">
      <c r="B25" s="184">
        <v>21</v>
      </c>
      <c r="C25" s="23" t="s">
        <v>475</v>
      </c>
      <c r="D25" s="7" t="s">
        <v>17</v>
      </c>
      <c r="E25" s="4"/>
    </row>
    <row r="26" spans="2:5" ht="29.25" customHeight="1" x14ac:dyDescent="0.25">
      <c r="B26" s="23">
        <v>22</v>
      </c>
      <c r="C26" s="49" t="s">
        <v>437</v>
      </c>
      <c r="D26" s="49"/>
      <c r="E26" s="49"/>
    </row>
    <row r="27" spans="2:5" ht="27" customHeight="1" x14ac:dyDescent="0.25">
      <c r="B27" s="184">
        <v>23</v>
      </c>
      <c r="C27" s="23" t="s">
        <v>182</v>
      </c>
      <c r="D27" s="4"/>
      <c r="E27" s="4"/>
    </row>
    <row r="28" spans="2:5" ht="22.5" customHeight="1" x14ac:dyDescent="0.25">
      <c r="B28" s="52">
        <v>24</v>
      </c>
      <c r="C28" s="23" t="s">
        <v>537</v>
      </c>
      <c r="D28" s="4"/>
      <c r="E28" s="4"/>
    </row>
    <row r="29" spans="2:5" ht="24.75" customHeight="1" x14ac:dyDescent="0.25">
      <c r="B29" s="184">
        <v>25</v>
      </c>
      <c r="C29" s="23" t="s">
        <v>479</v>
      </c>
      <c r="D29" s="4"/>
      <c r="E29" s="4"/>
    </row>
    <row r="30" spans="2:5" ht="26.25" customHeight="1" x14ac:dyDescent="0.25">
      <c r="B30" s="52">
        <v>26</v>
      </c>
      <c r="C30" s="23" t="s">
        <v>670</v>
      </c>
      <c r="D30" s="4"/>
      <c r="E30" s="4"/>
    </row>
  </sheetData>
  <mergeCells count="1">
    <mergeCell ref="B2:E2"/>
  </mergeCells>
  <pageMargins left="0.75" right="0.75" top="1" bottom="1" header="0.511811023622047" footer="0.511811023622047"/>
  <pageSetup paperSize="9" scale="84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  <pageSetUpPr fitToPage="1"/>
  </sheetPr>
  <dimension ref="A1:P94"/>
  <sheetViews>
    <sheetView topLeftCell="A62" zoomScale="123" zoomScaleNormal="100" workbookViewId="0">
      <selection activeCell="D85" sqref="D85"/>
    </sheetView>
  </sheetViews>
  <sheetFormatPr defaultColWidth="8.5703125" defaultRowHeight="15" x14ac:dyDescent="0.25"/>
  <cols>
    <col min="1" max="1" width="14" customWidth="1"/>
    <col min="2" max="2" width="12" customWidth="1"/>
    <col min="3" max="3" width="17.140625" customWidth="1"/>
    <col min="4" max="4" width="20.7109375" customWidth="1"/>
    <col min="5" max="6" width="12" customWidth="1"/>
    <col min="7" max="8" width="14" customWidth="1"/>
    <col min="9" max="9" width="12.42578125" customWidth="1"/>
    <col min="10" max="10" width="36.140625" customWidth="1"/>
    <col min="11" max="11" width="14.42578125" customWidth="1"/>
    <col min="12" max="12" width="19.42578125" bestFit="1" customWidth="1"/>
    <col min="13" max="13" width="21.140625" bestFit="1" customWidth="1"/>
    <col min="14" max="14" width="20" bestFit="1" customWidth="1"/>
    <col min="15" max="15" width="12.7109375" customWidth="1"/>
  </cols>
  <sheetData>
    <row r="1" spans="1:16" ht="24" customHeight="1" x14ac:dyDescent="0.25">
      <c r="A1" s="88"/>
      <c r="B1" s="88"/>
      <c r="C1" s="88"/>
      <c r="D1" s="88"/>
      <c r="E1" s="88"/>
      <c r="F1" s="88"/>
      <c r="G1" s="88"/>
      <c r="H1" s="88"/>
      <c r="I1" s="88"/>
      <c r="J1" s="88"/>
    </row>
    <row r="2" spans="1:16" ht="29.25" customHeight="1" x14ac:dyDescent="0.25">
      <c r="A2" s="227" t="s">
        <v>381</v>
      </c>
      <c r="B2" s="228"/>
      <c r="C2" s="228"/>
      <c r="D2" s="228"/>
      <c r="E2" s="228"/>
      <c r="F2" s="228"/>
      <c r="G2" s="228"/>
      <c r="H2" s="228"/>
      <c r="I2" s="228"/>
      <c r="J2" s="228"/>
    </row>
    <row r="3" spans="1:16" ht="23.25" customHeight="1" x14ac:dyDescent="0.25"/>
    <row r="4" spans="1:16" ht="28.5" customHeight="1" x14ac:dyDescent="0.25">
      <c r="A4" s="67" t="s">
        <v>26</v>
      </c>
      <c r="B4" s="67" t="s">
        <v>27</v>
      </c>
      <c r="C4" s="67" t="s">
        <v>82</v>
      </c>
      <c r="D4" s="67" t="s">
        <v>34</v>
      </c>
      <c r="E4" s="67" t="s">
        <v>35</v>
      </c>
      <c r="F4" s="67" t="s">
        <v>36</v>
      </c>
      <c r="G4" s="67" t="s">
        <v>32</v>
      </c>
      <c r="H4" s="67" t="s">
        <v>37</v>
      </c>
      <c r="I4" s="67" t="s">
        <v>38</v>
      </c>
      <c r="J4" s="67" t="s">
        <v>31</v>
      </c>
      <c r="N4" s="216" t="s">
        <v>351</v>
      </c>
      <c r="O4" s="216"/>
      <c r="P4" s="216"/>
    </row>
    <row r="5" spans="1:16" ht="21" customHeight="1" x14ac:dyDescent="0.25">
      <c r="A5" s="220">
        <v>46204</v>
      </c>
      <c r="B5" s="23" t="str">
        <f t="shared" ref="B5:B21" si="0">IF(A5="","",CHOOSE(WEEKDAY(A5,2),"الاثنين","الثلاثاء","الأربعاء","الخميس","الجمعة","السبت","الأحد"))</f>
        <v>الأربعاء</v>
      </c>
      <c r="C5" s="9" t="s">
        <v>337</v>
      </c>
      <c r="D5" s="23" t="s">
        <v>103</v>
      </c>
      <c r="E5" s="10"/>
      <c r="F5" s="10"/>
      <c r="G5" s="62">
        <v>16922</v>
      </c>
      <c r="H5" s="62">
        <v>16922</v>
      </c>
      <c r="I5" s="8">
        <f t="shared" ref="I5:I35" si="1">IF(OR(G5="",H5=""),"",G5-H5)</f>
        <v>0</v>
      </c>
      <c r="J5" s="4"/>
      <c r="L5" s="1"/>
      <c r="N5" s="216"/>
      <c r="O5" s="216"/>
      <c r="P5" s="216"/>
    </row>
    <row r="6" spans="1:16" ht="20.25" customHeight="1" x14ac:dyDescent="0.25">
      <c r="A6" s="221"/>
      <c r="B6" s="70"/>
      <c r="C6" s="89" t="s">
        <v>337</v>
      </c>
      <c r="D6" s="70" t="s">
        <v>103</v>
      </c>
      <c r="E6" s="90"/>
      <c r="F6" s="90"/>
      <c r="G6" s="76">
        <v>920</v>
      </c>
      <c r="H6" s="76">
        <v>920</v>
      </c>
      <c r="I6" s="91">
        <v>0</v>
      </c>
      <c r="J6" s="78"/>
      <c r="N6" s="216"/>
      <c r="O6" s="216"/>
      <c r="P6" s="216"/>
    </row>
    <row r="7" spans="1:16" ht="20.25" customHeight="1" x14ac:dyDescent="0.25">
      <c r="A7" s="221"/>
      <c r="B7" s="23" t="str">
        <f t="shared" si="0"/>
        <v/>
      </c>
      <c r="C7" s="9" t="s">
        <v>104</v>
      </c>
      <c r="D7" s="23" t="s">
        <v>103</v>
      </c>
      <c r="E7" s="62">
        <v>50</v>
      </c>
      <c r="F7" s="62">
        <v>88</v>
      </c>
      <c r="G7" s="62">
        <v>4400</v>
      </c>
      <c r="H7" s="62">
        <v>4400</v>
      </c>
      <c r="I7" s="8">
        <f t="shared" si="1"/>
        <v>0</v>
      </c>
      <c r="J7" s="4"/>
      <c r="N7" s="216"/>
      <c r="O7" s="216"/>
      <c r="P7" s="216"/>
    </row>
    <row r="8" spans="1:16" ht="20.25" customHeight="1" x14ac:dyDescent="0.25">
      <c r="A8" s="222"/>
      <c r="B8" s="70" t="str">
        <f>IF(A8="","",CHOOSE(WEEKDAY(A8,2),"الاثنين","الثلاثاء","الأربعاء","الخميس","الجمعة","السبت","الأحد"))</f>
        <v/>
      </c>
      <c r="C8" s="89" t="s">
        <v>106</v>
      </c>
      <c r="D8" s="92" t="s">
        <v>107</v>
      </c>
      <c r="E8" s="90"/>
      <c r="F8" s="90"/>
      <c r="G8" s="76">
        <v>1481.74</v>
      </c>
      <c r="H8" s="75">
        <v>1481.74</v>
      </c>
      <c r="I8" s="91">
        <f t="shared" si="1"/>
        <v>0</v>
      </c>
      <c r="J8" s="78"/>
      <c r="L8" s="13"/>
      <c r="M8" s="13"/>
      <c r="N8" s="216"/>
      <c r="O8" s="216"/>
      <c r="P8" s="216"/>
    </row>
    <row r="9" spans="1:16" ht="20.25" customHeight="1" x14ac:dyDescent="0.25">
      <c r="A9" s="220">
        <v>46205</v>
      </c>
      <c r="B9" s="23" t="str">
        <f t="shared" si="0"/>
        <v>الخميس</v>
      </c>
      <c r="C9" s="9" t="s">
        <v>130</v>
      </c>
      <c r="D9" s="4"/>
      <c r="E9" s="10"/>
      <c r="F9" s="10"/>
      <c r="G9" s="62">
        <v>1220</v>
      </c>
      <c r="H9" s="11">
        <v>1220</v>
      </c>
      <c r="I9" s="8">
        <f t="shared" si="1"/>
        <v>0</v>
      </c>
      <c r="J9" s="4"/>
      <c r="L9" s="13"/>
      <c r="M9" s="13"/>
      <c r="N9" s="13"/>
    </row>
    <row r="10" spans="1:16" ht="21.75" customHeight="1" x14ac:dyDescent="0.25">
      <c r="A10" s="221"/>
      <c r="B10" s="70" t="str">
        <f t="shared" si="0"/>
        <v/>
      </c>
      <c r="C10" s="89" t="s">
        <v>134</v>
      </c>
      <c r="D10" s="70"/>
      <c r="E10" s="90"/>
      <c r="F10" s="90"/>
      <c r="G10" s="76">
        <v>315</v>
      </c>
      <c r="H10" s="75">
        <v>315</v>
      </c>
      <c r="I10" s="91">
        <f t="shared" si="1"/>
        <v>0</v>
      </c>
      <c r="J10" s="78"/>
      <c r="L10" s="13"/>
      <c r="M10" s="13"/>
      <c r="N10" s="13"/>
    </row>
    <row r="11" spans="1:16" ht="24" customHeight="1" x14ac:dyDescent="0.25">
      <c r="A11" s="221"/>
      <c r="B11" s="97" t="str">
        <f t="shared" si="0"/>
        <v/>
      </c>
      <c r="C11" s="98" t="s">
        <v>131</v>
      </c>
      <c r="D11" s="97"/>
      <c r="E11" s="99"/>
      <c r="F11" s="99"/>
      <c r="G11" s="100">
        <v>50</v>
      </c>
      <c r="H11" s="101">
        <v>50</v>
      </c>
      <c r="I11" s="102">
        <f t="shared" si="1"/>
        <v>0</v>
      </c>
      <c r="J11" s="94"/>
      <c r="L11" s="13"/>
      <c r="M11" s="13"/>
      <c r="N11" s="13"/>
    </row>
    <row r="12" spans="1:16" ht="25.5" customHeight="1" x14ac:dyDescent="0.25">
      <c r="A12" s="222"/>
      <c r="B12" s="70" t="str">
        <f t="shared" si="0"/>
        <v/>
      </c>
      <c r="C12" s="89" t="s">
        <v>106</v>
      </c>
      <c r="D12" s="70" t="s">
        <v>107</v>
      </c>
      <c r="E12" s="90"/>
      <c r="F12" s="90"/>
      <c r="G12" s="76">
        <v>1065</v>
      </c>
      <c r="H12" s="75">
        <v>1065</v>
      </c>
      <c r="I12" s="91">
        <f t="shared" si="1"/>
        <v>0</v>
      </c>
      <c r="J12" s="78"/>
      <c r="N12" s="13"/>
    </row>
    <row r="13" spans="1:16" ht="21.75" customHeight="1" x14ac:dyDescent="0.25">
      <c r="A13" s="220">
        <v>46206</v>
      </c>
      <c r="B13" s="23" t="s">
        <v>124</v>
      </c>
      <c r="C13" s="9" t="s">
        <v>106</v>
      </c>
      <c r="D13" s="23" t="s">
        <v>107</v>
      </c>
      <c r="E13" s="10"/>
      <c r="F13" s="10"/>
      <c r="G13" s="62">
        <v>1360</v>
      </c>
      <c r="H13" s="11">
        <v>1360</v>
      </c>
      <c r="I13" s="8">
        <f t="shared" si="1"/>
        <v>0</v>
      </c>
      <c r="J13" s="7" t="s">
        <v>157</v>
      </c>
      <c r="N13" s="13"/>
    </row>
    <row r="14" spans="1:16" ht="24" customHeight="1" x14ac:dyDescent="0.25">
      <c r="A14" s="221"/>
      <c r="B14" s="70" t="s">
        <v>124</v>
      </c>
      <c r="C14" s="89" t="s">
        <v>337</v>
      </c>
      <c r="D14" s="70" t="s">
        <v>103</v>
      </c>
      <c r="E14" s="90"/>
      <c r="F14" s="90"/>
      <c r="G14" s="76">
        <v>8015</v>
      </c>
      <c r="H14" s="76"/>
      <c r="I14" s="75">
        <v>7370</v>
      </c>
      <c r="J14" s="78"/>
    </row>
    <row r="15" spans="1:16" ht="24.75" customHeight="1" x14ac:dyDescent="0.25">
      <c r="A15" s="222"/>
      <c r="B15" s="23" t="s">
        <v>124</v>
      </c>
      <c r="C15" s="9" t="s">
        <v>284</v>
      </c>
      <c r="D15" s="23" t="s">
        <v>285</v>
      </c>
      <c r="E15" s="11">
        <v>30</v>
      </c>
      <c r="F15" s="11">
        <v>200</v>
      </c>
      <c r="G15" s="11">
        <v>6000</v>
      </c>
      <c r="H15" s="11">
        <v>6000</v>
      </c>
      <c r="I15" s="8">
        <f t="shared" si="1"/>
        <v>0</v>
      </c>
      <c r="J15" s="7" t="s">
        <v>353</v>
      </c>
      <c r="L15" s="1"/>
    </row>
    <row r="16" spans="1:16" ht="23.25" customHeight="1" x14ac:dyDescent="0.25">
      <c r="A16" s="229">
        <v>46207</v>
      </c>
      <c r="B16" s="70" t="str">
        <f t="shared" si="0"/>
        <v>السبت</v>
      </c>
      <c r="C16" s="89" t="s">
        <v>190</v>
      </c>
      <c r="D16" s="70" t="s">
        <v>314</v>
      </c>
      <c r="E16" s="90"/>
      <c r="F16" s="90"/>
      <c r="G16" s="76">
        <v>950</v>
      </c>
      <c r="H16" s="75">
        <v>950</v>
      </c>
      <c r="I16" s="91">
        <f t="shared" si="1"/>
        <v>0</v>
      </c>
      <c r="J16" s="167"/>
      <c r="L16" s="51"/>
    </row>
    <row r="17" spans="1:12" ht="21.75" customHeight="1" x14ac:dyDescent="0.25">
      <c r="A17" s="230"/>
      <c r="B17" s="23" t="str">
        <f t="shared" si="0"/>
        <v/>
      </c>
      <c r="C17" s="9" t="s">
        <v>337</v>
      </c>
      <c r="D17" s="23" t="s">
        <v>103</v>
      </c>
      <c r="E17" s="10"/>
      <c r="F17" s="10"/>
      <c r="G17" s="62">
        <v>13890</v>
      </c>
      <c r="H17" s="62">
        <v>13890</v>
      </c>
      <c r="I17" s="8">
        <f t="shared" si="1"/>
        <v>0</v>
      </c>
      <c r="J17" s="4"/>
      <c r="L17" s="130"/>
    </row>
    <row r="18" spans="1:12" ht="25.5" customHeight="1" x14ac:dyDescent="0.25">
      <c r="A18" s="230"/>
      <c r="B18" s="70" t="str">
        <f t="shared" si="0"/>
        <v/>
      </c>
      <c r="C18" s="89" t="s">
        <v>106</v>
      </c>
      <c r="D18" s="70" t="s">
        <v>107</v>
      </c>
      <c r="E18" s="90"/>
      <c r="F18" s="90"/>
      <c r="G18" s="76">
        <v>1425</v>
      </c>
      <c r="H18" s="75">
        <v>1425</v>
      </c>
      <c r="I18" s="91">
        <f t="shared" si="1"/>
        <v>0</v>
      </c>
      <c r="J18" s="78"/>
    </row>
    <row r="19" spans="1:12" ht="24" customHeight="1" x14ac:dyDescent="0.25">
      <c r="A19" s="231"/>
      <c r="B19" s="23" t="str">
        <f t="shared" si="0"/>
        <v/>
      </c>
      <c r="C19" s="9" t="s">
        <v>175</v>
      </c>
      <c r="D19" s="4"/>
      <c r="E19" s="10"/>
      <c r="F19" s="10"/>
      <c r="G19" s="62">
        <v>1570</v>
      </c>
      <c r="H19" s="11">
        <v>1570</v>
      </c>
      <c r="I19" s="8">
        <f t="shared" si="1"/>
        <v>0</v>
      </c>
      <c r="J19" s="4"/>
    </row>
    <row r="20" spans="1:12" ht="21.75" customHeight="1" x14ac:dyDescent="0.25">
      <c r="A20" s="229">
        <v>46208</v>
      </c>
      <c r="B20" s="70" t="str">
        <f t="shared" si="0"/>
        <v>الأحد</v>
      </c>
      <c r="C20" s="89" t="s">
        <v>198</v>
      </c>
      <c r="D20" s="78"/>
      <c r="E20" s="90"/>
      <c r="F20" s="90"/>
      <c r="G20" s="76">
        <v>2350</v>
      </c>
      <c r="H20" s="75">
        <v>2350</v>
      </c>
      <c r="I20" s="91">
        <f t="shared" si="1"/>
        <v>0</v>
      </c>
      <c r="J20" s="78"/>
    </row>
    <row r="21" spans="1:12" ht="21.75" customHeight="1" x14ac:dyDescent="0.25">
      <c r="A21" s="231"/>
      <c r="B21" s="23" t="str">
        <f t="shared" si="0"/>
        <v/>
      </c>
      <c r="C21" s="9" t="s">
        <v>175</v>
      </c>
      <c r="D21" s="4"/>
      <c r="E21" s="10"/>
      <c r="F21" s="10"/>
      <c r="G21" s="62">
        <v>515</v>
      </c>
      <c r="H21" s="11">
        <v>515</v>
      </c>
      <c r="I21" s="8">
        <f t="shared" si="1"/>
        <v>0</v>
      </c>
      <c r="J21" s="4"/>
    </row>
    <row r="22" spans="1:12" ht="21" customHeight="1" x14ac:dyDescent="0.25">
      <c r="A22" s="220">
        <v>46209</v>
      </c>
      <c r="B22" s="70" t="str">
        <f>IF(A23="","",CHOOSE(WEEKDAY(A23,2),"الاثنين","الثلاثاء","الأربعاء","الخميس","الجمعة","السبت","الأحد"))</f>
        <v/>
      </c>
      <c r="C22" s="89" t="s">
        <v>286</v>
      </c>
      <c r="D22" s="70" t="s">
        <v>107</v>
      </c>
      <c r="E22" s="90"/>
      <c r="F22" s="90"/>
      <c r="G22" s="76">
        <v>1940</v>
      </c>
      <c r="H22" s="75">
        <v>1940</v>
      </c>
      <c r="I22" s="91">
        <f t="shared" si="1"/>
        <v>0</v>
      </c>
      <c r="J22" s="78"/>
    </row>
    <row r="23" spans="1:12" ht="24" customHeight="1" x14ac:dyDescent="0.25">
      <c r="A23" s="221"/>
      <c r="B23" s="23" t="str">
        <f>IF(A24="","",CHOOSE(WEEKDAY(A24,2),"الاثنين","الثلاثاء","الأربعاء","الخميس","الجمعة","السبت","الأحد"))</f>
        <v/>
      </c>
      <c r="C23" s="9" t="s">
        <v>283</v>
      </c>
      <c r="D23" s="23" t="s">
        <v>314</v>
      </c>
      <c r="E23" s="10"/>
      <c r="F23" s="10"/>
      <c r="G23" s="62">
        <v>400</v>
      </c>
      <c r="H23" s="11">
        <v>400</v>
      </c>
      <c r="I23" s="8">
        <f t="shared" si="1"/>
        <v>0</v>
      </c>
      <c r="J23" s="4"/>
    </row>
    <row r="24" spans="1:12" ht="23.25" customHeight="1" x14ac:dyDescent="0.25">
      <c r="A24" s="221"/>
      <c r="B24" s="70" t="str">
        <f>IF(A25="","",CHOOSE(WEEKDAY(A25,2),"الاثنين","الثلاثاء","الأربعاء","الخميس","الجمعة","السبت","الأحد"))</f>
        <v/>
      </c>
      <c r="C24" s="89" t="s">
        <v>337</v>
      </c>
      <c r="D24" s="70" t="s">
        <v>103</v>
      </c>
      <c r="E24" s="90"/>
      <c r="F24" s="90"/>
      <c r="G24" s="76">
        <v>20218</v>
      </c>
      <c r="H24" s="76">
        <v>20218</v>
      </c>
      <c r="I24" s="91">
        <f t="shared" si="1"/>
        <v>0</v>
      </c>
      <c r="J24" s="78"/>
    </row>
    <row r="25" spans="1:12" ht="21.75" customHeight="1" x14ac:dyDescent="0.25">
      <c r="A25" s="221"/>
      <c r="B25" s="70"/>
      <c r="C25" s="89" t="s">
        <v>468</v>
      </c>
      <c r="D25" s="70" t="s">
        <v>285</v>
      </c>
      <c r="E25" s="90">
        <v>30</v>
      </c>
      <c r="F25" s="90">
        <v>200</v>
      </c>
      <c r="G25" s="76">
        <v>6000</v>
      </c>
      <c r="H25" s="76">
        <v>6000</v>
      </c>
      <c r="I25" s="91"/>
      <c r="J25" s="78"/>
    </row>
    <row r="26" spans="1:12" ht="21.75" customHeight="1" x14ac:dyDescent="0.25">
      <c r="A26" s="221"/>
      <c r="B26" s="23" t="str">
        <f t="shared" ref="B26:B59" si="2">IF(A27="","",CHOOSE(WEEKDAY(A27,2),"الاثنين","الثلاثاء","الأربعاء","الخميس","الجمعة","السبت","الأحد"))</f>
        <v/>
      </c>
      <c r="C26" s="9" t="s">
        <v>284</v>
      </c>
      <c r="D26" s="23" t="s">
        <v>285</v>
      </c>
      <c r="E26" s="10"/>
      <c r="F26" s="10"/>
      <c r="G26" s="11">
        <v>5800</v>
      </c>
      <c r="H26" s="11">
        <v>5800</v>
      </c>
      <c r="I26" s="8">
        <f t="shared" si="1"/>
        <v>0</v>
      </c>
      <c r="J26" s="4" t="s">
        <v>353</v>
      </c>
    </row>
    <row r="27" spans="1:12" ht="21.75" customHeight="1" x14ac:dyDescent="0.25">
      <c r="A27" s="222"/>
      <c r="B27" s="70" t="str">
        <f t="shared" si="2"/>
        <v>الثلاثاء</v>
      </c>
      <c r="C27" s="89" t="s">
        <v>190</v>
      </c>
      <c r="D27" s="70" t="s">
        <v>314</v>
      </c>
      <c r="E27" s="90"/>
      <c r="F27" s="90"/>
      <c r="G27" s="75">
        <v>350</v>
      </c>
      <c r="H27" s="75">
        <v>350</v>
      </c>
      <c r="I27" s="91">
        <f t="shared" si="1"/>
        <v>0</v>
      </c>
      <c r="J27" s="78"/>
      <c r="L27" s="223" t="s">
        <v>127</v>
      </c>
    </row>
    <row r="28" spans="1:12" ht="24" customHeight="1" x14ac:dyDescent="0.25">
      <c r="A28" s="73">
        <v>46210</v>
      </c>
      <c r="B28" s="23" t="str">
        <f t="shared" si="2"/>
        <v>الأربعاء</v>
      </c>
      <c r="C28" s="9" t="s">
        <v>326</v>
      </c>
      <c r="D28" s="4"/>
      <c r="E28" s="10">
        <v>10</v>
      </c>
      <c r="F28" s="10"/>
      <c r="G28" s="62">
        <v>1000</v>
      </c>
      <c r="H28" s="11">
        <v>1000</v>
      </c>
      <c r="I28" s="8">
        <f t="shared" si="1"/>
        <v>0</v>
      </c>
      <c r="J28" s="4"/>
      <c r="L28" s="223"/>
    </row>
    <row r="29" spans="1:12" ht="21.75" customHeight="1" x14ac:dyDescent="0.25">
      <c r="A29" s="220">
        <v>46211</v>
      </c>
      <c r="B29" s="70" t="str">
        <f t="shared" si="2"/>
        <v/>
      </c>
      <c r="C29" s="89" t="s">
        <v>286</v>
      </c>
      <c r="D29" s="72" t="s">
        <v>107</v>
      </c>
      <c r="E29" s="90"/>
      <c r="F29" s="90"/>
      <c r="G29" s="76">
        <v>205</v>
      </c>
      <c r="H29" s="75">
        <v>205</v>
      </c>
      <c r="I29" s="91">
        <f t="shared" si="1"/>
        <v>0</v>
      </c>
      <c r="J29" s="78"/>
      <c r="L29" s="93">
        <f>SUM(G5:G244)</f>
        <v>226013.24000000002</v>
      </c>
    </row>
    <row r="30" spans="1:12" ht="21.75" customHeight="1" x14ac:dyDescent="0.25">
      <c r="A30" s="221"/>
      <c r="B30" s="23" t="str">
        <f t="shared" si="2"/>
        <v/>
      </c>
      <c r="C30" s="9" t="s">
        <v>326</v>
      </c>
      <c r="D30" s="4"/>
      <c r="E30" s="10">
        <v>50</v>
      </c>
      <c r="F30" s="10"/>
      <c r="G30" s="62">
        <v>4400</v>
      </c>
      <c r="H30" s="11">
        <v>4400</v>
      </c>
      <c r="I30" s="8">
        <f t="shared" si="1"/>
        <v>0</v>
      </c>
      <c r="J30" s="4"/>
    </row>
    <row r="31" spans="1:12" ht="22.5" customHeight="1" x14ac:dyDescent="0.25">
      <c r="A31" s="222"/>
      <c r="B31" s="70" t="str">
        <f t="shared" si="2"/>
        <v>الخميس</v>
      </c>
      <c r="C31" s="70" t="s">
        <v>175</v>
      </c>
      <c r="D31" s="70"/>
      <c r="E31" s="70"/>
      <c r="F31" s="70"/>
      <c r="G31" s="70">
        <v>270</v>
      </c>
      <c r="H31" s="70">
        <v>270</v>
      </c>
      <c r="I31" s="70">
        <f t="shared" si="1"/>
        <v>0</v>
      </c>
      <c r="J31" s="70"/>
    </row>
    <row r="32" spans="1:12" ht="19.5" customHeight="1" x14ac:dyDescent="0.25">
      <c r="A32" s="229">
        <v>46212</v>
      </c>
      <c r="B32" s="23" t="str">
        <f t="shared" si="2"/>
        <v/>
      </c>
      <c r="C32" s="23" t="s">
        <v>337</v>
      </c>
      <c r="D32" s="23" t="s">
        <v>103</v>
      </c>
      <c r="E32" s="23"/>
      <c r="F32" s="23"/>
      <c r="G32" s="109">
        <v>7400</v>
      </c>
      <c r="H32" s="23">
        <v>7400</v>
      </c>
      <c r="I32" s="23">
        <f t="shared" si="1"/>
        <v>0</v>
      </c>
      <c r="J32" s="23"/>
    </row>
    <row r="33" spans="1:12" ht="21.75" customHeight="1" x14ac:dyDescent="0.25">
      <c r="A33" s="230"/>
      <c r="B33" s="70" t="str">
        <f t="shared" si="2"/>
        <v/>
      </c>
      <c r="C33" s="70" t="s">
        <v>80</v>
      </c>
      <c r="D33" s="70"/>
      <c r="E33" s="70"/>
      <c r="F33" s="70"/>
      <c r="G33" s="70">
        <v>2000</v>
      </c>
      <c r="H33" s="70">
        <v>2000</v>
      </c>
      <c r="I33" s="70">
        <f t="shared" si="1"/>
        <v>0</v>
      </c>
      <c r="J33" s="70"/>
      <c r="L33" s="1"/>
    </row>
    <row r="34" spans="1:12" ht="20.25" customHeight="1" x14ac:dyDescent="0.25">
      <c r="A34" s="230"/>
      <c r="B34" s="23" t="str">
        <f t="shared" si="2"/>
        <v/>
      </c>
      <c r="C34" s="23" t="s">
        <v>106</v>
      </c>
      <c r="D34" s="23" t="s">
        <v>107</v>
      </c>
      <c r="E34" s="23"/>
      <c r="F34" s="23"/>
      <c r="G34" s="23">
        <v>1115</v>
      </c>
      <c r="H34" s="23">
        <v>1115</v>
      </c>
      <c r="I34" s="23">
        <f t="shared" si="1"/>
        <v>0</v>
      </c>
      <c r="J34" s="23"/>
    </row>
    <row r="35" spans="1:12" ht="22.5" customHeight="1" x14ac:dyDescent="0.25">
      <c r="A35" s="230"/>
      <c r="B35" s="70" t="str">
        <f t="shared" si="2"/>
        <v/>
      </c>
      <c r="C35" s="70" t="s">
        <v>337</v>
      </c>
      <c r="D35" s="70" t="s">
        <v>103</v>
      </c>
      <c r="E35" s="70"/>
      <c r="F35" s="70"/>
      <c r="G35" s="70">
        <v>1830</v>
      </c>
      <c r="H35" s="70">
        <v>1830</v>
      </c>
      <c r="I35" s="70">
        <f t="shared" si="1"/>
        <v>0</v>
      </c>
      <c r="J35" s="70"/>
    </row>
    <row r="36" spans="1:12" ht="24" customHeight="1" x14ac:dyDescent="0.25">
      <c r="A36" s="230"/>
      <c r="B36" s="23" t="str">
        <f t="shared" si="2"/>
        <v/>
      </c>
      <c r="C36" s="23" t="s">
        <v>337</v>
      </c>
      <c r="D36" s="23" t="s">
        <v>103</v>
      </c>
      <c r="E36" s="23"/>
      <c r="F36" s="23"/>
      <c r="G36" s="23">
        <v>4990</v>
      </c>
      <c r="H36" s="23">
        <v>4990</v>
      </c>
      <c r="I36" s="23">
        <f t="shared" ref="I36:I62" si="3">IF(OR(G36="",H36=""),"",G36-H36)</f>
        <v>0</v>
      </c>
      <c r="J36" s="23" t="s">
        <v>355</v>
      </c>
    </row>
    <row r="37" spans="1:12" ht="22.5" customHeight="1" x14ac:dyDescent="0.25">
      <c r="A37" s="230"/>
      <c r="B37" s="70" t="str">
        <f t="shared" si="2"/>
        <v/>
      </c>
      <c r="C37" s="70" t="s">
        <v>337</v>
      </c>
      <c r="D37" s="70" t="s">
        <v>103</v>
      </c>
      <c r="E37" s="70"/>
      <c r="F37" s="70"/>
      <c r="G37" s="70">
        <v>1170</v>
      </c>
      <c r="H37" s="70">
        <v>1170</v>
      </c>
      <c r="I37" s="70">
        <f t="shared" si="3"/>
        <v>0</v>
      </c>
      <c r="J37" s="70"/>
    </row>
    <row r="38" spans="1:12" ht="22.5" customHeight="1" x14ac:dyDescent="0.25">
      <c r="A38" s="231"/>
      <c r="B38" s="23" t="str">
        <f t="shared" si="2"/>
        <v>الجمعة</v>
      </c>
      <c r="C38" s="23" t="s">
        <v>286</v>
      </c>
      <c r="D38" s="23" t="s">
        <v>107</v>
      </c>
      <c r="E38" s="23"/>
      <c r="F38" s="23"/>
      <c r="G38" s="23">
        <v>550</v>
      </c>
      <c r="H38" s="23">
        <v>550</v>
      </c>
      <c r="I38" s="34">
        <f t="shared" si="3"/>
        <v>0</v>
      </c>
      <c r="J38" s="7"/>
      <c r="L38" s="1">
        <f>SUM(G5:G47)</f>
        <v>149643.44</v>
      </c>
    </row>
    <row r="39" spans="1:12" ht="26.25" customHeight="1" x14ac:dyDescent="0.25">
      <c r="A39" s="39">
        <v>46213</v>
      </c>
      <c r="B39" s="70" t="str">
        <f t="shared" si="2"/>
        <v>السبت</v>
      </c>
      <c r="C39" s="70" t="s">
        <v>337</v>
      </c>
      <c r="D39" s="70" t="s">
        <v>103</v>
      </c>
      <c r="E39" s="70"/>
      <c r="F39" s="70"/>
      <c r="G39" s="70">
        <v>6935</v>
      </c>
      <c r="H39" s="70">
        <v>6935</v>
      </c>
      <c r="I39" s="70">
        <f t="shared" si="3"/>
        <v>0</v>
      </c>
      <c r="J39" s="74" t="s">
        <v>376</v>
      </c>
      <c r="L39" s="1"/>
    </row>
    <row r="40" spans="1:12" ht="23.25" customHeight="1" x14ac:dyDescent="0.25">
      <c r="A40" s="229">
        <v>46214</v>
      </c>
      <c r="B40" s="23" t="str">
        <f t="shared" si="2"/>
        <v/>
      </c>
      <c r="C40" s="23" t="s">
        <v>286</v>
      </c>
      <c r="D40" s="23" t="s">
        <v>107</v>
      </c>
      <c r="E40" s="23"/>
      <c r="F40" s="23"/>
      <c r="G40" s="23">
        <v>630</v>
      </c>
      <c r="H40" s="23">
        <v>630</v>
      </c>
      <c r="I40" s="23">
        <f t="shared" si="3"/>
        <v>0</v>
      </c>
      <c r="J40" s="7"/>
    </row>
    <row r="41" spans="1:12" ht="23.25" customHeight="1" x14ac:dyDescent="0.25">
      <c r="A41" s="231"/>
      <c r="B41" s="70" t="str">
        <f t="shared" si="2"/>
        <v>الأحد</v>
      </c>
      <c r="C41" s="70" t="s">
        <v>286</v>
      </c>
      <c r="D41" s="70" t="s">
        <v>107</v>
      </c>
      <c r="E41" s="70"/>
      <c r="F41" s="70"/>
      <c r="G41" s="70">
        <v>900</v>
      </c>
      <c r="H41" s="70">
        <v>900</v>
      </c>
      <c r="I41" s="70">
        <f t="shared" si="3"/>
        <v>0</v>
      </c>
      <c r="J41" s="74"/>
    </row>
    <row r="42" spans="1:12" ht="24" customHeight="1" x14ac:dyDescent="0.25">
      <c r="A42" s="229">
        <v>46215</v>
      </c>
      <c r="B42" s="23" t="str">
        <f t="shared" si="2"/>
        <v/>
      </c>
      <c r="C42" s="23" t="s">
        <v>337</v>
      </c>
      <c r="D42" s="23" t="s">
        <v>103</v>
      </c>
      <c r="E42" s="23"/>
      <c r="F42" s="23"/>
      <c r="G42" s="23">
        <v>7005</v>
      </c>
      <c r="H42" s="23">
        <v>7005</v>
      </c>
      <c r="I42" s="23">
        <f t="shared" si="3"/>
        <v>0</v>
      </c>
      <c r="J42" s="7"/>
    </row>
    <row r="43" spans="1:12" ht="24" customHeight="1" x14ac:dyDescent="0.25">
      <c r="A43" s="231"/>
      <c r="B43" s="23" t="str">
        <f t="shared" si="2"/>
        <v/>
      </c>
      <c r="C43" s="23" t="s">
        <v>468</v>
      </c>
      <c r="D43" s="23" t="s">
        <v>285</v>
      </c>
      <c r="E43" s="23"/>
      <c r="F43" s="23"/>
      <c r="G43" s="23">
        <v>3150</v>
      </c>
      <c r="H43" s="23">
        <v>3150</v>
      </c>
      <c r="I43" s="23">
        <f t="shared" si="3"/>
        <v>0</v>
      </c>
      <c r="J43" s="23" t="s">
        <v>470</v>
      </c>
    </row>
    <row r="44" spans="1:12" ht="21.75" customHeight="1" x14ac:dyDescent="0.25">
      <c r="A44" s="23"/>
      <c r="B44" s="23" t="str">
        <f t="shared" si="2"/>
        <v>الاثنين</v>
      </c>
      <c r="C44" s="23" t="s">
        <v>337</v>
      </c>
      <c r="D44" s="23" t="s">
        <v>103</v>
      </c>
      <c r="E44" s="23"/>
      <c r="F44" s="23"/>
      <c r="G44" s="128">
        <v>4905</v>
      </c>
      <c r="H44" s="23">
        <v>4905</v>
      </c>
      <c r="I44" s="23">
        <f t="shared" si="3"/>
        <v>0</v>
      </c>
      <c r="J44" s="7"/>
    </row>
    <row r="45" spans="1:12" ht="25.5" customHeight="1" x14ac:dyDescent="0.25">
      <c r="A45" s="220">
        <v>46216</v>
      </c>
      <c r="B45" s="23" t="str">
        <f t="shared" si="2"/>
        <v/>
      </c>
      <c r="C45" s="23" t="s">
        <v>286</v>
      </c>
      <c r="D45" s="23" t="s">
        <v>107</v>
      </c>
      <c r="E45" s="23"/>
      <c r="F45" s="23"/>
      <c r="G45" s="23">
        <v>1251.7</v>
      </c>
      <c r="H45" s="23">
        <v>1251.7</v>
      </c>
      <c r="I45" s="23">
        <f t="shared" si="3"/>
        <v>0</v>
      </c>
      <c r="J45" s="7"/>
    </row>
    <row r="46" spans="1:12" ht="21.75" customHeight="1" x14ac:dyDescent="0.25">
      <c r="A46" s="221"/>
      <c r="B46" s="23" t="str">
        <f t="shared" si="2"/>
        <v/>
      </c>
      <c r="C46" s="23" t="s">
        <v>489</v>
      </c>
      <c r="D46" s="7"/>
      <c r="E46" s="7"/>
      <c r="F46" s="7"/>
      <c r="G46" s="131">
        <v>830</v>
      </c>
      <c r="H46" s="23">
        <v>830</v>
      </c>
      <c r="I46" s="7">
        <f t="shared" si="3"/>
        <v>0</v>
      </c>
      <c r="J46" s="7"/>
    </row>
    <row r="47" spans="1:12" ht="22.5" customHeight="1" x14ac:dyDescent="0.25">
      <c r="A47" s="222"/>
      <c r="B47" s="7" t="str">
        <f t="shared" si="2"/>
        <v>الثلاثاء</v>
      </c>
      <c r="C47" s="23" t="s">
        <v>498</v>
      </c>
      <c r="D47" s="7"/>
      <c r="E47" s="7"/>
      <c r="F47" s="7"/>
      <c r="G47" s="128">
        <v>1950</v>
      </c>
      <c r="H47" s="7">
        <v>1950</v>
      </c>
      <c r="I47" s="7">
        <f t="shared" si="3"/>
        <v>0</v>
      </c>
      <c r="J47" s="7"/>
    </row>
    <row r="48" spans="1:12" ht="24.75" customHeight="1" x14ac:dyDescent="0.25">
      <c r="A48" s="191">
        <v>46217</v>
      </c>
      <c r="B48" s="7" t="str">
        <f>IF(A50="","",CHOOSE(WEEKDAY(A50,2),"الاثنين","الثلاثاء","الأربعاء","الخميس","الجمعة","السبت","الأحد"))</f>
        <v/>
      </c>
      <c r="C48" s="23" t="s">
        <v>510</v>
      </c>
      <c r="D48" s="7"/>
      <c r="E48" s="7"/>
      <c r="F48" s="7"/>
      <c r="G48" s="7">
        <v>750</v>
      </c>
      <c r="H48" s="7">
        <v>750</v>
      </c>
      <c r="I48" s="7">
        <f t="shared" si="3"/>
        <v>0</v>
      </c>
      <c r="J48" s="7"/>
    </row>
    <row r="49" spans="1:10" ht="24.75" customHeight="1" x14ac:dyDescent="0.25">
      <c r="A49" s="191"/>
      <c r="B49" s="7"/>
      <c r="C49" s="23" t="s">
        <v>337</v>
      </c>
      <c r="D49" s="7" t="s">
        <v>103</v>
      </c>
      <c r="E49" s="7"/>
      <c r="F49" s="7"/>
      <c r="G49" s="128">
        <v>4480</v>
      </c>
      <c r="H49" s="7">
        <v>4480</v>
      </c>
      <c r="I49" s="7">
        <f t="shared" si="3"/>
        <v>0</v>
      </c>
      <c r="J49" s="7"/>
    </row>
    <row r="50" spans="1:10" ht="21.75" customHeight="1" x14ac:dyDescent="0.25">
      <c r="A50" s="191"/>
      <c r="B50" s="7" t="str">
        <f t="shared" si="2"/>
        <v/>
      </c>
      <c r="C50" s="23" t="s">
        <v>512</v>
      </c>
      <c r="D50" s="7"/>
      <c r="E50" s="7"/>
      <c r="F50" s="7"/>
      <c r="G50" s="7">
        <v>465</v>
      </c>
      <c r="H50" s="7">
        <v>465</v>
      </c>
      <c r="I50" s="7">
        <f t="shared" si="3"/>
        <v>0</v>
      </c>
      <c r="J50" s="7"/>
    </row>
    <row r="51" spans="1:10" ht="22.5" customHeight="1" x14ac:dyDescent="0.25">
      <c r="A51" s="191"/>
      <c r="B51" s="7" t="e">
        <f>IF(#REF!="","",CHOOSE(WEEKDAY(#REF!,2),"الاثنين","الثلاثاء","الأربعاء","الخميس","الجمعة","السبت","الأحد"))</f>
        <v>#REF!</v>
      </c>
      <c r="C51" s="23" t="s">
        <v>362</v>
      </c>
      <c r="D51" s="7"/>
      <c r="E51" s="7"/>
      <c r="F51" s="7"/>
      <c r="G51" s="7">
        <v>535</v>
      </c>
      <c r="H51" s="7">
        <v>535</v>
      </c>
      <c r="I51" s="7">
        <f t="shared" si="3"/>
        <v>0</v>
      </c>
      <c r="J51" s="7"/>
    </row>
    <row r="52" spans="1:10" ht="23.25" customHeight="1" x14ac:dyDescent="0.25">
      <c r="A52" s="191">
        <v>46218</v>
      </c>
      <c r="B52" s="7" t="str">
        <f>IF(A52="","",CHOOSE(WEEKDAY(A52,2),"الاثنين","الثلاثاء","الأربعاء","الخميس","الجمعة","السبت","الأحد"))</f>
        <v>الأربعاء</v>
      </c>
      <c r="C52" s="23" t="s">
        <v>529</v>
      </c>
      <c r="D52" s="23" t="s">
        <v>103</v>
      </c>
      <c r="E52" s="7"/>
      <c r="F52" s="7"/>
      <c r="G52" s="7">
        <v>4180</v>
      </c>
      <c r="H52" s="7">
        <v>4180</v>
      </c>
      <c r="I52" s="7">
        <f t="shared" si="3"/>
        <v>0</v>
      </c>
      <c r="J52" s="166"/>
    </row>
    <row r="53" spans="1:10" ht="22.5" customHeight="1" x14ac:dyDescent="0.25">
      <c r="A53" s="191"/>
      <c r="B53" s="7" t="str">
        <f t="shared" si="2"/>
        <v/>
      </c>
      <c r="C53" s="23" t="s">
        <v>286</v>
      </c>
      <c r="D53" s="23" t="s">
        <v>107</v>
      </c>
      <c r="E53" s="7"/>
      <c r="F53" s="7"/>
      <c r="G53" s="7">
        <v>1232.5</v>
      </c>
      <c r="H53" s="7">
        <v>1232.5</v>
      </c>
      <c r="I53" s="7">
        <f t="shared" si="3"/>
        <v>0</v>
      </c>
      <c r="J53" s="7"/>
    </row>
    <row r="54" spans="1:10" ht="23.25" customHeight="1" x14ac:dyDescent="0.25">
      <c r="A54" s="191"/>
      <c r="B54" s="7" t="str">
        <f t="shared" si="2"/>
        <v>الخميس</v>
      </c>
      <c r="C54" s="23" t="s">
        <v>337</v>
      </c>
      <c r="D54" s="23" t="s">
        <v>103</v>
      </c>
      <c r="E54" s="7"/>
      <c r="F54" s="7"/>
      <c r="G54" s="7">
        <v>785</v>
      </c>
      <c r="H54" s="7">
        <v>785</v>
      </c>
      <c r="I54" s="7">
        <f t="shared" si="3"/>
        <v>0</v>
      </c>
      <c r="J54" s="7"/>
    </row>
    <row r="55" spans="1:10" ht="21" customHeight="1" x14ac:dyDescent="0.25">
      <c r="A55" s="220">
        <v>46219</v>
      </c>
      <c r="B55" s="7" t="str">
        <f t="shared" si="2"/>
        <v/>
      </c>
      <c r="C55" s="7" t="s">
        <v>535</v>
      </c>
      <c r="D55" s="7"/>
      <c r="E55" s="7"/>
      <c r="F55" s="7"/>
      <c r="G55" s="23">
        <v>60</v>
      </c>
      <c r="H55" s="7">
        <v>60</v>
      </c>
      <c r="I55" s="7">
        <f t="shared" si="3"/>
        <v>0</v>
      </c>
      <c r="J55" s="7"/>
    </row>
    <row r="56" spans="1:10" ht="20.25" customHeight="1" x14ac:dyDescent="0.25">
      <c r="A56" s="221"/>
      <c r="B56" s="7" t="str">
        <f>IF(A58="","",CHOOSE(WEEKDAY(A58,2),"الاثنين","الثلاثاء","الأربعاء","الخميس","الجمعة","السبت","الأحد"))</f>
        <v/>
      </c>
      <c r="C56" s="7" t="s">
        <v>286</v>
      </c>
      <c r="D56" s="7" t="s">
        <v>107</v>
      </c>
      <c r="E56" s="7"/>
      <c r="F56" s="7"/>
      <c r="G56" s="23">
        <v>1410</v>
      </c>
      <c r="H56" s="7">
        <v>1410</v>
      </c>
      <c r="I56" s="7">
        <f t="shared" si="3"/>
        <v>0</v>
      </c>
      <c r="J56" s="7"/>
    </row>
    <row r="57" spans="1:10" ht="20.25" customHeight="1" x14ac:dyDescent="0.25">
      <c r="A57" s="221"/>
      <c r="B57" s="7"/>
      <c r="C57" s="7" t="s">
        <v>337</v>
      </c>
      <c r="D57" s="7" t="s">
        <v>103</v>
      </c>
      <c r="E57" s="7"/>
      <c r="F57" s="7"/>
      <c r="G57" s="128">
        <v>7870</v>
      </c>
      <c r="H57" s="7">
        <v>7870</v>
      </c>
      <c r="I57" s="7">
        <f t="shared" si="3"/>
        <v>0</v>
      </c>
      <c r="J57" s="7"/>
    </row>
    <row r="58" spans="1:10" ht="24" customHeight="1" x14ac:dyDescent="0.25">
      <c r="A58" s="222"/>
      <c r="B58" s="7" t="str">
        <f t="shared" si="2"/>
        <v>الجمعة</v>
      </c>
      <c r="C58" s="7" t="s">
        <v>539</v>
      </c>
      <c r="D58" s="7"/>
      <c r="E58" s="7"/>
      <c r="F58" s="7"/>
      <c r="G58" s="23">
        <v>3310</v>
      </c>
      <c r="H58" s="7">
        <v>3310</v>
      </c>
      <c r="I58" s="7">
        <f t="shared" si="3"/>
        <v>0</v>
      </c>
      <c r="J58" s="7" t="s">
        <v>540</v>
      </c>
    </row>
    <row r="59" spans="1:10" ht="22.5" customHeight="1" x14ac:dyDescent="0.25">
      <c r="A59" s="220">
        <v>46220</v>
      </c>
      <c r="B59" s="23" t="str">
        <f t="shared" si="2"/>
        <v/>
      </c>
      <c r="C59" s="23" t="s">
        <v>80</v>
      </c>
      <c r="D59" s="23"/>
      <c r="E59" s="23"/>
      <c r="F59" s="23"/>
      <c r="G59" s="23">
        <v>3100</v>
      </c>
      <c r="H59" s="23">
        <v>3100</v>
      </c>
      <c r="I59" s="23">
        <f t="shared" si="3"/>
        <v>0</v>
      </c>
      <c r="J59" s="23"/>
    </row>
    <row r="60" spans="1:10" ht="19.5" customHeight="1" x14ac:dyDescent="0.25">
      <c r="A60" s="222"/>
      <c r="B60" s="23" t="str">
        <f t="shared" ref="B60:B92" si="4">IF(A61="","",CHOOSE(WEEKDAY(A61,2),"الاثنين","الثلاثاء","الأربعاء","الخميس","الجمعة","السبت","الأحد"))</f>
        <v>السبت</v>
      </c>
      <c r="C60" s="23" t="s">
        <v>286</v>
      </c>
      <c r="D60" s="23" t="s">
        <v>107</v>
      </c>
      <c r="E60" s="23"/>
      <c r="F60" s="23"/>
      <c r="G60" s="23">
        <v>180</v>
      </c>
      <c r="H60" s="23">
        <v>180</v>
      </c>
      <c r="I60" s="23">
        <f t="shared" si="3"/>
        <v>0</v>
      </c>
      <c r="J60" s="23"/>
    </row>
    <row r="61" spans="1:10" ht="22.5" customHeight="1" x14ac:dyDescent="0.25">
      <c r="A61" s="220">
        <v>46221</v>
      </c>
      <c r="B61" s="23" t="str">
        <f t="shared" si="4"/>
        <v/>
      </c>
      <c r="C61" s="23" t="s">
        <v>337</v>
      </c>
      <c r="D61" s="23" t="s">
        <v>103</v>
      </c>
      <c r="E61" s="23"/>
      <c r="F61" s="23"/>
      <c r="G61" s="23">
        <v>4355</v>
      </c>
      <c r="H61" s="23">
        <v>4355</v>
      </c>
      <c r="I61" s="23">
        <f t="shared" si="3"/>
        <v>0</v>
      </c>
      <c r="J61" s="23"/>
    </row>
    <row r="62" spans="1:10" ht="23.25" customHeight="1" x14ac:dyDescent="0.25">
      <c r="A62" s="222"/>
      <c r="B62" s="23" t="str">
        <f t="shared" si="4"/>
        <v>الأحد</v>
      </c>
      <c r="C62" s="23" t="s">
        <v>585</v>
      </c>
      <c r="D62" s="23"/>
      <c r="E62" s="23"/>
      <c r="F62" s="23"/>
      <c r="G62" s="23">
        <v>775</v>
      </c>
      <c r="H62" s="23">
        <v>775</v>
      </c>
      <c r="I62" s="23">
        <f t="shared" si="3"/>
        <v>0</v>
      </c>
      <c r="J62" s="23"/>
    </row>
    <row r="63" spans="1:10" ht="22.5" customHeight="1" x14ac:dyDescent="0.25">
      <c r="A63" s="220">
        <v>46222</v>
      </c>
      <c r="B63" s="23" t="str">
        <f t="shared" si="4"/>
        <v/>
      </c>
      <c r="C63" s="23" t="s">
        <v>337</v>
      </c>
      <c r="D63" s="23" t="s">
        <v>103</v>
      </c>
      <c r="E63" s="23"/>
      <c r="F63" s="23"/>
      <c r="G63" s="23">
        <v>5920</v>
      </c>
      <c r="H63" s="52">
        <v>5920</v>
      </c>
      <c r="I63" s="23">
        <v>0</v>
      </c>
      <c r="J63" s="23"/>
    </row>
    <row r="64" spans="1:10" ht="18" customHeight="1" x14ac:dyDescent="0.25">
      <c r="A64" s="222"/>
      <c r="B64" s="23" t="str">
        <f t="shared" ref="B64" si="5">IF(A65="","",CHOOSE(WEEKDAY(A65,2),"الاثنين","الثلاثاء","الأربعاء","الخميس","الجمعة","السبت","الأحد"))</f>
        <v>الاثنين</v>
      </c>
      <c r="C64" s="23" t="s">
        <v>591</v>
      </c>
      <c r="D64" s="23"/>
      <c r="E64" s="23"/>
      <c r="F64" s="23"/>
      <c r="G64" s="23">
        <v>90</v>
      </c>
      <c r="H64" s="23">
        <v>90</v>
      </c>
      <c r="I64" s="23">
        <v>0</v>
      </c>
      <c r="J64" s="23"/>
    </row>
    <row r="65" spans="1:11" ht="20.25" customHeight="1" x14ac:dyDescent="0.25">
      <c r="A65" s="217">
        <v>46223</v>
      </c>
      <c r="B65" s="4" t="str">
        <f t="shared" si="4"/>
        <v/>
      </c>
      <c r="C65" s="151" t="s">
        <v>69</v>
      </c>
      <c r="D65" s="4"/>
      <c r="E65" s="4"/>
      <c r="F65" s="4"/>
      <c r="G65" s="151">
        <v>175</v>
      </c>
      <c r="H65" s="151">
        <v>175</v>
      </c>
      <c r="I65" s="7">
        <f t="shared" ref="I65:I92" si="6">IF(OR(G65="",H65=""),"",G65-H65)</f>
        <v>0</v>
      </c>
      <c r="J65" s="7"/>
    </row>
    <row r="66" spans="1:11" ht="21.75" customHeight="1" x14ac:dyDescent="0.25">
      <c r="A66" s="218"/>
      <c r="B66" s="4" t="str">
        <f t="shared" si="4"/>
        <v/>
      </c>
      <c r="C66" s="151" t="s">
        <v>107</v>
      </c>
      <c r="D66" s="4"/>
      <c r="E66" s="4"/>
      <c r="F66" s="4"/>
      <c r="G66" s="151">
        <v>1590</v>
      </c>
      <c r="H66" s="151">
        <v>1590</v>
      </c>
      <c r="I66" s="7">
        <f t="shared" si="6"/>
        <v>0</v>
      </c>
      <c r="J66" s="7"/>
    </row>
    <row r="67" spans="1:11" ht="21.75" customHeight="1" x14ac:dyDescent="0.25">
      <c r="A67" s="218"/>
      <c r="B67" s="4" t="str">
        <f t="shared" si="4"/>
        <v/>
      </c>
      <c r="C67" s="151" t="s">
        <v>598</v>
      </c>
      <c r="D67" s="4"/>
      <c r="E67" s="4"/>
      <c r="F67" s="4"/>
      <c r="G67" s="7">
        <v>450</v>
      </c>
      <c r="H67" s="7">
        <v>450</v>
      </c>
      <c r="I67" s="7">
        <f t="shared" si="6"/>
        <v>0</v>
      </c>
      <c r="J67" s="7"/>
      <c r="K67">
        <f>SUM(G65:G67)</f>
        <v>2215</v>
      </c>
    </row>
    <row r="68" spans="1:11" ht="20.25" customHeight="1" x14ac:dyDescent="0.25">
      <c r="A68" s="219"/>
      <c r="B68" s="4" t="str">
        <f>IF(A69="","",CHOOSE(WEEKDAY(A69,2),"الاثنين","الثلاثاء","الأربعاء","الخميس","الجمعة","السبت","الأحد"))</f>
        <v>الثلاثاء</v>
      </c>
      <c r="C68" s="7" t="s">
        <v>337</v>
      </c>
      <c r="D68" s="7" t="s">
        <v>103</v>
      </c>
      <c r="E68" s="4"/>
      <c r="F68" s="4"/>
      <c r="G68" s="7">
        <v>9630</v>
      </c>
      <c r="H68" s="7">
        <v>9630</v>
      </c>
      <c r="I68" s="7">
        <f t="shared" si="6"/>
        <v>0</v>
      </c>
      <c r="J68" s="7" t="s">
        <v>601</v>
      </c>
    </row>
    <row r="69" spans="1:11" ht="21.75" customHeight="1" x14ac:dyDescent="0.25">
      <c r="A69" s="220">
        <v>46224</v>
      </c>
      <c r="B69" s="23" t="str">
        <f>IF(A72="","",CHOOSE(WEEKDAY(A72,2),"الاثنين","الثلاثاء","الأربعاء","الخميس","الجمعة","السبت","الأحد"))</f>
        <v/>
      </c>
      <c r="C69" s="23" t="s">
        <v>286</v>
      </c>
      <c r="D69" s="23" t="s">
        <v>107</v>
      </c>
      <c r="E69" s="23"/>
      <c r="F69" s="23"/>
      <c r="G69" s="23">
        <v>801.1</v>
      </c>
      <c r="H69" s="23">
        <v>801.1</v>
      </c>
      <c r="I69" s="23">
        <v>0</v>
      </c>
      <c r="J69" s="23"/>
    </row>
    <row r="70" spans="1:11" ht="21.75" customHeight="1" x14ac:dyDescent="0.25">
      <c r="A70" s="221"/>
      <c r="B70" s="23"/>
      <c r="C70" s="23" t="s">
        <v>468</v>
      </c>
      <c r="D70" s="23" t="s">
        <v>285</v>
      </c>
      <c r="E70" s="23"/>
      <c r="F70" s="23"/>
      <c r="G70" s="23">
        <v>3690</v>
      </c>
      <c r="H70" s="23"/>
      <c r="I70" s="23"/>
      <c r="J70" s="23"/>
    </row>
    <row r="71" spans="1:11" ht="21.75" customHeight="1" x14ac:dyDescent="0.25">
      <c r="A71" s="221"/>
      <c r="B71" s="23"/>
      <c r="C71" s="23" t="s">
        <v>677</v>
      </c>
      <c r="D71" s="23"/>
      <c r="E71" s="23"/>
      <c r="F71" s="23"/>
      <c r="G71" s="23">
        <v>1300</v>
      </c>
      <c r="H71" s="23">
        <v>0</v>
      </c>
      <c r="I71" s="23"/>
      <c r="J71" s="23" t="s">
        <v>678</v>
      </c>
    </row>
    <row r="72" spans="1:11" ht="21" customHeight="1" x14ac:dyDescent="0.25">
      <c r="A72" s="222"/>
      <c r="B72" s="23"/>
      <c r="C72" s="23" t="s">
        <v>658</v>
      </c>
      <c r="D72" s="23" t="s">
        <v>103</v>
      </c>
      <c r="E72" s="23"/>
      <c r="F72" s="23"/>
      <c r="G72" s="23">
        <v>3635</v>
      </c>
      <c r="H72" s="23">
        <v>3635</v>
      </c>
      <c r="I72" s="23">
        <f t="shared" si="6"/>
        <v>0</v>
      </c>
      <c r="J72" s="23"/>
    </row>
    <row r="73" spans="1:11" ht="15" customHeight="1" x14ac:dyDescent="0.25">
      <c r="A73" s="224">
        <v>46225</v>
      </c>
      <c r="B73" s="7" t="str">
        <f t="shared" si="4"/>
        <v/>
      </c>
      <c r="C73" s="7" t="s">
        <v>69</v>
      </c>
      <c r="D73" s="7"/>
      <c r="E73" s="7"/>
      <c r="F73" s="7"/>
      <c r="G73" s="7">
        <v>500</v>
      </c>
      <c r="H73" s="7">
        <v>500</v>
      </c>
      <c r="I73" s="7">
        <f t="shared" si="6"/>
        <v>0</v>
      </c>
      <c r="J73" s="7"/>
    </row>
    <row r="74" spans="1:11" ht="15" customHeight="1" x14ac:dyDescent="0.25">
      <c r="A74" s="225"/>
      <c r="B74" s="7" t="str">
        <f t="shared" si="4"/>
        <v/>
      </c>
      <c r="C74" s="7" t="s">
        <v>286</v>
      </c>
      <c r="D74" s="7" t="s">
        <v>107</v>
      </c>
      <c r="E74" s="7"/>
      <c r="F74" s="7"/>
      <c r="G74" s="7">
        <v>880</v>
      </c>
      <c r="H74" s="7">
        <v>880</v>
      </c>
      <c r="I74" s="7">
        <f t="shared" si="6"/>
        <v>0</v>
      </c>
      <c r="J74" s="7"/>
    </row>
    <row r="75" spans="1:11" ht="15" customHeight="1" x14ac:dyDescent="0.25">
      <c r="A75" s="225"/>
      <c r="B75" s="7" t="str">
        <f t="shared" si="4"/>
        <v/>
      </c>
      <c r="C75" s="7" t="s">
        <v>283</v>
      </c>
      <c r="D75" s="7"/>
      <c r="E75" s="7"/>
      <c r="F75" s="7"/>
      <c r="G75" s="7">
        <v>350</v>
      </c>
      <c r="H75" s="7">
        <v>350</v>
      </c>
      <c r="I75" s="7">
        <f t="shared" si="6"/>
        <v>0</v>
      </c>
      <c r="J75" s="7"/>
    </row>
    <row r="76" spans="1:11" ht="15" customHeight="1" x14ac:dyDescent="0.25">
      <c r="A76" s="225"/>
      <c r="B76" s="7" t="str">
        <f t="shared" si="4"/>
        <v/>
      </c>
      <c r="C76" s="7" t="s">
        <v>512</v>
      </c>
      <c r="D76" s="7"/>
      <c r="E76" s="7"/>
      <c r="F76" s="7"/>
      <c r="G76" s="7">
        <v>465</v>
      </c>
      <c r="H76" s="7">
        <v>465</v>
      </c>
      <c r="I76" s="7">
        <f t="shared" si="6"/>
        <v>0</v>
      </c>
      <c r="J76" s="7" t="s">
        <v>157</v>
      </c>
    </row>
    <row r="77" spans="1:11" ht="15" customHeight="1" x14ac:dyDescent="0.25">
      <c r="A77" s="226"/>
      <c r="B77" s="7" t="str">
        <f t="shared" si="4"/>
        <v/>
      </c>
      <c r="C77" s="7" t="s">
        <v>337</v>
      </c>
      <c r="D77" s="7" t="s">
        <v>103</v>
      </c>
      <c r="E77" s="7"/>
      <c r="F77" s="7"/>
      <c r="G77" s="7">
        <v>2355</v>
      </c>
      <c r="H77" s="7">
        <v>2355</v>
      </c>
      <c r="I77" s="7">
        <f t="shared" si="6"/>
        <v>0</v>
      </c>
      <c r="J77" s="7"/>
    </row>
    <row r="78" spans="1:11" ht="15" customHeight="1" x14ac:dyDescent="0.25">
      <c r="A78" s="4"/>
      <c r="B78" s="4" t="str">
        <f t="shared" si="4"/>
        <v/>
      </c>
      <c r="C78" s="7" t="s">
        <v>286</v>
      </c>
      <c r="D78" s="7" t="s">
        <v>107</v>
      </c>
      <c r="E78" s="4"/>
      <c r="F78" s="4"/>
      <c r="G78" s="7">
        <v>586.20000000000005</v>
      </c>
      <c r="H78" s="7">
        <v>586.20000000000005</v>
      </c>
      <c r="I78" s="4">
        <f t="shared" si="6"/>
        <v>0</v>
      </c>
      <c r="J78" s="4"/>
    </row>
    <row r="79" spans="1:11" ht="15" customHeight="1" x14ac:dyDescent="0.25">
      <c r="A79" s="4"/>
      <c r="B79" s="4" t="str">
        <f t="shared" si="4"/>
        <v/>
      </c>
      <c r="C79" s="7" t="s">
        <v>337</v>
      </c>
      <c r="D79" s="7" t="s">
        <v>103</v>
      </c>
      <c r="E79" s="4"/>
      <c r="F79" s="4"/>
      <c r="G79" s="7">
        <v>9270</v>
      </c>
      <c r="H79" s="7">
        <v>0</v>
      </c>
      <c r="I79" s="4">
        <f t="shared" si="6"/>
        <v>9270</v>
      </c>
      <c r="J79" s="4"/>
    </row>
    <row r="80" spans="1:11" ht="15" customHeight="1" x14ac:dyDescent="0.25">
      <c r="A80" s="4"/>
      <c r="B80" s="4" t="str">
        <f t="shared" si="4"/>
        <v/>
      </c>
      <c r="C80" s="7" t="s">
        <v>337</v>
      </c>
      <c r="D80" s="7" t="s">
        <v>103</v>
      </c>
      <c r="E80" s="4"/>
      <c r="F80" s="4"/>
      <c r="G80" s="7">
        <v>330</v>
      </c>
      <c r="H80" s="7">
        <v>0</v>
      </c>
      <c r="I80" s="4"/>
      <c r="J80" s="4"/>
    </row>
    <row r="81" spans="1:10" ht="15" customHeight="1" x14ac:dyDescent="0.25">
      <c r="A81" s="4"/>
      <c r="B81" s="4" t="str">
        <f t="shared" si="4"/>
        <v/>
      </c>
      <c r="C81" s="7" t="s">
        <v>134</v>
      </c>
      <c r="D81" s="4"/>
      <c r="E81" s="4"/>
      <c r="F81" s="4"/>
      <c r="G81" s="7">
        <v>465</v>
      </c>
      <c r="H81" s="7">
        <v>465</v>
      </c>
      <c r="I81" s="4">
        <f t="shared" si="6"/>
        <v>0</v>
      </c>
      <c r="J81" s="4" t="s">
        <v>157</v>
      </c>
    </row>
    <row r="82" spans="1:10" ht="15" customHeight="1" x14ac:dyDescent="0.25">
      <c r="A82" s="4"/>
      <c r="B82" s="4" t="str">
        <f t="shared" si="4"/>
        <v/>
      </c>
      <c r="C82" s="7" t="s">
        <v>688</v>
      </c>
      <c r="D82" s="4"/>
      <c r="E82" s="4"/>
      <c r="F82" s="4"/>
      <c r="G82" s="7">
        <v>400</v>
      </c>
      <c r="H82" s="7">
        <v>400</v>
      </c>
      <c r="I82" s="4">
        <f t="shared" si="6"/>
        <v>0</v>
      </c>
      <c r="J82" s="4"/>
    </row>
    <row r="83" spans="1:10" ht="15" customHeight="1" x14ac:dyDescent="0.25">
      <c r="B83" t="str">
        <f t="shared" si="4"/>
        <v/>
      </c>
      <c r="I83" t="str">
        <f t="shared" si="6"/>
        <v/>
      </c>
    </row>
    <row r="84" spans="1:10" ht="15" customHeight="1" x14ac:dyDescent="0.25">
      <c r="B84" t="str">
        <f t="shared" si="4"/>
        <v/>
      </c>
      <c r="I84" t="str">
        <f t="shared" si="6"/>
        <v/>
      </c>
    </row>
    <row r="85" spans="1:10" ht="15" customHeight="1" x14ac:dyDescent="0.25">
      <c r="B85" t="str">
        <f t="shared" si="4"/>
        <v/>
      </c>
      <c r="I85" t="str">
        <f t="shared" si="6"/>
        <v/>
      </c>
    </row>
    <row r="86" spans="1:10" ht="15" customHeight="1" x14ac:dyDescent="0.25">
      <c r="B86" t="str">
        <f t="shared" si="4"/>
        <v/>
      </c>
      <c r="I86" t="str">
        <f t="shared" si="6"/>
        <v/>
      </c>
    </row>
    <row r="87" spans="1:10" ht="15" customHeight="1" x14ac:dyDescent="0.25">
      <c r="B87" t="str">
        <f t="shared" si="4"/>
        <v/>
      </c>
      <c r="I87" t="str">
        <f t="shared" si="6"/>
        <v/>
      </c>
    </row>
    <row r="88" spans="1:10" ht="15" customHeight="1" x14ac:dyDescent="0.25">
      <c r="B88" t="str">
        <f t="shared" si="4"/>
        <v/>
      </c>
      <c r="I88" t="str">
        <f t="shared" si="6"/>
        <v/>
      </c>
    </row>
    <row r="89" spans="1:10" ht="15" customHeight="1" x14ac:dyDescent="0.25">
      <c r="B89" t="str">
        <f t="shared" si="4"/>
        <v/>
      </c>
      <c r="I89" t="str">
        <f t="shared" si="6"/>
        <v/>
      </c>
    </row>
    <row r="90" spans="1:10" ht="15" customHeight="1" x14ac:dyDescent="0.25">
      <c r="B90" t="str">
        <f t="shared" si="4"/>
        <v/>
      </c>
      <c r="I90" t="str">
        <f t="shared" si="6"/>
        <v/>
      </c>
    </row>
    <row r="91" spans="1:10" ht="15" customHeight="1" x14ac:dyDescent="0.25">
      <c r="B91" t="str">
        <f t="shared" si="4"/>
        <v/>
      </c>
      <c r="I91" t="str">
        <f t="shared" si="6"/>
        <v/>
      </c>
    </row>
    <row r="92" spans="1:10" ht="15" customHeight="1" x14ac:dyDescent="0.25">
      <c r="B92" t="str">
        <f t="shared" si="4"/>
        <v/>
      </c>
      <c r="I92" t="str">
        <f t="shared" si="6"/>
        <v/>
      </c>
    </row>
    <row r="93" spans="1:10" ht="15" customHeight="1" x14ac:dyDescent="0.25"/>
    <row r="94" spans="1:10" ht="15" customHeight="1" x14ac:dyDescent="0.25"/>
  </sheetData>
  <mergeCells count="23">
    <mergeCell ref="A73:A77"/>
    <mergeCell ref="A2:J2"/>
    <mergeCell ref="A61:A62"/>
    <mergeCell ref="A5:A8"/>
    <mergeCell ref="A9:A12"/>
    <mergeCell ref="A13:A15"/>
    <mergeCell ref="A16:A19"/>
    <mergeCell ref="A20:A21"/>
    <mergeCell ref="A22:A27"/>
    <mergeCell ref="A29:A31"/>
    <mergeCell ref="A32:A38"/>
    <mergeCell ref="A40:A41"/>
    <mergeCell ref="A42:A43"/>
    <mergeCell ref="A45:A47"/>
    <mergeCell ref="N4:P8"/>
    <mergeCell ref="A65:A68"/>
    <mergeCell ref="A55:A58"/>
    <mergeCell ref="A69:A72"/>
    <mergeCell ref="A59:A60"/>
    <mergeCell ref="A63:A64"/>
    <mergeCell ref="L27:L28"/>
    <mergeCell ref="A48:A51"/>
    <mergeCell ref="A52:A54"/>
  </mergeCells>
  <pageMargins left="0.75" right="0.75" top="1" bottom="1" header="0.511811023622047" footer="0.511811023622047"/>
  <pageSetup paperSize="9" scale="84" fitToHeight="3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  <pageSetUpPr fitToPage="1"/>
  </sheetPr>
  <dimension ref="A1:H63"/>
  <sheetViews>
    <sheetView topLeftCell="A35" zoomScale="93" zoomScaleNormal="100" workbookViewId="0">
      <selection activeCell="I49" sqref="I49"/>
    </sheetView>
  </sheetViews>
  <sheetFormatPr defaultColWidth="8.5703125" defaultRowHeight="15" x14ac:dyDescent="0.25"/>
  <cols>
    <col min="1" max="1" width="14" customWidth="1"/>
    <col min="2" max="2" width="27.5703125" bestFit="1" customWidth="1"/>
    <col min="3" max="3" width="14" customWidth="1"/>
    <col min="4" max="4" width="15.42578125" customWidth="1"/>
    <col min="5" max="5" width="14" customWidth="1"/>
    <col min="6" max="6" width="42.7109375" bestFit="1" customWidth="1"/>
    <col min="8" max="8" width="18.140625" bestFit="1" customWidth="1"/>
    <col min="9" max="9" width="12.140625" bestFit="1" customWidth="1"/>
    <col min="10" max="10" width="11.5703125" bestFit="1" customWidth="1"/>
    <col min="11" max="11" width="18" customWidth="1"/>
  </cols>
  <sheetData>
    <row r="1" spans="1:6" ht="24" customHeight="1" x14ac:dyDescent="0.25">
      <c r="A1" s="95"/>
      <c r="B1" s="95"/>
      <c r="C1" s="95"/>
      <c r="D1" s="95"/>
      <c r="E1" s="95"/>
      <c r="F1" s="95"/>
    </row>
    <row r="2" spans="1:6" ht="32.25" customHeight="1" x14ac:dyDescent="0.25">
      <c r="A2" s="233" t="s">
        <v>382</v>
      </c>
      <c r="B2" s="233"/>
      <c r="C2" s="233"/>
      <c r="D2" s="233"/>
      <c r="E2" s="233"/>
      <c r="F2" s="233"/>
    </row>
    <row r="3" spans="1:6" ht="17.25" customHeight="1" x14ac:dyDescent="0.25"/>
    <row r="4" spans="1:6" ht="25.5" customHeight="1" x14ac:dyDescent="0.25">
      <c r="A4" s="68" t="s">
        <v>26</v>
      </c>
      <c r="B4" s="68" t="s">
        <v>33</v>
      </c>
      <c r="C4" s="68" t="s">
        <v>39</v>
      </c>
      <c r="D4" s="68" t="s">
        <v>40</v>
      </c>
      <c r="E4" s="68" t="s">
        <v>41</v>
      </c>
      <c r="F4" s="68" t="s">
        <v>31</v>
      </c>
    </row>
    <row r="5" spans="1:6" ht="17.25" customHeight="1" x14ac:dyDescent="0.25">
      <c r="A5" s="39">
        <v>46204</v>
      </c>
      <c r="B5" s="23" t="s">
        <v>105</v>
      </c>
      <c r="C5" s="63">
        <v>1530</v>
      </c>
      <c r="D5" s="63">
        <v>1530</v>
      </c>
      <c r="E5" s="63">
        <f t="shared" ref="E5:E37" si="0">IF(OR(C5="",D5=""),"",C5-D5)</f>
        <v>0</v>
      </c>
      <c r="F5" s="23"/>
    </row>
    <row r="6" spans="1:6" ht="18.75" customHeight="1" x14ac:dyDescent="0.25">
      <c r="A6" s="39">
        <v>46204</v>
      </c>
      <c r="B6" s="23" t="s">
        <v>108</v>
      </c>
      <c r="C6" s="63">
        <v>150</v>
      </c>
      <c r="D6" s="63">
        <v>150</v>
      </c>
      <c r="E6" s="63">
        <f t="shared" si="0"/>
        <v>0</v>
      </c>
      <c r="F6" s="23"/>
    </row>
    <row r="7" spans="1:6" ht="19.5" customHeight="1" x14ac:dyDescent="0.25">
      <c r="A7" s="39">
        <v>46204</v>
      </c>
      <c r="B7" s="23" t="s">
        <v>108</v>
      </c>
      <c r="C7" s="63">
        <v>80</v>
      </c>
      <c r="D7" s="63">
        <v>80</v>
      </c>
      <c r="E7" s="63">
        <f t="shared" si="0"/>
        <v>0</v>
      </c>
      <c r="F7" s="23"/>
    </row>
    <row r="8" spans="1:6" ht="18.75" customHeight="1" x14ac:dyDescent="0.25">
      <c r="A8" s="39">
        <v>46204</v>
      </c>
      <c r="B8" s="23" t="s">
        <v>129</v>
      </c>
      <c r="C8" s="63">
        <v>50</v>
      </c>
      <c r="D8" s="63">
        <v>50</v>
      </c>
      <c r="E8" s="63">
        <v>0</v>
      </c>
      <c r="F8" s="23"/>
    </row>
    <row r="9" spans="1:6" ht="19.5" customHeight="1" x14ac:dyDescent="0.25">
      <c r="A9" s="39">
        <v>46204</v>
      </c>
      <c r="B9" s="23" t="s">
        <v>109</v>
      </c>
      <c r="C9" s="63">
        <v>150</v>
      </c>
      <c r="D9" s="63">
        <v>150</v>
      </c>
      <c r="E9" s="63">
        <f t="shared" si="0"/>
        <v>0</v>
      </c>
      <c r="F9" s="23"/>
    </row>
    <row r="10" spans="1:6" ht="20.25" customHeight="1" x14ac:dyDescent="0.25">
      <c r="A10" s="39">
        <v>46205</v>
      </c>
      <c r="B10" s="23" t="s">
        <v>128</v>
      </c>
      <c r="C10" s="63">
        <v>200</v>
      </c>
      <c r="D10" s="63">
        <v>200</v>
      </c>
      <c r="E10" s="63">
        <f t="shared" si="0"/>
        <v>0</v>
      </c>
      <c r="F10" s="23"/>
    </row>
    <row r="11" spans="1:6" ht="18.75" customHeight="1" x14ac:dyDescent="0.25">
      <c r="A11" s="39">
        <v>46205</v>
      </c>
      <c r="B11" s="23" t="s">
        <v>129</v>
      </c>
      <c r="C11" s="63">
        <v>150</v>
      </c>
      <c r="D11" s="63">
        <v>150</v>
      </c>
      <c r="E11" s="63">
        <f t="shared" si="0"/>
        <v>0</v>
      </c>
      <c r="F11" s="23"/>
    </row>
    <row r="12" spans="1:6" ht="19.5" customHeight="1" x14ac:dyDescent="0.25">
      <c r="A12" s="39">
        <v>46205</v>
      </c>
      <c r="B12" s="23" t="s">
        <v>132</v>
      </c>
      <c r="C12" s="63">
        <v>800</v>
      </c>
      <c r="D12" s="63">
        <v>800</v>
      </c>
      <c r="E12" s="63">
        <f t="shared" si="0"/>
        <v>0</v>
      </c>
      <c r="F12" s="23"/>
    </row>
    <row r="13" spans="1:6" ht="19.5" customHeight="1" x14ac:dyDescent="0.25">
      <c r="A13" s="39">
        <v>46205</v>
      </c>
      <c r="B13" s="23" t="s">
        <v>133</v>
      </c>
      <c r="C13" s="63">
        <v>40</v>
      </c>
      <c r="D13" s="63">
        <v>40</v>
      </c>
      <c r="E13" s="63">
        <f t="shared" si="0"/>
        <v>0</v>
      </c>
      <c r="F13" s="23"/>
    </row>
    <row r="14" spans="1:6" ht="20.25" customHeight="1" x14ac:dyDescent="0.25">
      <c r="A14" s="39">
        <v>46205</v>
      </c>
      <c r="B14" s="23" t="s">
        <v>148</v>
      </c>
      <c r="C14" s="63">
        <v>2250</v>
      </c>
      <c r="D14" s="63">
        <v>2250</v>
      </c>
      <c r="E14" s="63">
        <f t="shared" si="0"/>
        <v>0</v>
      </c>
      <c r="F14" s="23"/>
    </row>
    <row r="15" spans="1:6" ht="19.5" customHeight="1" x14ac:dyDescent="0.25">
      <c r="A15" s="39">
        <v>46206</v>
      </c>
      <c r="B15" s="23" t="s">
        <v>132</v>
      </c>
      <c r="C15" s="63">
        <v>750</v>
      </c>
      <c r="D15" s="63">
        <v>750</v>
      </c>
      <c r="E15" s="63">
        <f t="shared" si="0"/>
        <v>0</v>
      </c>
      <c r="F15" s="23"/>
    </row>
    <row r="16" spans="1:6" ht="19.5" customHeight="1" x14ac:dyDescent="0.25">
      <c r="A16" s="39">
        <v>46206</v>
      </c>
      <c r="B16" s="23" t="s">
        <v>154</v>
      </c>
      <c r="C16" s="63">
        <v>570</v>
      </c>
      <c r="D16" s="63">
        <v>570</v>
      </c>
      <c r="E16" s="63">
        <f t="shared" si="0"/>
        <v>0</v>
      </c>
      <c r="F16" s="23"/>
    </row>
    <row r="17" spans="1:8" ht="19.5" customHeight="1" x14ac:dyDescent="0.25">
      <c r="A17" s="39">
        <v>46206</v>
      </c>
      <c r="B17" s="23" t="s">
        <v>155</v>
      </c>
      <c r="C17" s="63">
        <v>2000</v>
      </c>
      <c r="D17" s="63">
        <v>2000</v>
      </c>
      <c r="E17" s="63">
        <f t="shared" si="0"/>
        <v>0</v>
      </c>
      <c r="F17" s="23"/>
    </row>
    <row r="18" spans="1:8" ht="20.25" customHeight="1" x14ac:dyDescent="0.25">
      <c r="A18" s="39">
        <v>46206</v>
      </c>
      <c r="B18" s="23" t="s">
        <v>156</v>
      </c>
      <c r="C18" s="63">
        <v>8000</v>
      </c>
      <c r="D18" s="63">
        <v>8000</v>
      </c>
      <c r="E18" s="63">
        <f t="shared" si="0"/>
        <v>0</v>
      </c>
      <c r="F18" s="23"/>
    </row>
    <row r="19" spans="1:8" ht="21.75" customHeight="1" x14ac:dyDescent="0.25">
      <c r="A19" s="39">
        <v>46206</v>
      </c>
      <c r="B19" s="23" t="s">
        <v>293</v>
      </c>
      <c r="C19" s="63">
        <v>1500</v>
      </c>
      <c r="D19" s="63">
        <v>1500</v>
      </c>
      <c r="E19" s="63">
        <f t="shared" si="0"/>
        <v>0</v>
      </c>
      <c r="F19" s="23" t="s">
        <v>356</v>
      </c>
    </row>
    <row r="20" spans="1:8" ht="18" customHeight="1" x14ac:dyDescent="0.25">
      <c r="A20" s="39">
        <v>46206</v>
      </c>
      <c r="B20" s="23" t="s">
        <v>160</v>
      </c>
      <c r="C20" s="63">
        <v>1000</v>
      </c>
      <c r="D20" s="63">
        <v>1000</v>
      </c>
      <c r="E20" s="63">
        <f t="shared" si="0"/>
        <v>0</v>
      </c>
      <c r="F20" s="23" t="s">
        <v>161</v>
      </c>
    </row>
    <row r="21" spans="1:8" ht="18.75" customHeight="1" x14ac:dyDescent="0.25">
      <c r="A21" s="39">
        <v>46207</v>
      </c>
      <c r="B21" s="23" t="s">
        <v>187</v>
      </c>
      <c r="C21" s="63">
        <v>150</v>
      </c>
      <c r="D21" s="63">
        <v>150</v>
      </c>
      <c r="E21" s="63">
        <f t="shared" si="0"/>
        <v>0</v>
      </c>
      <c r="F21" s="23"/>
      <c r="H21" s="96" t="s">
        <v>43</v>
      </c>
    </row>
    <row r="22" spans="1:8" ht="19.5" customHeight="1" x14ac:dyDescent="0.25">
      <c r="A22" s="39">
        <v>46209</v>
      </c>
      <c r="B22" s="23" t="s">
        <v>259</v>
      </c>
      <c r="C22" s="63">
        <v>175</v>
      </c>
      <c r="D22" s="63">
        <v>175</v>
      </c>
      <c r="E22" s="63">
        <f t="shared" si="0"/>
        <v>0</v>
      </c>
      <c r="F22" s="23"/>
      <c r="H22" s="232">
        <f>SUM(C5:C56)</f>
        <v>38880</v>
      </c>
    </row>
    <row r="23" spans="1:8" ht="18.75" customHeight="1" x14ac:dyDescent="0.25">
      <c r="A23" s="39">
        <v>46209</v>
      </c>
      <c r="B23" s="23" t="s">
        <v>187</v>
      </c>
      <c r="C23" s="63">
        <v>150</v>
      </c>
      <c r="D23" s="63">
        <v>150</v>
      </c>
      <c r="E23" s="63">
        <f t="shared" si="0"/>
        <v>0</v>
      </c>
      <c r="F23" s="23"/>
      <c r="H23" s="232"/>
    </row>
    <row r="24" spans="1:8" ht="19.5" customHeight="1" x14ac:dyDescent="0.25">
      <c r="A24" s="39">
        <v>46210</v>
      </c>
      <c r="B24" s="23" t="s">
        <v>293</v>
      </c>
      <c r="C24" s="63">
        <v>1500</v>
      </c>
      <c r="D24" s="63">
        <v>1500</v>
      </c>
      <c r="E24" s="63">
        <v>0</v>
      </c>
      <c r="F24" s="23" t="s">
        <v>313</v>
      </c>
    </row>
    <row r="25" spans="1:8" ht="19.5" customHeight="1" x14ac:dyDescent="0.25">
      <c r="A25" s="39">
        <v>46210</v>
      </c>
      <c r="B25" s="23" t="s">
        <v>154</v>
      </c>
      <c r="C25" s="63">
        <v>465</v>
      </c>
      <c r="D25" s="63">
        <v>465</v>
      </c>
      <c r="E25" s="63">
        <f t="shared" si="0"/>
        <v>0</v>
      </c>
      <c r="F25" s="23"/>
    </row>
    <row r="26" spans="1:8" ht="18" customHeight="1" x14ac:dyDescent="0.25">
      <c r="A26" s="39">
        <v>46210</v>
      </c>
      <c r="B26" s="23" t="s">
        <v>292</v>
      </c>
      <c r="C26" s="63">
        <v>1500</v>
      </c>
      <c r="D26" s="63">
        <v>1500</v>
      </c>
      <c r="E26" s="63">
        <f t="shared" si="0"/>
        <v>0</v>
      </c>
      <c r="F26" s="23" t="s">
        <v>313</v>
      </c>
    </row>
    <row r="27" spans="1:8" ht="21.75" customHeight="1" x14ac:dyDescent="0.25">
      <c r="A27" s="39">
        <v>46210</v>
      </c>
      <c r="B27" s="23" t="s">
        <v>312</v>
      </c>
      <c r="C27" s="63">
        <v>11000</v>
      </c>
      <c r="D27" s="63">
        <v>11000</v>
      </c>
      <c r="E27" s="63">
        <f t="shared" si="0"/>
        <v>0</v>
      </c>
      <c r="F27" s="23" t="s">
        <v>313</v>
      </c>
    </row>
    <row r="28" spans="1:8" ht="18" customHeight="1" x14ac:dyDescent="0.25">
      <c r="A28" s="39">
        <v>46210</v>
      </c>
      <c r="B28" s="23" t="s">
        <v>187</v>
      </c>
      <c r="C28" s="63">
        <v>230</v>
      </c>
      <c r="D28" s="63">
        <v>230</v>
      </c>
      <c r="E28" s="63">
        <f t="shared" si="0"/>
        <v>0</v>
      </c>
      <c r="F28" s="23"/>
    </row>
    <row r="29" spans="1:8" ht="19.5" customHeight="1" x14ac:dyDescent="0.25">
      <c r="A29" s="39">
        <v>46211</v>
      </c>
      <c r="B29" s="23" t="s">
        <v>187</v>
      </c>
      <c r="C29" s="63">
        <v>30</v>
      </c>
      <c r="D29" s="63">
        <v>30</v>
      </c>
      <c r="E29" s="63">
        <f t="shared" si="0"/>
        <v>0</v>
      </c>
      <c r="F29" s="23"/>
    </row>
    <row r="30" spans="1:8" ht="18" customHeight="1" x14ac:dyDescent="0.25">
      <c r="A30" s="39">
        <v>46211</v>
      </c>
      <c r="B30" s="23" t="s">
        <v>332</v>
      </c>
      <c r="C30" s="7">
        <v>250</v>
      </c>
      <c r="D30" s="63">
        <v>250</v>
      </c>
      <c r="E30" s="63">
        <f t="shared" si="0"/>
        <v>0</v>
      </c>
      <c r="F30" s="23"/>
    </row>
    <row r="31" spans="1:8" ht="19.5" customHeight="1" x14ac:dyDescent="0.25">
      <c r="A31" s="39">
        <v>46212</v>
      </c>
      <c r="B31" s="23" t="s">
        <v>262</v>
      </c>
      <c r="C31" s="34">
        <v>80</v>
      </c>
      <c r="D31" s="34">
        <v>80</v>
      </c>
      <c r="E31" s="34">
        <f t="shared" si="0"/>
        <v>0</v>
      </c>
      <c r="F31" s="23"/>
    </row>
    <row r="32" spans="1:8" ht="17.25" customHeight="1" x14ac:dyDescent="0.25">
      <c r="A32" s="39">
        <v>46212</v>
      </c>
      <c r="B32" s="23" t="s">
        <v>129</v>
      </c>
      <c r="C32" s="34">
        <v>70</v>
      </c>
      <c r="D32" s="34">
        <v>70</v>
      </c>
      <c r="E32" s="34">
        <f t="shared" si="0"/>
        <v>0</v>
      </c>
      <c r="F32" s="23"/>
    </row>
    <row r="33" spans="1:6" ht="18.75" customHeight="1" x14ac:dyDescent="0.25">
      <c r="A33" s="39">
        <v>46212</v>
      </c>
      <c r="B33" s="23" t="s">
        <v>262</v>
      </c>
      <c r="C33" s="34">
        <v>70</v>
      </c>
      <c r="D33" s="34">
        <v>70</v>
      </c>
      <c r="E33" s="34">
        <f t="shared" si="0"/>
        <v>0</v>
      </c>
      <c r="F33" s="23"/>
    </row>
    <row r="34" spans="1:6" ht="19.5" customHeight="1" x14ac:dyDescent="0.25">
      <c r="A34" s="39">
        <v>46213</v>
      </c>
      <c r="B34" s="23" t="s">
        <v>129</v>
      </c>
      <c r="C34" s="34">
        <v>80</v>
      </c>
      <c r="D34" s="34">
        <v>80</v>
      </c>
      <c r="E34" s="34">
        <f t="shared" si="0"/>
        <v>0</v>
      </c>
      <c r="F34" s="23"/>
    </row>
    <row r="35" spans="1:6" ht="24" customHeight="1" x14ac:dyDescent="0.25">
      <c r="A35" s="39">
        <v>46214</v>
      </c>
      <c r="B35" s="23" t="s">
        <v>187</v>
      </c>
      <c r="C35" s="34">
        <v>150</v>
      </c>
      <c r="D35" s="34">
        <v>150</v>
      </c>
      <c r="E35" s="34">
        <f t="shared" si="0"/>
        <v>0</v>
      </c>
      <c r="F35" s="23"/>
    </row>
    <row r="36" spans="1:6" ht="20.25" customHeight="1" x14ac:dyDescent="0.25">
      <c r="A36" s="39">
        <v>46215</v>
      </c>
      <c r="B36" s="23" t="s">
        <v>129</v>
      </c>
      <c r="C36" s="23">
        <v>70</v>
      </c>
      <c r="D36" s="23">
        <v>70</v>
      </c>
      <c r="E36" s="23">
        <f t="shared" si="0"/>
        <v>0</v>
      </c>
      <c r="F36" s="23"/>
    </row>
    <row r="37" spans="1:6" ht="20.25" customHeight="1" x14ac:dyDescent="0.25">
      <c r="A37" s="39">
        <v>46215</v>
      </c>
      <c r="B37" s="23" t="s">
        <v>262</v>
      </c>
      <c r="C37" s="23">
        <v>200</v>
      </c>
      <c r="D37" s="23">
        <v>200</v>
      </c>
      <c r="E37" s="23">
        <f t="shared" si="0"/>
        <v>0</v>
      </c>
      <c r="F37" s="23"/>
    </row>
    <row r="38" spans="1:6" ht="18.75" customHeight="1" x14ac:dyDescent="0.25">
      <c r="A38" s="39">
        <v>46215</v>
      </c>
      <c r="B38" s="23" t="s">
        <v>469</v>
      </c>
      <c r="C38" s="23">
        <v>500</v>
      </c>
      <c r="D38" s="23">
        <v>500</v>
      </c>
      <c r="E38" s="23">
        <v>0</v>
      </c>
      <c r="F38" s="23"/>
    </row>
    <row r="39" spans="1:6" x14ac:dyDescent="0.25">
      <c r="A39" s="39">
        <v>46216</v>
      </c>
      <c r="B39" s="23" t="s">
        <v>488</v>
      </c>
      <c r="C39" s="23">
        <v>500</v>
      </c>
      <c r="D39" s="23">
        <v>500</v>
      </c>
      <c r="E39" s="23">
        <v>0</v>
      </c>
      <c r="F39" s="26"/>
    </row>
    <row r="40" spans="1:6" x14ac:dyDescent="0.25">
      <c r="A40" s="39">
        <v>46216</v>
      </c>
      <c r="B40" s="23" t="s">
        <v>129</v>
      </c>
      <c r="C40" s="128">
        <v>40</v>
      </c>
      <c r="D40" s="23">
        <v>40</v>
      </c>
      <c r="E40" s="23">
        <v>0</v>
      </c>
      <c r="F40" s="26"/>
    </row>
    <row r="41" spans="1:6" x14ac:dyDescent="0.25">
      <c r="A41" s="39">
        <v>46217</v>
      </c>
      <c r="B41" s="23" t="s">
        <v>262</v>
      </c>
      <c r="C41" s="23">
        <v>200</v>
      </c>
      <c r="D41" s="23">
        <v>200</v>
      </c>
      <c r="E41" s="23"/>
      <c r="F41" s="26"/>
    </row>
    <row r="42" spans="1:6" x14ac:dyDescent="0.25">
      <c r="A42" s="39">
        <v>46217</v>
      </c>
      <c r="B42" s="23" t="s">
        <v>513</v>
      </c>
      <c r="C42" s="23">
        <v>150</v>
      </c>
      <c r="D42" s="23">
        <v>150</v>
      </c>
      <c r="E42" s="23">
        <v>0</v>
      </c>
      <c r="F42" s="23"/>
    </row>
    <row r="43" spans="1:6" ht="18" customHeight="1" x14ac:dyDescent="0.25">
      <c r="A43" s="39">
        <v>46218</v>
      </c>
      <c r="B43" s="58" t="s">
        <v>524</v>
      </c>
      <c r="C43" s="23">
        <v>30</v>
      </c>
      <c r="D43" s="23">
        <v>30</v>
      </c>
      <c r="E43" s="7">
        <v>0</v>
      </c>
      <c r="F43" s="16"/>
    </row>
    <row r="44" spans="1:6" ht="18.75" customHeight="1" x14ac:dyDescent="0.25">
      <c r="A44" s="39">
        <v>46218</v>
      </c>
      <c r="B44" s="39" t="s">
        <v>129</v>
      </c>
      <c r="C44" s="23">
        <v>50</v>
      </c>
      <c r="D44" s="23">
        <v>50</v>
      </c>
      <c r="E44" s="7">
        <v>0</v>
      </c>
      <c r="F44" s="4"/>
    </row>
    <row r="45" spans="1:6" ht="19.5" customHeight="1" x14ac:dyDescent="0.25">
      <c r="A45" s="39">
        <v>46218</v>
      </c>
      <c r="B45" s="39" t="s">
        <v>262</v>
      </c>
      <c r="C45" s="23">
        <v>200</v>
      </c>
      <c r="D45" s="23">
        <v>200</v>
      </c>
      <c r="E45" s="7">
        <v>0</v>
      </c>
      <c r="F45" s="4"/>
    </row>
    <row r="46" spans="1:6" ht="22.5" customHeight="1" x14ac:dyDescent="0.25">
      <c r="A46" s="39">
        <v>46218</v>
      </c>
      <c r="B46" s="23" t="s">
        <v>262</v>
      </c>
      <c r="C46" s="23">
        <v>70</v>
      </c>
      <c r="D46" s="23">
        <v>70</v>
      </c>
      <c r="E46" s="23">
        <v>0</v>
      </c>
      <c r="F46" s="4"/>
    </row>
    <row r="47" spans="1:6" x14ac:dyDescent="0.25">
      <c r="A47" s="39">
        <v>46219</v>
      </c>
      <c r="B47" s="23" t="s">
        <v>541</v>
      </c>
      <c r="C47" s="23">
        <v>200</v>
      </c>
      <c r="D47" s="23">
        <v>200</v>
      </c>
      <c r="E47" s="23">
        <v>0</v>
      </c>
      <c r="F47" s="4"/>
    </row>
    <row r="48" spans="1:6" x14ac:dyDescent="0.25">
      <c r="A48" s="39">
        <v>46219</v>
      </c>
      <c r="B48" s="23" t="s">
        <v>129</v>
      </c>
      <c r="C48" s="23">
        <v>50</v>
      </c>
      <c r="D48" s="23">
        <v>50</v>
      </c>
      <c r="E48" s="23">
        <v>0</v>
      </c>
      <c r="F48" s="4"/>
    </row>
    <row r="49" spans="1:6" x14ac:dyDescent="0.25">
      <c r="A49" s="39">
        <v>46220</v>
      </c>
      <c r="B49" s="23" t="s">
        <v>129</v>
      </c>
      <c r="C49" s="23">
        <v>30</v>
      </c>
      <c r="D49" s="23">
        <v>30</v>
      </c>
      <c r="E49" s="23">
        <v>0</v>
      </c>
      <c r="F49" s="23"/>
    </row>
    <row r="50" spans="1:6" ht="19.5" customHeight="1" x14ac:dyDescent="0.25">
      <c r="A50" s="39">
        <v>46222</v>
      </c>
      <c r="B50" s="23" t="s">
        <v>574</v>
      </c>
      <c r="C50" s="23">
        <v>150</v>
      </c>
      <c r="D50" s="23">
        <v>150</v>
      </c>
      <c r="E50" s="23">
        <v>0</v>
      </c>
      <c r="F50" s="23"/>
    </row>
    <row r="51" spans="1:6" ht="21.75" customHeight="1" x14ac:dyDescent="0.25">
      <c r="A51" s="39">
        <v>46222</v>
      </c>
      <c r="B51" s="23" t="s">
        <v>262</v>
      </c>
      <c r="C51" s="23">
        <v>200</v>
      </c>
      <c r="D51" s="23">
        <v>200</v>
      </c>
      <c r="E51" s="23">
        <v>0</v>
      </c>
      <c r="F51" s="23"/>
    </row>
    <row r="52" spans="1:6" ht="21.75" customHeight="1" x14ac:dyDescent="0.25">
      <c r="A52" s="39">
        <v>46222</v>
      </c>
      <c r="B52" s="23" t="s">
        <v>587</v>
      </c>
      <c r="C52" s="23">
        <v>120</v>
      </c>
      <c r="D52" s="23">
        <v>120</v>
      </c>
      <c r="E52" s="23">
        <v>0</v>
      </c>
      <c r="F52" s="23"/>
    </row>
    <row r="53" spans="1:6" ht="15.75" x14ac:dyDescent="0.25">
      <c r="A53" s="220">
        <v>46223</v>
      </c>
      <c r="B53" s="25" t="s">
        <v>597</v>
      </c>
      <c r="C53" s="23">
        <v>500</v>
      </c>
      <c r="D53" s="23">
        <v>500</v>
      </c>
      <c r="E53" s="23">
        <v>0</v>
      </c>
      <c r="F53" s="4"/>
    </row>
    <row r="54" spans="1:6" ht="15.75" x14ac:dyDescent="0.25">
      <c r="A54" s="221"/>
      <c r="B54" s="25" t="s">
        <v>262</v>
      </c>
      <c r="C54" s="23">
        <v>100</v>
      </c>
      <c r="D54" s="23">
        <v>100</v>
      </c>
      <c r="E54" s="23">
        <v>0</v>
      </c>
      <c r="F54" s="4"/>
    </row>
    <row r="55" spans="1:6" ht="15.75" x14ac:dyDescent="0.25">
      <c r="A55" s="221"/>
      <c r="B55" s="25" t="s">
        <v>262</v>
      </c>
      <c r="C55" s="23">
        <v>200</v>
      </c>
      <c r="D55" s="23">
        <v>200</v>
      </c>
      <c r="E55" s="23">
        <v>0</v>
      </c>
      <c r="F55" s="4"/>
    </row>
    <row r="56" spans="1:6" x14ac:dyDescent="0.25">
      <c r="A56" s="220">
        <v>46224</v>
      </c>
      <c r="B56" s="23" t="s">
        <v>262</v>
      </c>
      <c r="C56" s="23">
        <v>200</v>
      </c>
      <c r="D56" s="23">
        <v>200</v>
      </c>
      <c r="E56" s="23">
        <v>0</v>
      </c>
      <c r="F56" s="23"/>
    </row>
    <row r="57" spans="1:6" x14ac:dyDescent="0.25">
      <c r="A57" s="222"/>
      <c r="B57" s="23" t="s">
        <v>129</v>
      </c>
      <c r="C57" s="23">
        <v>79</v>
      </c>
      <c r="D57" s="23">
        <v>79</v>
      </c>
      <c r="E57" s="23">
        <v>0</v>
      </c>
      <c r="F57" s="23"/>
    </row>
    <row r="58" spans="1:6" x14ac:dyDescent="0.25">
      <c r="A58" s="224">
        <v>46225</v>
      </c>
      <c r="B58" s="7" t="s">
        <v>262</v>
      </c>
      <c r="C58" s="7">
        <v>200</v>
      </c>
      <c r="D58" s="7">
        <v>200</v>
      </c>
      <c r="E58" s="7"/>
      <c r="F58" s="7"/>
    </row>
    <row r="59" spans="1:6" x14ac:dyDescent="0.25">
      <c r="A59" s="226"/>
      <c r="B59" s="7" t="s">
        <v>666</v>
      </c>
      <c r="C59" s="7">
        <v>80</v>
      </c>
      <c r="D59" s="7">
        <v>80</v>
      </c>
      <c r="E59" s="7"/>
      <c r="F59" s="7"/>
    </row>
    <row r="60" spans="1:6" x14ac:dyDescent="0.25">
      <c r="A60" s="7"/>
      <c r="B60" s="54" t="s">
        <v>690</v>
      </c>
      <c r="C60" s="54">
        <v>1200</v>
      </c>
      <c r="D60" s="54">
        <v>1200</v>
      </c>
      <c r="E60" s="7"/>
      <c r="F60" s="7"/>
    </row>
    <row r="61" spans="1:6" x14ac:dyDescent="0.25">
      <c r="A61" s="4"/>
      <c r="B61" s="54" t="s">
        <v>262</v>
      </c>
      <c r="C61" s="54">
        <v>200</v>
      </c>
      <c r="D61" s="54">
        <v>200</v>
      </c>
      <c r="E61" s="4"/>
      <c r="F61" s="4"/>
    </row>
    <row r="62" spans="1:6" x14ac:dyDescent="0.25">
      <c r="A62" s="4"/>
      <c r="B62" s="4" t="s">
        <v>686</v>
      </c>
      <c r="C62" s="4">
        <v>1000</v>
      </c>
      <c r="D62" s="4">
        <v>1000</v>
      </c>
      <c r="E62" s="4"/>
      <c r="F62" s="4"/>
    </row>
    <row r="63" spans="1:6" x14ac:dyDescent="0.25">
      <c r="A63" s="4"/>
      <c r="B63" s="4" t="s">
        <v>692</v>
      </c>
      <c r="C63" s="4">
        <v>80</v>
      </c>
      <c r="D63" s="4">
        <v>80</v>
      </c>
      <c r="E63" s="4"/>
      <c r="F63" s="4"/>
    </row>
  </sheetData>
  <mergeCells count="5">
    <mergeCell ref="H22:H23"/>
    <mergeCell ref="A2:F2"/>
    <mergeCell ref="A53:A55"/>
    <mergeCell ref="A56:A57"/>
    <mergeCell ref="A58:A59"/>
  </mergeCells>
  <pageMargins left="0.75" right="0.75" top="1" bottom="1" header="0.511811023622047" footer="0.511811023622047"/>
  <pageSetup paperSize="9" scale="56" fitToHeight="0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  <pageSetUpPr fitToPage="1"/>
  </sheetPr>
  <dimension ref="A2:BI237"/>
  <sheetViews>
    <sheetView topLeftCell="A215" zoomScale="112" zoomScaleNormal="100" workbookViewId="0">
      <selection activeCell="G230" sqref="G230"/>
    </sheetView>
  </sheetViews>
  <sheetFormatPr defaultColWidth="8.5703125" defaultRowHeight="15" x14ac:dyDescent="0.25"/>
  <cols>
    <col min="1" max="1" width="15.7109375" customWidth="1"/>
    <col min="2" max="2" width="32.28515625" bestFit="1" customWidth="1"/>
    <col min="3" max="3" width="9.5703125" bestFit="1" customWidth="1"/>
    <col min="4" max="4" width="29" customWidth="1"/>
    <col min="5" max="5" width="11.28515625" customWidth="1"/>
    <col min="6" max="6" width="10.28515625" customWidth="1"/>
    <col min="7" max="7" width="16.5703125" customWidth="1"/>
    <col min="8" max="8" width="17.5703125" customWidth="1"/>
    <col min="9" max="9" width="16" customWidth="1"/>
    <col min="10" max="10" width="14.28515625" customWidth="1"/>
    <col min="15" max="15" width="22.85546875" customWidth="1"/>
    <col min="16" max="16" width="19.7109375" customWidth="1"/>
    <col min="17" max="17" width="12.7109375" customWidth="1"/>
    <col min="20" max="20" width="13.42578125" bestFit="1" customWidth="1"/>
    <col min="21" max="21" width="18.28515625" customWidth="1"/>
    <col min="22" max="22" width="12.140625" customWidth="1"/>
    <col min="23" max="23" width="19.7109375" customWidth="1"/>
    <col min="24" max="24" width="11.28515625" bestFit="1" customWidth="1"/>
    <col min="27" max="27" width="19.140625" customWidth="1"/>
    <col min="28" max="28" width="16.28515625" customWidth="1"/>
    <col min="29" max="29" width="22.140625" customWidth="1"/>
    <col min="30" max="30" width="13.42578125" bestFit="1" customWidth="1"/>
    <col min="31" max="31" width="22" bestFit="1" customWidth="1"/>
    <col min="32" max="32" width="9.5703125" bestFit="1" customWidth="1"/>
    <col min="33" max="33" width="17.140625" customWidth="1"/>
    <col min="34" max="34" width="15.28515625" customWidth="1"/>
    <col min="35" max="35" width="17.5703125" customWidth="1"/>
    <col min="36" max="36" width="14.5703125" customWidth="1"/>
  </cols>
  <sheetData>
    <row r="2" spans="1:61" ht="30" customHeight="1" x14ac:dyDescent="0.25">
      <c r="A2" s="244" t="s">
        <v>56</v>
      </c>
      <c r="B2" s="244"/>
      <c r="C2" s="244"/>
      <c r="D2" s="244"/>
      <c r="H2" s="254" t="s">
        <v>395</v>
      </c>
      <c r="I2" s="254"/>
      <c r="J2" s="254"/>
      <c r="K2" s="254"/>
      <c r="L2" s="254"/>
    </row>
    <row r="3" spans="1:61" ht="27.75" customHeight="1" x14ac:dyDescent="0.25">
      <c r="O3" s="260" t="s">
        <v>347</v>
      </c>
      <c r="P3" s="260"/>
      <c r="Q3" s="260"/>
      <c r="R3" s="43" t="s">
        <v>608</v>
      </c>
      <c r="U3" s="260" t="s">
        <v>140</v>
      </c>
      <c r="V3" s="260"/>
      <c r="W3" s="260"/>
      <c r="X3" s="43" t="s">
        <v>608</v>
      </c>
      <c r="AA3" s="260" t="s">
        <v>609</v>
      </c>
      <c r="AB3" s="260"/>
      <c r="AC3" s="260"/>
      <c r="AD3" s="43" t="s">
        <v>608</v>
      </c>
      <c r="AG3" s="260" t="s">
        <v>636</v>
      </c>
      <c r="AH3" s="260"/>
      <c r="AI3" s="260"/>
      <c r="AJ3" s="43" t="s">
        <v>608</v>
      </c>
      <c r="AM3" s="260"/>
      <c r="AN3" s="260"/>
      <c r="AO3" s="260"/>
      <c r="AP3" s="43" t="s">
        <v>608</v>
      </c>
      <c r="AT3" s="260"/>
      <c r="AU3" s="260"/>
      <c r="AV3" s="260"/>
      <c r="AW3" s="43" t="s">
        <v>608</v>
      </c>
      <c r="AZ3" s="260"/>
      <c r="BA3" s="260"/>
      <c r="BB3" s="260"/>
      <c r="BC3" s="43" t="s">
        <v>608</v>
      </c>
      <c r="BF3" s="260"/>
      <c r="BG3" s="260"/>
      <c r="BH3" s="260"/>
      <c r="BI3" s="43" t="s">
        <v>608</v>
      </c>
    </row>
    <row r="4" spans="1:61" ht="30.75" customHeight="1" x14ac:dyDescent="0.25">
      <c r="A4" s="106" t="s">
        <v>26</v>
      </c>
      <c r="B4" s="106" t="s">
        <v>2</v>
      </c>
      <c r="C4" s="106" t="s">
        <v>39</v>
      </c>
      <c r="D4" s="106" t="s">
        <v>31</v>
      </c>
      <c r="H4" s="107" t="s">
        <v>26</v>
      </c>
      <c r="I4" s="250" t="s">
        <v>114</v>
      </c>
      <c r="J4" s="251"/>
      <c r="K4" s="250" t="s">
        <v>113</v>
      </c>
      <c r="L4" s="251"/>
      <c r="O4" s="43" t="s">
        <v>31</v>
      </c>
      <c r="P4" s="43" t="s">
        <v>39</v>
      </c>
      <c r="Q4" s="43" t="s">
        <v>26</v>
      </c>
      <c r="U4" s="43" t="s">
        <v>31</v>
      </c>
      <c r="V4" s="43" t="s">
        <v>39</v>
      </c>
      <c r="W4" s="43" t="s">
        <v>26</v>
      </c>
      <c r="AA4" s="43" t="s">
        <v>31</v>
      </c>
      <c r="AB4" s="43" t="s">
        <v>39</v>
      </c>
      <c r="AC4" s="43" t="s">
        <v>26</v>
      </c>
      <c r="AG4" s="43" t="s">
        <v>31</v>
      </c>
      <c r="AH4" s="43" t="s">
        <v>39</v>
      </c>
      <c r="AI4" s="43" t="s">
        <v>26</v>
      </c>
      <c r="AM4" s="43" t="s">
        <v>31</v>
      </c>
      <c r="AN4" s="43" t="s">
        <v>39</v>
      </c>
      <c r="AO4" s="43" t="s">
        <v>26</v>
      </c>
      <c r="AT4" s="43" t="s">
        <v>31</v>
      </c>
      <c r="AU4" s="43" t="s">
        <v>39</v>
      </c>
      <c r="AV4" s="43" t="s">
        <v>26</v>
      </c>
      <c r="AZ4" s="43" t="s">
        <v>31</v>
      </c>
      <c r="BA4" s="43" t="s">
        <v>39</v>
      </c>
      <c r="BB4" s="43" t="s">
        <v>26</v>
      </c>
      <c r="BF4" s="43" t="s">
        <v>31</v>
      </c>
      <c r="BG4" s="43" t="s">
        <v>39</v>
      </c>
      <c r="BH4" s="43" t="s">
        <v>26</v>
      </c>
    </row>
    <row r="5" spans="1:61" ht="15.75" customHeight="1" x14ac:dyDescent="0.25">
      <c r="A5" s="183"/>
      <c r="B5" s="182" t="s">
        <v>328</v>
      </c>
      <c r="C5" s="182">
        <f>SUM('سلف كل موظف'!DG21)</f>
        <v>15554</v>
      </c>
      <c r="D5" s="182" t="s">
        <v>304</v>
      </c>
      <c r="E5" s="245">
        <f>SUM(C6:C16)</f>
        <v>1110</v>
      </c>
      <c r="H5" s="58">
        <v>46204</v>
      </c>
      <c r="I5" s="252" t="s">
        <v>112</v>
      </c>
      <c r="J5" s="253"/>
      <c r="K5" s="252" t="s">
        <v>22</v>
      </c>
      <c r="L5" s="253"/>
      <c r="O5" s="23" t="s">
        <v>302</v>
      </c>
      <c r="P5" s="23">
        <v>300</v>
      </c>
      <c r="Q5" s="39">
        <v>46207</v>
      </c>
      <c r="U5" s="23" t="s">
        <v>302</v>
      </c>
      <c r="V5" s="23">
        <v>20</v>
      </c>
      <c r="W5" s="39">
        <v>46201</v>
      </c>
      <c r="AA5" s="23" t="s">
        <v>302</v>
      </c>
      <c r="AB5" s="25">
        <v>25</v>
      </c>
      <c r="AC5" s="39">
        <v>46200</v>
      </c>
      <c r="AG5" s="23" t="s">
        <v>304</v>
      </c>
      <c r="AH5" s="23">
        <v>13518</v>
      </c>
      <c r="AI5" s="39"/>
      <c r="AM5" s="7"/>
      <c r="AN5" s="23"/>
      <c r="AO5" s="39"/>
      <c r="AT5" s="7"/>
      <c r="AU5" s="23"/>
      <c r="AV5" s="39"/>
      <c r="AZ5" s="7"/>
      <c r="BA5" s="23"/>
      <c r="BB5" s="39"/>
      <c r="BF5" s="7"/>
      <c r="BG5" s="23"/>
      <c r="BH5" s="39"/>
    </row>
    <row r="6" spans="1:61" ht="15.75" customHeight="1" x14ac:dyDescent="0.25">
      <c r="A6" s="248">
        <v>46204</v>
      </c>
      <c r="B6" s="112" t="s">
        <v>10</v>
      </c>
      <c r="C6" s="49">
        <v>200</v>
      </c>
      <c r="D6" s="112"/>
      <c r="E6" s="246"/>
      <c r="H6" s="58">
        <v>46204</v>
      </c>
      <c r="I6" s="252" t="s">
        <v>112</v>
      </c>
      <c r="J6" s="253"/>
      <c r="K6" s="252" t="s">
        <v>21</v>
      </c>
      <c r="L6" s="253"/>
      <c r="O6" s="23" t="s">
        <v>302</v>
      </c>
      <c r="P6" s="23">
        <v>1000</v>
      </c>
      <c r="Q6" s="39">
        <v>46208</v>
      </c>
      <c r="U6" s="23" t="s">
        <v>610</v>
      </c>
      <c r="V6" s="23">
        <v>100</v>
      </c>
      <c r="W6" s="39">
        <v>46202</v>
      </c>
      <c r="AA6" s="23" t="s">
        <v>302</v>
      </c>
      <c r="AB6" s="25">
        <v>90</v>
      </c>
      <c r="AC6" s="39">
        <v>46201</v>
      </c>
      <c r="AG6" s="7"/>
      <c r="AH6" s="23"/>
      <c r="AI6" s="39"/>
      <c r="AM6" s="7"/>
      <c r="AN6" s="23"/>
      <c r="AO6" s="39"/>
      <c r="AT6" s="7"/>
      <c r="AU6" s="23"/>
      <c r="AV6" s="39"/>
      <c r="AZ6" s="7"/>
      <c r="BA6" s="23"/>
      <c r="BB6" s="39"/>
      <c r="BF6" s="7"/>
      <c r="BG6" s="23"/>
      <c r="BH6" s="39"/>
    </row>
    <row r="7" spans="1:61" ht="15.75" customHeight="1" x14ac:dyDescent="0.25">
      <c r="A7" s="248"/>
      <c r="B7" s="112" t="s">
        <v>16</v>
      </c>
      <c r="C7" s="49">
        <v>200</v>
      </c>
      <c r="D7" s="112"/>
      <c r="E7" s="246"/>
      <c r="H7" s="58">
        <v>46206</v>
      </c>
      <c r="I7" s="255" t="s">
        <v>151</v>
      </c>
      <c r="J7" s="256"/>
      <c r="K7" s="255" t="s">
        <v>152</v>
      </c>
      <c r="L7" s="256"/>
      <c r="O7" s="23" t="s">
        <v>302</v>
      </c>
      <c r="P7" s="23">
        <v>500</v>
      </c>
      <c r="Q7" s="39">
        <v>46212</v>
      </c>
      <c r="U7" s="23" t="s">
        <v>302</v>
      </c>
      <c r="V7" s="25">
        <v>50</v>
      </c>
      <c r="W7" s="39">
        <v>46203</v>
      </c>
      <c r="AA7" s="23" t="s">
        <v>302</v>
      </c>
      <c r="AB7" s="25">
        <v>15</v>
      </c>
      <c r="AC7" s="39">
        <v>46202</v>
      </c>
      <c r="AG7" s="7"/>
      <c r="AH7" s="23"/>
      <c r="AI7" s="39"/>
      <c r="AM7" s="7"/>
      <c r="AN7" s="23"/>
      <c r="AO7" s="39"/>
      <c r="AT7" s="7"/>
      <c r="AU7" s="23"/>
      <c r="AV7" s="39"/>
      <c r="AZ7" s="7"/>
      <c r="BA7" s="23"/>
      <c r="BB7" s="39"/>
      <c r="BF7" s="7"/>
      <c r="BG7" s="23"/>
      <c r="BH7" s="39"/>
    </row>
    <row r="8" spans="1:61" ht="15.75" customHeight="1" x14ac:dyDescent="0.25">
      <c r="A8" s="248"/>
      <c r="B8" s="128" t="s">
        <v>336</v>
      </c>
      <c r="C8" s="128">
        <v>60</v>
      </c>
      <c r="D8" s="4"/>
      <c r="E8" s="246"/>
      <c r="H8" s="58">
        <v>46206</v>
      </c>
      <c r="I8" s="255" t="s">
        <v>151</v>
      </c>
      <c r="J8" s="256"/>
      <c r="K8" s="255" t="s">
        <v>146</v>
      </c>
      <c r="L8" s="256"/>
      <c r="O8" s="23" t="s">
        <v>302</v>
      </c>
      <c r="P8" s="23">
        <f>1428+500</f>
        <v>1928</v>
      </c>
      <c r="Q8" s="39">
        <v>46215</v>
      </c>
      <c r="U8" s="23" t="s">
        <v>302</v>
      </c>
      <c r="V8" s="23">
        <v>200</v>
      </c>
      <c r="W8" s="39">
        <v>46205</v>
      </c>
      <c r="AA8" s="23" t="s">
        <v>302</v>
      </c>
      <c r="AB8" s="25">
        <v>25</v>
      </c>
      <c r="AC8" s="39">
        <v>46203</v>
      </c>
      <c r="AG8" s="7"/>
      <c r="AH8" s="23"/>
      <c r="AI8" s="39"/>
      <c r="AM8" s="7"/>
      <c r="AN8" s="23"/>
      <c r="AO8" s="39"/>
      <c r="AT8" s="7"/>
      <c r="AU8" s="23"/>
      <c r="AV8" s="39"/>
      <c r="AZ8" s="7"/>
      <c r="BA8" s="23"/>
      <c r="BB8" s="39"/>
      <c r="BF8" s="7"/>
      <c r="BG8" s="23"/>
      <c r="BH8" s="39"/>
    </row>
    <row r="9" spans="1:61" ht="15" customHeight="1" x14ac:dyDescent="0.25">
      <c r="A9" s="248"/>
      <c r="B9" s="118" t="s">
        <v>12</v>
      </c>
      <c r="C9" s="128">
        <v>100</v>
      </c>
      <c r="D9" s="4"/>
      <c r="E9" s="246"/>
      <c r="H9" s="58">
        <v>46206</v>
      </c>
      <c r="I9" s="255" t="s">
        <v>151</v>
      </c>
      <c r="J9" s="256"/>
      <c r="K9" s="255" t="s">
        <v>153</v>
      </c>
      <c r="L9" s="256"/>
      <c r="O9" s="23" t="s">
        <v>302</v>
      </c>
      <c r="P9" s="23">
        <v>85</v>
      </c>
      <c r="Q9" s="39">
        <v>46216</v>
      </c>
      <c r="U9" s="23" t="s">
        <v>302</v>
      </c>
      <c r="V9" s="23">
        <v>10</v>
      </c>
      <c r="W9" s="39">
        <v>46206</v>
      </c>
      <c r="AA9" s="23" t="s">
        <v>302</v>
      </c>
      <c r="AB9" s="23">
        <v>10</v>
      </c>
      <c r="AC9" s="39">
        <v>46205</v>
      </c>
      <c r="AG9" s="7"/>
      <c r="AH9" s="23"/>
      <c r="AI9" s="39"/>
      <c r="AM9" s="7"/>
      <c r="AN9" s="23"/>
      <c r="AO9" s="39"/>
      <c r="AT9" s="7"/>
      <c r="AU9" s="23"/>
      <c r="AV9" s="39"/>
      <c r="AZ9" s="7"/>
      <c r="BA9" s="23"/>
      <c r="BB9" s="39"/>
      <c r="BF9" s="7"/>
      <c r="BG9" s="23"/>
      <c r="BH9" s="39"/>
    </row>
    <row r="10" spans="1:61" ht="15" customHeight="1" x14ac:dyDescent="0.25">
      <c r="A10" s="248"/>
      <c r="B10" s="118" t="s">
        <v>110</v>
      </c>
      <c r="C10" s="128">
        <v>100</v>
      </c>
      <c r="D10" s="4"/>
      <c r="E10" s="246"/>
      <c r="H10" s="58">
        <v>46209</v>
      </c>
      <c r="I10" s="259" t="s">
        <v>279</v>
      </c>
      <c r="J10" s="259"/>
      <c r="K10" s="252" t="s">
        <v>22</v>
      </c>
      <c r="L10" s="253"/>
      <c r="O10" s="23" t="s">
        <v>302</v>
      </c>
      <c r="P10" s="23">
        <v>504</v>
      </c>
      <c r="Q10" s="39">
        <v>46217</v>
      </c>
      <c r="U10" s="23" t="s">
        <v>302</v>
      </c>
      <c r="V10" s="23">
        <v>15</v>
      </c>
      <c r="W10" s="39">
        <v>46216</v>
      </c>
      <c r="AA10" s="23" t="s">
        <v>302</v>
      </c>
      <c r="AB10" s="23">
        <v>10</v>
      </c>
      <c r="AC10" s="39">
        <v>46209</v>
      </c>
      <c r="AG10" s="7"/>
      <c r="AH10" s="23"/>
      <c r="AI10" s="39"/>
      <c r="AM10" s="7"/>
      <c r="AN10" s="23"/>
      <c r="AO10" s="39"/>
      <c r="AT10" s="7"/>
      <c r="AU10" s="23"/>
      <c r="AV10" s="39"/>
      <c r="AZ10" s="7"/>
      <c r="BA10" s="23"/>
      <c r="BB10" s="39"/>
      <c r="BF10" s="7"/>
      <c r="BG10" s="23"/>
      <c r="BH10" s="39"/>
    </row>
    <row r="11" spans="1:61" ht="15" customHeight="1" x14ac:dyDescent="0.25">
      <c r="A11" s="248"/>
      <c r="B11" s="5" t="s">
        <v>5</v>
      </c>
      <c r="C11" s="7">
        <v>100</v>
      </c>
      <c r="D11" s="4"/>
      <c r="E11" s="246"/>
      <c r="H11" s="58">
        <v>46209</v>
      </c>
      <c r="I11" s="255" t="s">
        <v>280</v>
      </c>
      <c r="J11" s="256"/>
      <c r="K11" s="255" t="s">
        <v>152</v>
      </c>
      <c r="L11" s="256"/>
      <c r="O11" s="23" t="s">
        <v>302</v>
      </c>
      <c r="P11" s="23">
        <v>1000</v>
      </c>
      <c r="Q11" s="39">
        <v>46221</v>
      </c>
      <c r="U11" s="23" t="s">
        <v>302</v>
      </c>
      <c r="V11" s="23">
        <v>15</v>
      </c>
      <c r="W11" s="39">
        <v>46219</v>
      </c>
      <c r="AA11" s="23" t="s">
        <v>302</v>
      </c>
      <c r="AB11" s="23">
        <v>15</v>
      </c>
      <c r="AC11" s="39">
        <v>46215</v>
      </c>
      <c r="AG11" s="7"/>
      <c r="AH11" s="23"/>
      <c r="AI11" s="39"/>
      <c r="AM11" s="7"/>
      <c r="AN11" s="23"/>
      <c r="AO11" s="39"/>
      <c r="AT11" s="7"/>
      <c r="AU11" s="23"/>
      <c r="AV11" s="39"/>
      <c r="AZ11" s="7"/>
      <c r="BA11" s="23"/>
      <c r="BB11" s="39"/>
      <c r="BF11" s="7"/>
      <c r="BG11" s="23"/>
      <c r="BH11" s="39"/>
    </row>
    <row r="12" spans="1:61" ht="15" customHeight="1" x14ac:dyDescent="0.25">
      <c r="A12" s="248"/>
      <c r="B12" s="118" t="s">
        <v>111</v>
      </c>
      <c r="C12" s="128">
        <v>100</v>
      </c>
      <c r="D12" s="4"/>
      <c r="E12" s="246"/>
      <c r="H12" s="58">
        <v>46209</v>
      </c>
      <c r="I12" s="255" t="s">
        <v>281</v>
      </c>
      <c r="J12" s="256"/>
      <c r="K12" s="255" t="s">
        <v>153</v>
      </c>
      <c r="L12" s="256"/>
      <c r="O12" s="23" t="s">
        <v>302</v>
      </c>
      <c r="P12" s="23">
        <v>392</v>
      </c>
      <c r="Q12" s="39">
        <v>46220</v>
      </c>
      <c r="U12" s="129" t="s">
        <v>569</v>
      </c>
      <c r="V12" s="129">
        <f>3000+3000+500</f>
        <v>6500</v>
      </c>
      <c r="W12" s="39">
        <v>46221</v>
      </c>
      <c r="AA12" s="23" t="s">
        <v>302</v>
      </c>
      <c r="AB12" s="23">
        <v>261</v>
      </c>
      <c r="AC12" s="39">
        <v>46219</v>
      </c>
      <c r="AG12" s="7"/>
      <c r="AH12" s="23"/>
      <c r="AI12" s="39"/>
      <c r="AM12" s="7"/>
      <c r="AN12" s="23"/>
      <c r="AO12" s="39"/>
      <c r="AT12" s="7"/>
      <c r="AU12" s="23"/>
      <c r="AV12" s="39"/>
      <c r="AZ12" s="7"/>
      <c r="BA12" s="23"/>
      <c r="BB12" s="39"/>
      <c r="BF12" s="7"/>
      <c r="BG12" s="23"/>
      <c r="BH12" s="39"/>
    </row>
    <row r="13" spans="1:61" ht="15" customHeight="1" x14ac:dyDescent="0.25">
      <c r="A13" s="248"/>
      <c r="B13" s="5" t="s">
        <v>181</v>
      </c>
      <c r="C13" s="7"/>
      <c r="D13" s="4"/>
      <c r="E13" s="246"/>
      <c r="H13" s="58">
        <v>46211</v>
      </c>
      <c r="I13" s="252" t="s">
        <v>334</v>
      </c>
      <c r="J13" s="253"/>
      <c r="K13" s="252" t="s">
        <v>168</v>
      </c>
      <c r="L13" s="253"/>
      <c r="O13" s="23" t="s">
        <v>302</v>
      </c>
      <c r="P13" s="23">
        <v>496</v>
      </c>
      <c r="Q13" s="39">
        <v>46222</v>
      </c>
      <c r="U13" s="23" t="s">
        <v>302</v>
      </c>
      <c r="V13" s="23">
        <v>40</v>
      </c>
      <c r="W13" s="39">
        <v>46222</v>
      </c>
      <c r="AA13" s="23" t="s">
        <v>302</v>
      </c>
      <c r="AB13" s="23">
        <v>75</v>
      </c>
      <c r="AC13" s="39">
        <v>46222</v>
      </c>
      <c r="AG13" s="7"/>
      <c r="AH13" s="23"/>
      <c r="AI13" s="39"/>
      <c r="AM13" s="7"/>
      <c r="AN13" s="23"/>
      <c r="AO13" s="39"/>
      <c r="AT13" s="7"/>
      <c r="AU13" s="23"/>
      <c r="AV13" s="39"/>
      <c r="AZ13" s="7"/>
      <c r="BA13" s="23"/>
      <c r="BB13" s="39"/>
      <c r="BF13" s="7"/>
      <c r="BG13" s="23"/>
      <c r="BH13" s="39"/>
    </row>
    <row r="14" spans="1:61" ht="15" customHeight="1" x14ac:dyDescent="0.25">
      <c r="A14" s="248"/>
      <c r="B14" s="118" t="s">
        <v>142</v>
      </c>
      <c r="C14" s="128">
        <v>100</v>
      </c>
      <c r="D14" s="4"/>
      <c r="E14" s="246"/>
      <c r="H14" s="58">
        <v>46211</v>
      </c>
      <c r="I14" s="252" t="s">
        <v>334</v>
      </c>
      <c r="J14" s="253"/>
      <c r="K14" s="252" t="s">
        <v>184</v>
      </c>
      <c r="L14" s="253"/>
      <c r="O14" s="23" t="s">
        <v>302</v>
      </c>
      <c r="P14" s="23">
        <v>100</v>
      </c>
      <c r="Q14" s="39">
        <v>46223</v>
      </c>
      <c r="U14" s="23" t="s">
        <v>302</v>
      </c>
      <c r="V14" s="23">
        <v>100</v>
      </c>
      <c r="W14" s="39">
        <v>46223</v>
      </c>
      <c r="AA14" s="23" t="s">
        <v>302</v>
      </c>
      <c r="AB14" s="23">
        <v>15</v>
      </c>
      <c r="AC14" s="39">
        <v>46223</v>
      </c>
      <c r="AM14" s="7"/>
      <c r="AN14" s="23"/>
      <c r="AO14" s="39"/>
      <c r="AT14" s="7"/>
      <c r="AU14" s="23"/>
      <c r="AV14" s="39"/>
      <c r="AZ14" s="7"/>
      <c r="BA14" s="23"/>
      <c r="BB14" s="39"/>
      <c r="BF14" s="7"/>
      <c r="BG14" s="23"/>
      <c r="BH14" s="39"/>
    </row>
    <row r="15" spans="1:61" ht="15" customHeight="1" x14ac:dyDescent="0.25">
      <c r="A15" s="249"/>
      <c r="B15" s="112" t="s">
        <v>14</v>
      </c>
      <c r="C15" s="49">
        <v>50</v>
      </c>
      <c r="D15" s="112"/>
      <c r="E15" s="247"/>
      <c r="H15" s="58">
        <v>46211</v>
      </c>
      <c r="I15" s="252" t="s">
        <v>335</v>
      </c>
      <c r="J15" s="253"/>
      <c r="K15" s="252" t="s">
        <v>333</v>
      </c>
      <c r="L15" s="253"/>
      <c r="O15" s="23" t="s">
        <v>302</v>
      </c>
      <c r="P15" s="23">
        <v>1000</v>
      </c>
      <c r="Q15" s="39">
        <v>46220</v>
      </c>
      <c r="U15" s="23"/>
      <c r="V15" s="23">
        <v>500</v>
      </c>
      <c r="W15" s="39">
        <v>46224</v>
      </c>
      <c r="AA15" s="129" t="s">
        <v>569</v>
      </c>
      <c r="AB15" s="129">
        <v>6500</v>
      </c>
      <c r="AC15" s="39"/>
      <c r="AM15" s="7"/>
      <c r="AN15" s="23"/>
      <c r="AO15" s="39"/>
      <c r="AT15" s="7"/>
      <c r="AU15" s="23"/>
      <c r="AV15" s="39"/>
    </row>
    <row r="16" spans="1:61" x14ac:dyDescent="0.25">
      <c r="A16" s="224">
        <v>46205</v>
      </c>
      <c r="B16" s="112" t="s">
        <v>117</v>
      </c>
      <c r="C16" s="49">
        <v>100</v>
      </c>
      <c r="D16" s="4"/>
      <c r="E16" s="261">
        <f>SUM(C18:C25)</f>
        <v>1115</v>
      </c>
      <c r="H16" s="58">
        <v>46212</v>
      </c>
      <c r="I16" s="252" t="s">
        <v>357</v>
      </c>
      <c r="J16" s="253"/>
      <c r="K16" s="252" t="s">
        <v>181</v>
      </c>
      <c r="L16" s="253"/>
      <c r="O16" s="4"/>
      <c r="P16" s="23">
        <v>500</v>
      </c>
      <c r="Q16" s="39">
        <v>46224</v>
      </c>
      <c r="U16" s="7"/>
      <c r="V16" s="23">
        <v>50</v>
      </c>
      <c r="W16" s="39">
        <v>46197</v>
      </c>
      <c r="AA16" s="23"/>
      <c r="AB16" s="23">
        <v>500</v>
      </c>
      <c r="AC16" s="39">
        <v>46224</v>
      </c>
    </row>
    <row r="17" spans="1:32" x14ac:dyDescent="0.25">
      <c r="A17" s="225"/>
      <c r="B17" s="5"/>
      <c r="C17" s="7"/>
      <c r="D17" s="4"/>
      <c r="E17" s="261"/>
      <c r="H17" s="58">
        <v>46212</v>
      </c>
      <c r="I17" s="252" t="s">
        <v>358</v>
      </c>
      <c r="J17" s="253"/>
      <c r="K17" s="252" t="s">
        <v>111</v>
      </c>
      <c r="L17" s="253"/>
      <c r="O17" s="23"/>
      <c r="P17" s="23">
        <v>500</v>
      </c>
      <c r="Q17" s="39">
        <v>46196</v>
      </c>
      <c r="U17" s="7"/>
      <c r="V17" s="23">
        <v>10</v>
      </c>
      <c r="W17" s="39">
        <v>46196</v>
      </c>
      <c r="AA17" s="23"/>
      <c r="AB17" s="23">
        <v>50</v>
      </c>
      <c r="AC17" s="39">
        <v>46197</v>
      </c>
      <c r="AE17" s="195" t="s">
        <v>268</v>
      </c>
      <c r="AF17" s="195"/>
    </row>
    <row r="18" spans="1:32" x14ac:dyDescent="0.25">
      <c r="A18" s="225"/>
      <c r="B18" s="152" t="s">
        <v>21</v>
      </c>
      <c r="C18" s="7">
        <v>200</v>
      </c>
      <c r="D18" s="4"/>
      <c r="E18" s="261"/>
      <c r="H18" s="58">
        <v>46220</v>
      </c>
      <c r="I18" s="252" t="s">
        <v>112</v>
      </c>
      <c r="J18" s="253"/>
      <c r="K18" s="252" t="s">
        <v>480</v>
      </c>
      <c r="L18" s="253"/>
      <c r="O18" s="4"/>
      <c r="P18" s="23">
        <f>SUM(P5:P17)</f>
        <v>8305</v>
      </c>
      <c r="Q18" s="39" t="s">
        <v>47</v>
      </c>
      <c r="U18" s="7"/>
      <c r="V18" s="7">
        <v>20</v>
      </c>
      <c r="W18" s="58">
        <v>46186</v>
      </c>
      <c r="AA18" s="4"/>
      <c r="AB18" s="23">
        <v>10</v>
      </c>
      <c r="AC18" s="39">
        <v>46196</v>
      </c>
      <c r="AE18" s="23">
        <f>AB5+AB6+AB7+AB17+AB18+AB19+AB20+AB21+AB22+AB23+AB24+AB25+AB26+AB8</f>
        <v>960</v>
      </c>
      <c r="AF18" s="37" t="s">
        <v>615</v>
      </c>
    </row>
    <row r="19" spans="1:32" x14ac:dyDescent="0.25">
      <c r="A19" s="225"/>
      <c r="B19" s="118" t="s">
        <v>12</v>
      </c>
      <c r="C19" s="128">
        <v>100</v>
      </c>
      <c r="D19" s="4"/>
      <c r="E19" s="261"/>
      <c r="H19" s="58">
        <v>46220</v>
      </c>
      <c r="I19" s="252" t="s">
        <v>112</v>
      </c>
      <c r="J19" s="253"/>
      <c r="K19" s="252" t="s">
        <v>579</v>
      </c>
      <c r="L19" s="253"/>
      <c r="Q19" s="14"/>
      <c r="U19" s="7"/>
      <c r="V19" s="7">
        <v>30</v>
      </c>
      <c r="W19" s="58">
        <v>46188</v>
      </c>
      <c r="AA19" s="4"/>
      <c r="AB19" s="23">
        <v>200</v>
      </c>
      <c r="AC19" s="39">
        <v>46186</v>
      </c>
      <c r="AE19">
        <v>40</v>
      </c>
      <c r="AF19" t="s">
        <v>616</v>
      </c>
    </row>
    <row r="20" spans="1:32" x14ac:dyDescent="0.25">
      <c r="A20" s="225"/>
      <c r="B20" s="112" t="s">
        <v>14</v>
      </c>
      <c r="C20" s="49">
        <v>625</v>
      </c>
      <c r="D20" s="112"/>
      <c r="E20" s="261"/>
      <c r="H20" s="58">
        <v>46220</v>
      </c>
      <c r="I20" s="252" t="s">
        <v>151</v>
      </c>
      <c r="J20" s="253"/>
      <c r="K20" s="252" t="s">
        <v>168</v>
      </c>
      <c r="L20" s="253"/>
      <c r="Q20" s="14"/>
      <c r="U20" s="7"/>
      <c r="V20" s="7">
        <v>15</v>
      </c>
      <c r="W20" s="58">
        <v>46191</v>
      </c>
      <c r="AA20" s="4"/>
      <c r="AB20" s="23">
        <v>30</v>
      </c>
      <c r="AC20" s="39">
        <v>46188</v>
      </c>
    </row>
    <row r="21" spans="1:32" x14ac:dyDescent="0.25">
      <c r="A21" s="225"/>
      <c r="B21" s="118" t="s">
        <v>111</v>
      </c>
      <c r="C21" s="128">
        <v>50</v>
      </c>
      <c r="D21" s="4"/>
      <c r="E21" s="261"/>
      <c r="H21" s="224">
        <v>46221</v>
      </c>
      <c r="I21" s="252" t="s">
        <v>589</v>
      </c>
      <c r="J21" s="253"/>
      <c r="K21" s="252" t="s">
        <v>368</v>
      </c>
      <c r="L21" s="253"/>
      <c r="Q21" s="14"/>
      <c r="V21" s="23">
        <f>SUM(V5:V20)</f>
        <v>7675</v>
      </c>
      <c r="W21" s="23" t="s">
        <v>47</v>
      </c>
      <c r="AA21" s="4"/>
      <c r="AB21" s="23">
        <v>60</v>
      </c>
      <c r="AC21" s="39">
        <v>46189</v>
      </c>
    </row>
    <row r="22" spans="1:32" x14ac:dyDescent="0.25">
      <c r="A22" s="225"/>
      <c r="B22" s="118" t="s">
        <v>23</v>
      </c>
      <c r="C22" s="128">
        <v>100</v>
      </c>
      <c r="D22" s="7" t="s">
        <v>135</v>
      </c>
      <c r="E22" s="261"/>
      <c r="H22" s="226"/>
      <c r="I22" s="252" t="s">
        <v>590</v>
      </c>
      <c r="J22" s="253"/>
      <c r="K22" s="252" t="s">
        <v>168</v>
      </c>
      <c r="L22" s="253"/>
      <c r="Q22" s="14"/>
      <c r="V22" s="7" t="s">
        <v>612</v>
      </c>
      <c r="W22" s="7" t="s">
        <v>53</v>
      </c>
      <c r="AA22" s="4"/>
      <c r="AB22" s="23">
        <v>15</v>
      </c>
      <c r="AC22" s="39">
        <v>46190</v>
      </c>
    </row>
    <row r="23" spans="1:32" x14ac:dyDescent="0.25">
      <c r="A23" s="225"/>
      <c r="B23" s="152" t="s">
        <v>13</v>
      </c>
      <c r="C23" s="11">
        <v>10</v>
      </c>
      <c r="D23" s="4"/>
      <c r="E23" s="261"/>
      <c r="H23" s="58">
        <v>46222</v>
      </c>
      <c r="I23" s="252" t="s">
        <v>112</v>
      </c>
      <c r="J23" s="253"/>
      <c r="K23" s="252" t="s">
        <v>475</v>
      </c>
      <c r="L23" s="253"/>
      <c r="Q23" s="14"/>
      <c r="AA23" s="4"/>
      <c r="AB23" s="23">
        <v>200</v>
      </c>
      <c r="AC23" s="39">
        <v>46191</v>
      </c>
    </row>
    <row r="24" spans="1:32" x14ac:dyDescent="0.25">
      <c r="A24" s="226"/>
      <c r="B24" s="5" t="s">
        <v>5</v>
      </c>
      <c r="C24" s="11">
        <v>10</v>
      </c>
      <c r="D24" s="4"/>
      <c r="E24" s="261"/>
      <c r="H24" s="224">
        <v>46224</v>
      </c>
      <c r="I24" s="252" t="s">
        <v>112</v>
      </c>
      <c r="J24" s="253"/>
      <c r="K24" s="252" t="s">
        <v>655</v>
      </c>
      <c r="L24" s="253"/>
      <c r="Q24" s="14"/>
      <c r="AA24" s="4"/>
      <c r="AB24" s="23">
        <v>150</v>
      </c>
      <c r="AC24" s="39">
        <v>46192</v>
      </c>
    </row>
    <row r="25" spans="1:32" x14ac:dyDescent="0.25">
      <c r="A25" s="224">
        <v>46206</v>
      </c>
      <c r="B25" s="112" t="s">
        <v>15</v>
      </c>
      <c r="C25" s="49">
        <v>20</v>
      </c>
      <c r="D25" s="112"/>
      <c r="E25" s="262">
        <f>SUM(C26:C36)</f>
        <v>870</v>
      </c>
      <c r="H25" s="225"/>
      <c r="I25" s="252" t="s">
        <v>112</v>
      </c>
      <c r="J25" s="253"/>
      <c r="K25" s="252" t="s">
        <v>480</v>
      </c>
      <c r="L25" s="253"/>
      <c r="Q25" s="14"/>
      <c r="U25">
        <f>V5+V6+V7+V16+V17+V18+V19+V20</f>
        <v>295</v>
      </c>
      <c r="W25" s="51"/>
      <c r="AA25" s="4"/>
      <c r="AB25" s="23">
        <v>20</v>
      </c>
      <c r="AC25" s="39">
        <v>46193</v>
      </c>
    </row>
    <row r="26" spans="1:32" x14ac:dyDescent="0.25">
      <c r="A26" s="225"/>
      <c r="B26" s="5" t="s">
        <v>18</v>
      </c>
      <c r="C26" s="11">
        <v>200</v>
      </c>
      <c r="D26" s="4"/>
      <c r="E26" s="193"/>
      <c r="H26" s="225"/>
      <c r="I26" s="252" t="s">
        <v>112</v>
      </c>
      <c r="J26" s="253"/>
      <c r="K26" s="252" t="s">
        <v>656</v>
      </c>
      <c r="L26" s="253"/>
      <c r="Q26" s="14"/>
      <c r="W26" s="51" t="s">
        <v>613</v>
      </c>
      <c r="AA26" s="4"/>
      <c r="AB26" s="23">
        <v>70</v>
      </c>
      <c r="AC26" s="39">
        <v>46197</v>
      </c>
    </row>
    <row r="27" spans="1:32" x14ac:dyDescent="0.25">
      <c r="A27" s="225"/>
      <c r="B27" s="118" t="s">
        <v>22</v>
      </c>
      <c r="C27" s="176">
        <v>30</v>
      </c>
      <c r="D27" s="4"/>
      <c r="E27" s="193"/>
      <c r="H27" s="225"/>
      <c r="I27" s="252" t="s">
        <v>112</v>
      </c>
      <c r="J27" s="253"/>
      <c r="K27" s="252" t="s">
        <v>478</v>
      </c>
      <c r="L27" s="253"/>
      <c r="Q27" s="14"/>
      <c r="U27">
        <v>770</v>
      </c>
      <c r="V27" t="s">
        <v>616</v>
      </c>
      <c r="W27" s="51"/>
      <c r="AB27" s="23">
        <f>SUM(AB5:AB26)</f>
        <v>8346</v>
      </c>
      <c r="AC27" s="39" t="s">
        <v>345</v>
      </c>
    </row>
    <row r="28" spans="1:32" x14ac:dyDescent="0.25">
      <c r="A28" s="225"/>
      <c r="B28" s="5" t="s">
        <v>186</v>
      </c>
      <c r="C28" s="48">
        <v>200</v>
      </c>
      <c r="D28" s="4"/>
      <c r="E28" s="193"/>
      <c r="H28" s="226"/>
      <c r="I28" s="252" t="s">
        <v>112</v>
      </c>
      <c r="J28" s="253"/>
      <c r="K28" s="252" t="s">
        <v>309</v>
      </c>
      <c r="L28" s="253"/>
      <c r="W28" s="51" t="s">
        <v>614</v>
      </c>
      <c r="AB28" s="23" t="s">
        <v>357</v>
      </c>
      <c r="AC28" s="39" t="s">
        <v>53</v>
      </c>
    </row>
    <row r="29" spans="1:32" x14ac:dyDescent="0.25">
      <c r="A29" s="225"/>
      <c r="B29" s="118" t="s">
        <v>142</v>
      </c>
      <c r="C29" s="176">
        <v>100</v>
      </c>
      <c r="D29" s="4"/>
      <c r="E29" s="193"/>
      <c r="H29" s="16"/>
      <c r="I29" s="257"/>
      <c r="J29" s="258"/>
      <c r="K29" s="257"/>
      <c r="L29" s="258"/>
      <c r="T29" s="51"/>
      <c r="W29" s="51"/>
      <c r="X29" s="51"/>
      <c r="AC29" s="14"/>
    </row>
    <row r="30" spans="1:32" x14ac:dyDescent="0.25">
      <c r="A30" s="225"/>
      <c r="B30" s="118" t="s">
        <v>111</v>
      </c>
      <c r="C30" s="176">
        <v>200</v>
      </c>
      <c r="D30" s="4"/>
      <c r="E30" s="193"/>
      <c r="H30" s="16"/>
      <c r="I30" s="257"/>
      <c r="J30" s="258"/>
      <c r="K30" s="257"/>
      <c r="L30" s="258"/>
      <c r="AC30" s="14"/>
    </row>
    <row r="31" spans="1:32" x14ac:dyDescent="0.25">
      <c r="A31" s="225"/>
      <c r="B31" s="112" t="s">
        <v>10</v>
      </c>
      <c r="C31" s="48">
        <v>50</v>
      </c>
      <c r="D31" s="112"/>
      <c r="E31" s="193"/>
      <c r="H31" s="16"/>
      <c r="I31" s="257"/>
      <c r="J31" s="258"/>
      <c r="K31" s="257"/>
      <c r="L31" s="258"/>
      <c r="W31" s="23" t="s">
        <v>626</v>
      </c>
      <c r="AC31" s="14"/>
    </row>
    <row r="32" spans="1:32" x14ac:dyDescent="0.25">
      <c r="A32" s="225"/>
      <c r="B32" s="5" t="s">
        <v>5</v>
      </c>
      <c r="C32" s="11">
        <v>10</v>
      </c>
      <c r="D32" s="4"/>
      <c r="E32" s="193"/>
      <c r="H32" s="16"/>
      <c r="I32" s="257"/>
      <c r="J32" s="258"/>
      <c r="K32" s="257"/>
      <c r="L32" s="258"/>
      <c r="W32" s="23" t="s">
        <v>622</v>
      </c>
      <c r="AC32" s="14"/>
      <c r="AE32" s="23" t="s">
        <v>627</v>
      </c>
    </row>
    <row r="33" spans="1:32" x14ac:dyDescent="0.25">
      <c r="A33" s="225"/>
      <c r="B33" s="152" t="s">
        <v>140</v>
      </c>
      <c r="C33" s="11">
        <v>10</v>
      </c>
      <c r="D33" s="4"/>
      <c r="E33" s="193"/>
      <c r="R33" s="23" t="s">
        <v>619</v>
      </c>
      <c r="S33" s="23" t="s">
        <v>37</v>
      </c>
      <c r="T33" s="23" t="s">
        <v>618</v>
      </c>
      <c r="U33" s="23" t="s">
        <v>625</v>
      </c>
      <c r="V33" s="23" t="s">
        <v>589</v>
      </c>
      <c r="W33" s="23" t="s">
        <v>624</v>
      </c>
      <c r="X33" s="23" t="s">
        <v>623</v>
      </c>
      <c r="AC33" s="14"/>
      <c r="AE33" s="23" t="s">
        <v>620</v>
      </c>
    </row>
    <row r="34" spans="1:32" x14ac:dyDescent="0.25">
      <c r="A34" s="225"/>
      <c r="B34" s="49" t="s">
        <v>146</v>
      </c>
      <c r="C34" s="48">
        <v>10</v>
      </c>
      <c r="D34" s="49"/>
      <c r="E34" s="193"/>
      <c r="R34" s="23">
        <v>-929</v>
      </c>
      <c r="S34" s="23">
        <v>6500</v>
      </c>
      <c r="T34" s="23">
        <v>5571</v>
      </c>
      <c r="U34" s="23">
        <v>295</v>
      </c>
      <c r="V34" s="23">
        <v>266</v>
      </c>
      <c r="W34" s="23">
        <v>4000</v>
      </c>
      <c r="X34" s="23">
        <v>1600</v>
      </c>
      <c r="AB34" s="23" t="s">
        <v>617</v>
      </c>
      <c r="AC34" s="39" t="s">
        <v>302</v>
      </c>
      <c r="AD34" s="26" t="s">
        <v>618</v>
      </c>
      <c r="AE34" s="23" t="s">
        <v>37</v>
      </c>
      <c r="AF34" s="23" t="s">
        <v>619</v>
      </c>
    </row>
    <row r="35" spans="1:32" x14ac:dyDescent="0.25">
      <c r="A35" s="226"/>
      <c r="B35" s="23" t="s">
        <v>12</v>
      </c>
      <c r="C35" s="32">
        <v>30</v>
      </c>
      <c r="D35" s="34"/>
      <c r="E35" s="193"/>
      <c r="AB35" s="23">
        <v>7500</v>
      </c>
      <c r="AC35" s="23">
        <v>960</v>
      </c>
      <c r="AD35" s="23">
        <f>AB35-AC35</f>
        <v>6540</v>
      </c>
      <c r="AE35" s="23">
        <v>6500</v>
      </c>
      <c r="AF35" s="23">
        <v>-40</v>
      </c>
    </row>
    <row r="36" spans="1:32" x14ac:dyDescent="0.25">
      <c r="A36" s="235">
        <v>46207</v>
      </c>
      <c r="B36" s="49" t="s">
        <v>10</v>
      </c>
      <c r="C36" s="48">
        <v>30</v>
      </c>
      <c r="D36" s="49"/>
      <c r="E36" s="1"/>
    </row>
    <row r="37" spans="1:32" x14ac:dyDescent="0.25">
      <c r="A37" s="236"/>
      <c r="B37" s="128" t="s">
        <v>111</v>
      </c>
      <c r="C37" s="176">
        <v>150</v>
      </c>
      <c r="D37" s="34"/>
      <c r="E37" s="1"/>
      <c r="W37" s="26" t="s">
        <v>630</v>
      </c>
    </row>
    <row r="38" spans="1:32" x14ac:dyDescent="0.25">
      <c r="A38" s="236"/>
      <c r="B38" s="23" t="s">
        <v>5</v>
      </c>
      <c r="C38" s="32">
        <v>125</v>
      </c>
      <c r="D38" s="34"/>
      <c r="E38" s="1"/>
      <c r="U38" s="23" t="s">
        <v>628</v>
      </c>
      <c r="V38" s="23" t="s">
        <v>37</v>
      </c>
      <c r="W38" s="23" t="s">
        <v>629</v>
      </c>
    </row>
    <row r="39" spans="1:32" ht="15" customHeight="1" x14ac:dyDescent="0.25">
      <c r="A39" s="236"/>
      <c r="B39" s="128" t="s">
        <v>20</v>
      </c>
      <c r="C39" s="176">
        <v>200</v>
      </c>
      <c r="D39" s="33"/>
      <c r="E39" s="1"/>
      <c r="U39" s="23">
        <v>-6305</v>
      </c>
      <c r="V39" s="23">
        <v>8305</v>
      </c>
      <c r="W39" s="23">
        <v>2000</v>
      </c>
    </row>
    <row r="40" spans="1:32" ht="15" customHeight="1" x14ac:dyDescent="0.25">
      <c r="A40" s="236"/>
      <c r="B40" s="49" t="s">
        <v>146</v>
      </c>
      <c r="C40" s="48">
        <v>350</v>
      </c>
      <c r="D40" s="49"/>
      <c r="E40" s="1"/>
    </row>
    <row r="41" spans="1:32" ht="15" customHeight="1" x14ac:dyDescent="0.25">
      <c r="A41" s="236"/>
      <c r="B41" s="153" t="s">
        <v>182</v>
      </c>
      <c r="C41" s="32">
        <v>300</v>
      </c>
      <c r="D41" s="34"/>
      <c r="E41" s="1"/>
    </row>
    <row r="42" spans="1:32" ht="15" customHeight="1" x14ac:dyDescent="0.25">
      <c r="A42" s="236"/>
      <c r="B42" s="49" t="s">
        <v>15</v>
      </c>
      <c r="C42" s="48">
        <v>100</v>
      </c>
      <c r="D42" s="49"/>
      <c r="E42" s="1"/>
      <c r="G42" s="1"/>
      <c r="H42" s="1"/>
      <c r="AD42" s="4"/>
      <c r="AE42" s="4" t="s">
        <v>631</v>
      </c>
    </row>
    <row r="43" spans="1:32" ht="15" customHeight="1" x14ac:dyDescent="0.25">
      <c r="A43" s="236"/>
      <c r="B43" s="128" t="s">
        <v>12</v>
      </c>
      <c r="C43" s="176">
        <v>125</v>
      </c>
      <c r="D43" s="34"/>
      <c r="E43" s="1"/>
      <c r="G43" s="1"/>
      <c r="AD43" s="4" t="s">
        <v>37</v>
      </c>
      <c r="AE43" s="4" t="s">
        <v>621</v>
      </c>
    </row>
    <row r="44" spans="1:32" ht="15" customHeight="1" x14ac:dyDescent="0.25">
      <c r="A44" s="236"/>
      <c r="B44" s="49" t="s">
        <v>10</v>
      </c>
      <c r="C44" s="48">
        <v>125</v>
      </c>
      <c r="D44" s="49"/>
      <c r="E44" s="1"/>
      <c r="AD44" s="4">
        <v>11500</v>
      </c>
      <c r="AE44" s="4">
        <v>15000</v>
      </c>
    </row>
    <row r="45" spans="1:32" ht="15" customHeight="1" x14ac:dyDescent="0.25">
      <c r="A45" s="236"/>
      <c r="B45" s="128" t="s">
        <v>320</v>
      </c>
      <c r="C45" s="176">
        <v>125</v>
      </c>
      <c r="D45" s="34"/>
      <c r="E45" s="1"/>
      <c r="AD45" s="4"/>
      <c r="AE45" s="4"/>
    </row>
    <row r="46" spans="1:32" ht="15" customHeight="1" x14ac:dyDescent="0.25">
      <c r="A46" s="236"/>
      <c r="B46" s="128" t="s">
        <v>142</v>
      </c>
      <c r="C46" s="176">
        <v>100</v>
      </c>
      <c r="D46" s="34"/>
      <c r="E46" s="1"/>
    </row>
    <row r="47" spans="1:32" ht="15" customHeight="1" x14ac:dyDescent="0.25">
      <c r="A47" s="237"/>
      <c r="B47" s="128" t="s">
        <v>320</v>
      </c>
      <c r="C47" s="176">
        <v>25</v>
      </c>
      <c r="D47" s="34"/>
    </row>
    <row r="48" spans="1:32" ht="15" customHeight="1" x14ac:dyDescent="0.25">
      <c r="A48" s="238">
        <v>46208</v>
      </c>
      <c r="B48" s="49" t="s">
        <v>146</v>
      </c>
      <c r="C48" s="48">
        <v>25</v>
      </c>
      <c r="D48" s="34"/>
    </row>
    <row r="49" spans="1:5" ht="15" customHeight="1" x14ac:dyDescent="0.25">
      <c r="A49" s="239"/>
      <c r="B49" s="49" t="s">
        <v>10</v>
      </c>
      <c r="C49" s="48">
        <v>10</v>
      </c>
      <c r="D49" s="49"/>
    </row>
    <row r="50" spans="1:5" ht="15" customHeight="1" x14ac:dyDescent="0.25">
      <c r="A50" s="240"/>
      <c r="B50" s="154" t="s">
        <v>347</v>
      </c>
      <c r="C50" s="175">
        <v>1000</v>
      </c>
      <c r="D50" s="131"/>
    </row>
    <row r="51" spans="1:5" ht="15" customHeight="1" x14ac:dyDescent="0.25">
      <c r="A51" s="235">
        <v>46209</v>
      </c>
      <c r="B51" s="128" t="s">
        <v>142</v>
      </c>
      <c r="C51" s="176">
        <v>100</v>
      </c>
      <c r="D51" s="34"/>
    </row>
    <row r="52" spans="1:5" ht="15" customHeight="1" x14ac:dyDescent="0.25">
      <c r="A52" s="236"/>
      <c r="B52" s="128" t="s">
        <v>20</v>
      </c>
      <c r="C52" s="176">
        <v>600</v>
      </c>
      <c r="D52" s="34"/>
    </row>
    <row r="53" spans="1:5" ht="15" customHeight="1" x14ac:dyDescent="0.25">
      <c r="A53" s="236"/>
      <c r="B53" s="128" t="s">
        <v>22</v>
      </c>
      <c r="C53" s="176">
        <v>100</v>
      </c>
      <c r="D53" s="34"/>
    </row>
    <row r="54" spans="1:5" ht="15" customHeight="1" x14ac:dyDescent="0.25">
      <c r="A54" s="236"/>
      <c r="B54" s="128" t="s">
        <v>111</v>
      </c>
      <c r="C54" s="176">
        <v>100</v>
      </c>
      <c r="D54" s="34"/>
      <c r="E54" s="1"/>
    </row>
    <row r="55" spans="1:5" x14ac:dyDescent="0.25">
      <c r="A55" s="236"/>
      <c r="B55" s="128" t="s">
        <v>12</v>
      </c>
      <c r="C55" s="176">
        <v>10</v>
      </c>
      <c r="D55" s="34"/>
    </row>
    <row r="56" spans="1:5" x14ac:dyDescent="0.25">
      <c r="A56" s="236"/>
      <c r="B56" s="128" t="s">
        <v>320</v>
      </c>
      <c r="C56" s="128">
        <v>30</v>
      </c>
      <c r="D56" s="34"/>
    </row>
    <row r="57" spans="1:5" x14ac:dyDescent="0.25">
      <c r="A57" s="236"/>
      <c r="B57" s="155" t="s">
        <v>13</v>
      </c>
      <c r="C57" s="34">
        <v>10</v>
      </c>
      <c r="D57" s="34"/>
    </row>
    <row r="58" spans="1:5" x14ac:dyDescent="0.25">
      <c r="A58" s="236"/>
      <c r="B58" s="128" t="s">
        <v>143</v>
      </c>
      <c r="C58" s="128">
        <v>10</v>
      </c>
      <c r="D58" s="34"/>
    </row>
    <row r="59" spans="1:5" x14ac:dyDescent="0.25">
      <c r="A59" s="237"/>
      <c r="B59" s="128" t="s">
        <v>282</v>
      </c>
      <c r="C59" s="128">
        <v>100</v>
      </c>
      <c r="D59" s="34"/>
    </row>
    <row r="60" spans="1:5" x14ac:dyDescent="0.25">
      <c r="A60" s="235">
        <v>46210</v>
      </c>
      <c r="B60" s="49" t="s">
        <v>10</v>
      </c>
      <c r="C60" s="49">
        <v>195</v>
      </c>
      <c r="D60" s="49" t="s">
        <v>274</v>
      </c>
    </row>
    <row r="61" spans="1:5" x14ac:dyDescent="0.25">
      <c r="A61" s="237"/>
      <c r="B61" s="128" t="s">
        <v>278</v>
      </c>
      <c r="C61" s="128">
        <v>100</v>
      </c>
      <c r="D61" s="34"/>
    </row>
    <row r="62" spans="1:5" x14ac:dyDescent="0.25">
      <c r="A62" s="235">
        <v>46211</v>
      </c>
      <c r="B62" s="128" t="s">
        <v>12</v>
      </c>
      <c r="C62" s="128">
        <v>100</v>
      </c>
      <c r="D62" s="34"/>
    </row>
    <row r="63" spans="1:5" x14ac:dyDescent="0.25">
      <c r="A63" s="236"/>
      <c r="B63" s="128" t="s">
        <v>278</v>
      </c>
      <c r="C63" s="128">
        <v>100</v>
      </c>
      <c r="D63" s="34"/>
    </row>
    <row r="64" spans="1:5" x14ac:dyDescent="0.25">
      <c r="A64" s="236"/>
      <c r="B64" s="128" t="s">
        <v>12</v>
      </c>
      <c r="C64" s="128">
        <v>50</v>
      </c>
      <c r="D64" s="34"/>
    </row>
    <row r="65" spans="1:7" x14ac:dyDescent="0.25">
      <c r="A65" s="236"/>
      <c r="B65" s="128" t="s">
        <v>111</v>
      </c>
      <c r="C65" s="128">
        <v>15</v>
      </c>
      <c r="D65" s="34"/>
    </row>
    <row r="66" spans="1:7" x14ac:dyDescent="0.25">
      <c r="A66" s="237"/>
      <c r="B66" s="128" t="s">
        <v>320</v>
      </c>
      <c r="C66" s="128">
        <v>115</v>
      </c>
      <c r="D66" s="34"/>
    </row>
    <row r="67" spans="1:7" x14ac:dyDescent="0.25">
      <c r="A67" s="235">
        <v>46212</v>
      </c>
      <c r="B67" s="128" t="s">
        <v>579</v>
      </c>
      <c r="C67" s="128">
        <v>50</v>
      </c>
      <c r="D67" s="34"/>
    </row>
    <row r="68" spans="1:7" x14ac:dyDescent="0.25">
      <c r="A68" s="236"/>
      <c r="B68" s="128" t="s">
        <v>12</v>
      </c>
      <c r="C68" s="128">
        <v>30</v>
      </c>
      <c r="D68" s="34"/>
    </row>
    <row r="69" spans="1:7" x14ac:dyDescent="0.25">
      <c r="A69" s="236"/>
      <c r="B69" s="128" t="s">
        <v>184</v>
      </c>
      <c r="C69" s="128">
        <v>30</v>
      </c>
      <c r="D69" s="34"/>
    </row>
    <row r="70" spans="1:7" x14ac:dyDescent="0.25">
      <c r="A70" s="236"/>
      <c r="B70" s="128" t="s">
        <v>333</v>
      </c>
      <c r="C70" s="128">
        <v>30</v>
      </c>
      <c r="D70" s="34"/>
      <c r="G70" s="51"/>
    </row>
    <row r="71" spans="1:7" x14ac:dyDescent="0.25">
      <c r="A71" s="236"/>
      <c r="B71" s="128" t="s">
        <v>143</v>
      </c>
      <c r="C71" s="128">
        <v>500</v>
      </c>
      <c r="D71" s="34"/>
      <c r="G71" s="51"/>
    </row>
    <row r="72" spans="1:7" x14ac:dyDescent="0.25">
      <c r="A72" s="236"/>
      <c r="B72" s="128" t="s">
        <v>278</v>
      </c>
      <c r="C72" s="128">
        <v>100</v>
      </c>
      <c r="D72" s="34"/>
      <c r="G72" s="51"/>
    </row>
    <row r="73" spans="1:7" x14ac:dyDescent="0.25">
      <c r="A73" s="236"/>
      <c r="B73" s="153" t="s">
        <v>182</v>
      </c>
      <c r="C73" s="34">
        <v>500</v>
      </c>
      <c r="D73" s="34"/>
      <c r="G73" s="51"/>
    </row>
    <row r="74" spans="1:7" x14ac:dyDescent="0.25">
      <c r="A74" s="237"/>
      <c r="B74" s="128" t="s">
        <v>20</v>
      </c>
      <c r="C74" s="128">
        <v>1000</v>
      </c>
      <c r="D74" s="34"/>
      <c r="G74" s="51"/>
    </row>
    <row r="75" spans="1:7" x14ac:dyDescent="0.25">
      <c r="A75" s="235">
        <v>46213</v>
      </c>
      <c r="B75" s="128" t="s">
        <v>12</v>
      </c>
      <c r="C75" s="128">
        <v>50</v>
      </c>
      <c r="D75" s="34"/>
      <c r="G75" s="51"/>
    </row>
    <row r="76" spans="1:7" x14ac:dyDescent="0.25">
      <c r="A76" s="236"/>
      <c r="B76" s="128" t="s">
        <v>184</v>
      </c>
      <c r="C76" s="128">
        <v>15</v>
      </c>
      <c r="D76" s="34"/>
      <c r="G76" s="51"/>
    </row>
    <row r="77" spans="1:7" x14ac:dyDescent="0.25">
      <c r="A77" s="236"/>
      <c r="B77" s="128" t="s">
        <v>12</v>
      </c>
      <c r="C77" s="128">
        <v>10</v>
      </c>
      <c r="D77" s="34"/>
      <c r="G77" s="51"/>
    </row>
    <row r="78" spans="1:7" x14ac:dyDescent="0.25">
      <c r="A78" s="237"/>
      <c r="B78" s="128" t="s">
        <v>12</v>
      </c>
      <c r="C78" s="128">
        <v>50</v>
      </c>
      <c r="D78" s="34"/>
      <c r="G78" s="51"/>
    </row>
    <row r="79" spans="1:7" x14ac:dyDescent="0.25">
      <c r="A79" s="235">
        <v>46214</v>
      </c>
      <c r="B79" s="128" t="s">
        <v>579</v>
      </c>
      <c r="C79" s="128">
        <v>20</v>
      </c>
      <c r="D79" s="34"/>
      <c r="G79" s="51"/>
    </row>
    <row r="80" spans="1:7" x14ac:dyDescent="0.25">
      <c r="A80" s="236"/>
      <c r="B80" s="128" t="s">
        <v>309</v>
      </c>
      <c r="C80" s="128">
        <v>200</v>
      </c>
      <c r="D80" s="34"/>
      <c r="G80" s="51"/>
    </row>
    <row r="81" spans="1:7" x14ac:dyDescent="0.25">
      <c r="A81" s="236"/>
      <c r="B81" s="128" t="s">
        <v>184</v>
      </c>
      <c r="C81" s="128">
        <v>60</v>
      </c>
      <c r="D81" s="34"/>
      <c r="G81" s="51"/>
    </row>
    <row r="82" spans="1:7" x14ac:dyDescent="0.25">
      <c r="A82" s="236"/>
      <c r="B82" s="128" t="s">
        <v>278</v>
      </c>
      <c r="C82" s="128">
        <v>100</v>
      </c>
      <c r="D82" s="34"/>
      <c r="G82" s="51"/>
    </row>
    <row r="83" spans="1:7" x14ac:dyDescent="0.25">
      <c r="A83" s="236"/>
      <c r="B83" s="128" t="s">
        <v>461</v>
      </c>
      <c r="C83" s="128">
        <v>150</v>
      </c>
      <c r="D83" s="34"/>
      <c r="G83" s="51"/>
    </row>
    <row r="84" spans="1:7" x14ac:dyDescent="0.25">
      <c r="A84" s="236"/>
      <c r="B84" s="128" t="s">
        <v>367</v>
      </c>
      <c r="C84" s="128">
        <v>150</v>
      </c>
      <c r="D84" s="34"/>
      <c r="G84" s="51"/>
    </row>
    <row r="85" spans="1:7" x14ac:dyDescent="0.25">
      <c r="A85" s="236"/>
      <c r="B85" s="128" t="s">
        <v>368</v>
      </c>
      <c r="C85" s="128">
        <v>25</v>
      </c>
      <c r="D85" s="34"/>
      <c r="G85" s="51"/>
    </row>
    <row r="86" spans="1:7" x14ac:dyDescent="0.25">
      <c r="A86" s="236"/>
      <c r="B86" s="128" t="s">
        <v>368</v>
      </c>
      <c r="C86" s="128">
        <v>50</v>
      </c>
      <c r="D86" s="34"/>
      <c r="G86" s="51"/>
    </row>
    <row r="87" spans="1:7" x14ac:dyDescent="0.25">
      <c r="A87" s="237"/>
      <c r="B87" s="128" t="s">
        <v>184</v>
      </c>
      <c r="C87" s="128">
        <v>100</v>
      </c>
      <c r="D87" s="34"/>
      <c r="G87" s="51"/>
    </row>
    <row r="88" spans="1:7" x14ac:dyDescent="0.25">
      <c r="A88" s="235">
        <v>46215</v>
      </c>
      <c r="B88" s="49" t="s">
        <v>471</v>
      </c>
      <c r="C88" s="49">
        <v>15</v>
      </c>
      <c r="D88" s="34" t="s">
        <v>462</v>
      </c>
      <c r="G88" s="51"/>
    </row>
    <row r="89" spans="1:7" x14ac:dyDescent="0.25">
      <c r="A89" s="236"/>
      <c r="B89" s="128" t="s">
        <v>463</v>
      </c>
      <c r="C89" s="128">
        <v>60</v>
      </c>
      <c r="D89" s="34"/>
      <c r="G89" s="51"/>
    </row>
    <row r="90" spans="1:7" x14ac:dyDescent="0.25">
      <c r="A90" s="236"/>
      <c r="B90" s="128" t="s">
        <v>278</v>
      </c>
      <c r="C90" s="128">
        <v>100</v>
      </c>
      <c r="D90" s="34" t="s">
        <v>464</v>
      </c>
      <c r="G90" s="51"/>
    </row>
    <row r="91" spans="1:7" x14ac:dyDescent="0.25">
      <c r="A91" s="236"/>
      <c r="B91" s="128" t="s">
        <v>579</v>
      </c>
      <c r="C91" s="128">
        <v>25</v>
      </c>
      <c r="D91" s="34"/>
      <c r="G91" s="51"/>
    </row>
    <row r="92" spans="1:7" x14ac:dyDescent="0.25">
      <c r="A92" s="236"/>
      <c r="B92" s="128" t="s">
        <v>20</v>
      </c>
      <c r="C92" s="128">
        <v>50</v>
      </c>
      <c r="D92" s="34" t="s">
        <v>465</v>
      </c>
      <c r="G92" s="51"/>
    </row>
    <row r="93" spans="1:7" x14ac:dyDescent="0.25">
      <c r="A93" s="236"/>
      <c r="B93" s="128" t="s">
        <v>111</v>
      </c>
      <c r="C93" s="128">
        <v>10</v>
      </c>
      <c r="D93" s="34"/>
      <c r="G93" s="51"/>
    </row>
    <row r="94" spans="1:7" x14ac:dyDescent="0.25">
      <c r="A94" s="236"/>
      <c r="B94" s="128" t="s">
        <v>368</v>
      </c>
      <c r="C94" s="128">
        <v>200</v>
      </c>
      <c r="D94" s="34"/>
      <c r="G94" s="51"/>
    </row>
    <row r="95" spans="1:7" x14ac:dyDescent="0.25">
      <c r="A95" s="236"/>
      <c r="B95" s="154" t="s">
        <v>182</v>
      </c>
      <c r="C95" s="131">
        <v>500</v>
      </c>
      <c r="D95" s="131"/>
      <c r="G95" s="51"/>
    </row>
    <row r="96" spans="1:7" x14ac:dyDescent="0.25">
      <c r="A96" s="236"/>
      <c r="B96" s="156" t="s">
        <v>13</v>
      </c>
      <c r="C96" s="34">
        <v>15</v>
      </c>
      <c r="D96" s="34"/>
      <c r="G96" s="51"/>
    </row>
    <row r="97" spans="1:7" x14ac:dyDescent="0.25">
      <c r="A97" s="237"/>
      <c r="B97" s="128" t="s">
        <v>466</v>
      </c>
      <c r="C97" s="128">
        <v>80</v>
      </c>
      <c r="D97" s="34" t="s">
        <v>135</v>
      </c>
      <c r="G97" s="51"/>
    </row>
    <row r="98" spans="1:7" x14ac:dyDescent="0.25">
      <c r="A98" s="220">
        <v>46216</v>
      </c>
      <c r="B98" s="154" t="s">
        <v>182</v>
      </c>
      <c r="C98" s="131">
        <v>1428</v>
      </c>
      <c r="D98" s="131"/>
      <c r="G98" s="51"/>
    </row>
    <row r="99" spans="1:7" x14ac:dyDescent="0.25">
      <c r="A99" s="221"/>
      <c r="B99" s="128" t="s">
        <v>368</v>
      </c>
      <c r="C99" s="128">
        <v>300</v>
      </c>
      <c r="D99" s="34"/>
      <c r="G99" s="51"/>
    </row>
    <row r="100" spans="1:7" x14ac:dyDescent="0.25">
      <c r="A100" s="221"/>
      <c r="B100" s="128" t="s">
        <v>475</v>
      </c>
      <c r="C100" s="128">
        <v>200</v>
      </c>
      <c r="D100" s="34"/>
      <c r="G100" s="51"/>
    </row>
    <row r="101" spans="1:7" x14ac:dyDescent="0.25">
      <c r="A101" s="221"/>
      <c r="B101" s="128" t="s">
        <v>111</v>
      </c>
      <c r="C101" s="128">
        <v>500</v>
      </c>
      <c r="D101" s="34"/>
      <c r="G101" s="51"/>
    </row>
    <row r="102" spans="1:7" x14ac:dyDescent="0.25">
      <c r="A102" s="221"/>
      <c r="B102" s="128" t="s">
        <v>278</v>
      </c>
      <c r="C102" s="128">
        <v>1000</v>
      </c>
      <c r="D102" s="34"/>
      <c r="G102" s="51"/>
    </row>
    <row r="103" spans="1:7" x14ac:dyDescent="0.25">
      <c r="A103" s="221"/>
      <c r="B103" s="156" t="s">
        <v>490</v>
      </c>
      <c r="C103" s="34">
        <v>85</v>
      </c>
      <c r="D103" s="34"/>
      <c r="G103" s="51"/>
    </row>
    <row r="104" spans="1:7" x14ac:dyDescent="0.25">
      <c r="A104" s="221"/>
      <c r="B104" s="7" t="s">
        <v>153</v>
      </c>
      <c r="C104" s="63">
        <v>10</v>
      </c>
      <c r="D104" s="4"/>
      <c r="G104" s="51"/>
    </row>
    <row r="105" spans="1:7" x14ac:dyDescent="0.25">
      <c r="A105" s="221"/>
      <c r="B105" s="128" t="s">
        <v>184</v>
      </c>
      <c r="C105" s="177">
        <v>75</v>
      </c>
      <c r="D105" s="4"/>
      <c r="G105" s="51"/>
    </row>
    <row r="106" spans="1:7" x14ac:dyDescent="0.25">
      <c r="A106" s="221"/>
      <c r="B106" s="128" t="s">
        <v>579</v>
      </c>
      <c r="C106" s="177">
        <v>75</v>
      </c>
      <c r="D106" s="4"/>
      <c r="G106" s="51"/>
    </row>
    <row r="107" spans="1:7" x14ac:dyDescent="0.25">
      <c r="A107" s="221"/>
      <c r="B107" s="128" t="s">
        <v>491</v>
      </c>
      <c r="C107" s="177">
        <v>80</v>
      </c>
      <c r="D107" s="7" t="s">
        <v>135</v>
      </c>
      <c r="G107" s="51"/>
    </row>
    <row r="108" spans="1:7" x14ac:dyDescent="0.25">
      <c r="A108" s="221"/>
      <c r="B108" s="157" t="s">
        <v>478</v>
      </c>
      <c r="C108" s="63">
        <v>15</v>
      </c>
      <c r="D108" s="4"/>
      <c r="G108" s="51"/>
    </row>
    <row r="109" spans="1:7" x14ac:dyDescent="0.25">
      <c r="A109" s="221"/>
      <c r="B109" s="128" t="s">
        <v>492</v>
      </c>
      <c r="C109" s="177">
        <v>60</v>
      </c>
      <c r="D109" s="4"/>
      <c r="G109" s="51"/>
    </row>
    <row r="110" spans="1:7" x14ac:dyDescent="0.25">
      <c r="A110" s="221"/>
      <c r="B110" s="128" t="s">
        <v>493</v>
      </c>
      <c r="C110" s="177">
        <v>60</v>
      </c>
      <c r="D110" s="4"/>
      <c r="G110" s="51"/>
    </row>
    <row r="111" spans="1:7" x14ac:dyDescent="0.25">
      <c r="A111" s="221"/>
      <c r="B111" s="7" t="s">
        <v>328</v>
      </c>
      <c r="C111" s="63">
        <v>650</v>
      </c>
      <c r="D111" s="4"/>
      <c r="G111" s="51"/>
    </row>
    <row r="112" spans="1:7" x14ac:dyDescent="0.25">
      <c r="A112" s="221"/>
      <c r="B112" s="128" t="s">
        <v>278</v>
      </c>
      <c r="C112" s="177">
        <v>100</v>
      </c>
      <c r="D112" s="4"/>
      <c r="G112" s="51"/>
    </row>
    <row r="113" spans="1:7" x14ac:dyDescent="0.25">
      <c r="A113" s="222"/>
      <c r="B113" s="7" t="s">
        <v>153</v>
      </c>
      <c r="C113" s="63">
        <v>50</v>
      </c>
      <c r="D113" s="4"/>
      <c r="G113" s="51"/>
    </row>
    <row r="114" spans="1:7" x14ac:dyDescent="0.25">
      <c r="A114" s="220">
        <v>46217</v>
      </c>
      <c r="B114" s="128" t="s">
        <v>494</v>
      </c>
      <c r="C114" s="177">
        <v>360</v>
      </c>
      <c r="D114" s="4"/>
      <c r="G114" s="51"/>
    </row>
    <row r="115" spans="1:7" x14ac:dyDescent="0.25">
      <c r="A115" s="221"/>
      <c r="B115" s="118" t="s">
        <v>20</v>
      </c>
      <c r="C115" s="177">
        <v>50</v>
      </c>
      <c r="D115" s="26" t="s">
        <v>514</v>
      </c>
      <c r="G115" s="51"/>
    </row>
    <row r="116" spans="1:7" x14ac:dyDescent="0.25">
      <c r="A116" s="221"/>
      <c r="B116" s="118" t="s">
        <v>278</v>
      </c>
      <c r="C116" s="177">
        <v>100</v>
      </c>
      <c r="D116" s="26" t="s">
        <v>515</v>
      </c>
      <c r="G116" s="51"/>
    </row>
    <row r="117" spans="1:7" x14ac:dyDescent="0.25">
      <c r="A117" s="221"/>
      <c r="B117" s="118" t="s">
        <v>111</v>
      </c>
      <c r="C117" s="128">
        <v>36</v>
      </c>
      <c r="D117" s="26"/>
      <c r="G117" s="51"/>
    </row>
    <row r="118" spans="1:7" x14ac:dyDescent="0.25">
      <c r="A118" s="221"/>
      <c r="B118" s="118" t="s">
        <v>517</v>
      </c>
      <c r="C118" s="128">
        <v>100</v>
      </c>
      <c r="D118" s="26"/>
      <c r="G118" s="51"/>
    </row>
    <row r="119" spans="1:7" x14ac:dyDescent="0.25">
      <c r="A119" s="221"/>
      <c r="B119" s="118" t="s">
        <v>278</v>
      </c>
      <c r="C119" s="128">
        <v>500</v>
      </c>
      <c r="D119" s="26"/>
      <c r="G119" s="51"/>
    </row>
    <row r="120" spans="1:7" x14ac:dyDescent="0.25">
      <c r="A120" s="221"/>
      <c r="B120" s="23" t="s">
        <v>516</v>
      </c>
      <c r="C120" s="23">
        <v>10</v>
      </c>
      <c r="D120" s="26"/>
      <c r="G120" s="51"/>
    </row>
    <row r="121" spans="1:7" x14ac:dyDescent="0.25">
      <c r="A121" s="221"/>
      <c r="B121" s="118" t="s">
        <v>278</v>
      </c>
      <c r="C121" s="128">
        <v>10</v>
      </c>
      <c r="D121" s="26"/>
      <c r="G121" s="51"/>
    </row>
    <row r="122" spans="1:7" x14ac:dyDescent="0.25">
      <c r="A122" s="221"/>
      <c r="B122" s="118" t="s">
        <v>479</v>
      </c>
      <c r="C122" s="128">
        <v>10</v>
      </c>
      <c r="D122" s="26"/>
      <c r="G122" s="51"/>
    </row>
    <row r="123" spans="1:7" x14ac:dyDescent="0.25">
      <c r="A123" s="221"/>
      <c r="B123" s="118" t="s">
        <v>184</v>
      </c>
      <c r="C123" s="128">
        <v>10</v>
      </c>
      <c r="D123" s="26"/>
      <c r="G123" s="51"/>
    </row>
    <row r="124" spans="1:7" x14ac:dyDescent="0.25">
      <c r="A124" s="222"/>
      <c r="B124" s="118" t="s">
        <v>501</v>
      </c>
      <c r="C124" s="128">
        <v>50</v>
      </c>
      <c r="D124" s="26"/>
      <c r="G124" s="51"/>
    </row>
    <row r="125" spans="1:7" x14ac:dyDescent="0.25">
      <c r="A125" s="220">
        <v>46218</v>
      </c>
      <c r="B125" s="158" t="s">
        <v>502</v>
      </c>
      <c r="C125" s="23">
        <v>504</v>
      </c>
      <c r="D125" s="26"/>
      <c r="G125" s="51"/>
    </row>
    <row r="126" spans="1:7" x14ac:dyDescent="0.25">
      <c r="A126" s="221"/>
      <c r="B126" s="118" t="s">
        <v>475</v>
      </c>
      <c r="C126" s="128">
        <v>30</v>
      </c>
      <c r="D126" s="4"/>
      <c r="G126" s="51"/>
    </row>
    <row r="127" spans="1:7" x14ac:dyDescent="0.25">
      <c r="A127" s="221"/>
      <c r="B127" s="118" t="s">
        <v>537</v>
      </c>
      <c r="C127" s="128">
        <v>130</v>
      </c>
      <c r="D127" s="4"/>
      <c r="G127" s="51"/>
    </row>
    <row r="128" spans="1:7" x14ac:dyDescent="0.25">
      <c r="A128" s="221"/>
      <c r="B128" s="4" t="s">
        <v>307</v>
      </c>
      <c r="C128" s="7">
        <v>3020</v>
      </c>
      <c r="D128" s="4"/>
      <c r="G128" s="51"/>
    </row>
    <row r="129" spans="1:7" x14ac:dyDescent="0.25">
      <c r="A129" s="221"/>
      <c r="B129" s="118" t="s">
        <v>579</v>
      </c>
      <c r="C129" s="128">
        <v>52</v>
      </c>
      <c r="D129" s="4"/>
      <c r="G129" s="51"/>
    </row>
    <row r="130" spans="1:7" x14ac:dyDescent="0.25">
      <c r="A130" s="221"/>
      <c r="B130" s="118" t="s">
        <v>520</v>
      </c>
      <c r="C130" s="128">
        <v>67.5</v>
      </c>
      <c r="D130" s="4"/>
      <c r="G130" s="51"/>
    </row>
    <row r="131" spans="1:7" x14ac:dyDescent="0.25">
      <c r="A131" s="221"/>
      <c r="B131" s="118" t="s">
        <v>521</v>
      </c>
      <c r="C131" s="128">
        <v>67.5</v>
      </c>
      <c r="D131" s="4"/>
      <c r="G131" s="51"/>
    </row>
    <row r="132" spans="1:7" x14ac:dyDescent="0.25">
      <c r="A132" s="221"/>
      <c r="B132" s="118" t="s">
        <v>184</v>
      </c>
      <c r="C132" s="128">
        <v>120</v>
      </c>
      <c r="D132" s="4"/>
      <c r="G132" s="51"/>
    </row>
    <row r="133" spans="1:7" x14ac:dyDescent="0.25">
      <c r="A133" s="221"/>
      <c r="B133" s="117" t="s">
        <v>522</v>
      </c>
      <c r="C133" s="120">
        <v>30</v>
      </c>
      <c r="D133" s="4"/>
      <c r="G133" s="51"/>
    </row>
    <row r="134" spans="1:7" x14ac:dyDescent="0.25">
      <c r="A134" s="221"/>
      <c r="B134" s="118" t="s">
        <v>20</v>
      </c>
      <c r="C134" s="128">
        <v>500</v>
      </c>
      <c r="D134" s="4"/>
      <c r="G134" s="51"/>
    </row>
    <row r="135" spans="1:7" x14ac:dyDescent="0.25">
      <c r="A135" s="221"/>
      <c r="B135" s="118" t="s">
        <v>479</v>
      </c>
      <c r="C135" s="128">
        <v>100</v>
      </c>
      <c r="D135" s="4"/>
      <c r="G135" s="51"/>
    </row>
    <row r="136" spans="1:7" x14ac:dyDescent="0.25">
      <c r="A136" s="221"/>
      <c r="B136" s="118" t="s">
        <v>368</v>
      </c>
      <c r="C136" s="128">
        <v>100</v>
      </c>
      <c r="D136" s="4"/>
      <c r="G136" s="51"/>
    </row>
    <row r="137" spans="1:7" x14ac:dyDescent="0.25">
      <c r="A137" s="221"/>
      <c r="B137" s="118" t="s">
        <v>579</v>
      </c>
      <c r="C137" s="128">
        <v>30</v>
      </c>
      <c r="D137" s="4"/>
      <c r="G137" s="51"/>
    </row>
    <row r="138" spans="1:7" x14ac:dyDescent="0.25">
      <c r="A138" s="221"/>
      <c r="B138" s="118" t="s">
        <v>168</v>
      </c>
      <c r="C138" s="128">
        <v>100</v>
      </c>
      <c r="D138" s="4"/>
      <c r="G138" s="51"/>
    </row>
    <row r="139" spans="1:7" x14ac:dyDescent="0.25">
      <c r="A139" s="221"/>
      <c r="B139" s="118" t="s">
        <v>466</v>
      </c>
      <c r="C139" s="128">
        <v>200</v>
      </c>
      <c r="D139" s="4"/>
      <c r="G139" s="51"/>
    </row>
    <row r="140" spans="1:7" x14ac:dyDescent="0.25">
      <c r="A140" s="221"/>
      <c r="B140" s="118" t="s">
        <v>150</v>
      </c>
      <c r="C140" s="128">
        <v>1000</v>
      </c>
      <c r="D140" s="4"/>
      <c r="G140" s="51"/>
    </row>
    <row r="141" spans="1:7" x14ac:dyDescent="0.25">
      <c r="A141" s="221"/>
      <c r="B141" s="118" t="s">
        <v>538</v>
      </c>
      <c r="C141" s="128">
        <v>60</v>
      </c>
      <c r="D141" s="4"/>
      <c r="G141" s="51"/>
    </row>
    <row r="142" spans="1:7" x14ac:dyDescent="0.25">
      <c r="A142" s="222"/>
      <c r="B142" s="118" t="s">
        <v>20</v>
      </c>
      <c r="C142" s="128">
        <v>50</v>
      </c>
      <c r="D142" s="117"/>
      <c r="G142" s="51"/>
    </row>
    <row r="143" spans="1:7" x14ac:dyDescent="0.25">
      <c r="A143" s="220">
        <v>46219</v>
      </c>
      <c r="B143" s="118" t="s">
        <v>278</v>
      </c>
      <c r="C143" s="128">
        <v>100</v>
      </c>
      <c r="D143" s="4"/>
      <c r="G143" s="51"/>
    </row>
    <row r="144" spans="1:7" x14ac:dyDescent="0.25">
      <c r="A144" s="221"/>
      <c r="B144" s="118" t="s">
        <v>579</v>
      </c>
      <c r="C144" s="128">
        <v>1000</v>
      </c>
      <c r="D144" s="4"/>
      <c r="G144" s="51"/>
    </row>
    <row r="145" spans="1:7" x14ac:dyDescent="0.25">
      <c r="A145" s="221"/>
      <c r="B145" s="118" t="s">
        <v>368</v>
      </c>
      <c r="C145" s="128">
        <v>200</v>
      </c>
      <c r="D145" s="4"/>
      <c r="G145" s="51"/>
    </row>
    <row r="146" spans="1:7" x14ac:dyDescent="0.25">
      <c r="A146" s="221"/>
      <c r="B146" s="118" t="s">
        <v>143</v>
      </c>
      <c r="C146" s="128">
        <v>500</v>
      </c>
      <c r="D146" s="4"/>
      <c r="G146" s="51"/>
    </row>
    <row r="147" spans="1:7" x14ac:dyDescent="0.25">
      <c r="A147" s="221"/>
      <c r="B147" s="159" t="s">
        <v>478</v>
      </c>
      <c r="C147" s="7">
        <v>15</v>
      </c>
      <c r="D147" s="4"/>
      <c r="G147" s="51"/>
    </row>
    <row r="148" spans="1:7" x14ac:dyDescent="0.25">
      <c r="A148" s="221"/>
      <c r="B148" s="118" t="s">
        <v>20</v>
      </c>
      <c r="C148" s="128">
        <v>1000</v>
      </c>
      <c r="D148" s="4"/>
      <c r="G148" s="51"/>
    </row>
    <row r="149" spans="1:7" x14ac:dyDescent="0.25">
      <c r="A149" s="221"/>
      <c r="B149" s="159" t="s">
        <v>13</v>
      </c>
      <c r="C149" s="7">
        <v>261</v>
      </c>
      <c r="D149" s="4"/>
      <c r="G149" s="51"/>
    </row>
    <row r="150" spans="1:7" x14ac:dyDescent="0.25">
      <c r="A150" s="221"/>
      <c r="B150" s="118" t="s">
        <v>368</v>
      </c>
      <c r="C150" s="128">
        <v>100</v>
      </c>
      <c r="D150" s="4"/>
      <c r="G150" s="51"/>
    </row>
    <row r="151" spans="1:7" x14ac:dyDescent="0.25">
      <c r="A151" s="221"/>
      <c r="B151" s="118" t="s">
        <v>168</v>
      </c>
      <c r="C151" s="128">
        <v>122</v>
      </c>
      <c r="D151" s="4"/>
      <c r="G151" s="51"/>
    </row>
    <row r="152" spans="1:7" x14ac:dyDescent="0.25">
      <c r="A152" s="221"/>
      <c r="B152" s="118" t="s">
        <v>184</v>
      </c>
      <c r="C152" s="128">
        <v>82</v>
      </c>
      <c r="D152" s="4"/>
      <c r="G152" s="51"/>
    </row>
    <row r="153" spans="1:7" x14ac:dyDescent="0.25">
      <c r="A153" s="221"/>
      <c r="B153" s="118" t="s">
        <v>278</v>
      </c>
      <c r="C153" s="128">
        <v>100</v>
      </c>
      <c r="D153" s="4"/>
      <c r="G153" s="51"/>
    </row>
    <row r="154" spans="1:7" x14ac:dyDescent="0.25">
      <c r="A154" s="221"/>
      <c r="B154" s="4" t="s">
        <v>153</v>
      </c>
      <c r="C154" s="7">
        <v>50</v>
      </c>
      <c r="D154" s="4"/>
      <c r="G154" s="51"/>
    </row>
    <row r="155" spans="1:7" x14ac:dyDescent="0.25">
      <c r="A155" s="222"/>
      <c r="B155" s="118" t="s">
        <v>333</v>
      </c>
      <c r="C155" s="128">
        <v>450</v>
      </c>
      <c r="D155" s="63" t="s">
        <v>196</v>
      </c>
      <c r="G155" s="51"/>
    </row>
    <row r="156" spans="1:7" x14ac:dyDescent="0.25">
      <c r="A156" s="241">
        <v>46221</v>
      </c>
      <c r="B156" s="4"/>
      <c r="C156" s="7"/>
      <c r="D156" s="4"/>
    </row>
    <row r="157" spans="1:7" x14ac:dyDescent="0.25">
      <c r="A157" s="242"/>
      <c r="B157" s="160" t="s">
        <v>167</v>
      </c>
      <c r="C157" s="139">
        <v>3000</v>
      </c>
      <c r="D157" s="4"/>
    </row>
    <row r="158" spans="1:7" x14ac:dyDescent="0.25">
      <c r="A158" s="242"/>
      <c r="B158" s="128" t="s">
        <v>537</v>
      </c>
      <c r="C158" s="128">
        <v>400</v>
      </c>
      <c r="D158" s="4"/>
    </row>
    <row r="159" spans="1:7" x14ac:dyDescent="0.25">
      <c r="A159" s="242"/>
      <c r="B159" s="160" t="s">
        <v>182</v>
      </c>
      <c r="C159" s="139">
        <v>1000</v>
      </c>
      <c r="D159" s="4"/>
    </row>
    <row r="160" spans="1:7" x14ac:dyDescent="0.25">
      <c r="A160" s="242"/>
      <c r="B160" s="128" t="s">
        <v>368</v>
      </c>
      <c r="C160" s="128">
        <v>150</v>
      </c>
      <c r="D160" s="4"/>
    </row>
    <row r="161" spans="1:4" x14ac:dyDescent="0.25">
      <c r="A161" s="242"/>
      <c r="B161" s="128" t="s">
        <v>150</v>
      </c>
      <c r="C161" s="128">
        <v>500</v>
      </c>
      <c r="D161" s="4"/>
    </row>
    <row r="162" spans="1:4" x14ac:dyDescent="0.25">
      <c r="A162" s="242"/>
      <c r="B162" s="128" t="s">
        <v>184</v>
      </c>
      <c r="C162" s="128">
        <v>10</v>
      </c>
      <c r="D162" s="4"/>
    </row>
    <row r="163" spans="1:4" x14ac:dyDescent="0.25">
      <c r="A163" s="242"/>
      <c r="B163" s="139"/>
      <c r="C163" s="139"/>
      <c r="D163" s="4"/>
    </row>
    <row r="164" spans="1:4" x14ac:dyDescent="0.25">
      <c r="A164" s="242"/>
      <c r="B164" s="139" t="s">
        <v>328</v>
      </c>
      <c r="C164" s="139">
        <v>10</v>
      </c>
      <c r="D164" s="4"/>
    </row>
    <row r="165" spans="1:4" x14ac:dyDescent="0.25">
      <c r="A165" s="242"/>
      <c r="B165" s="128" t="s">
        <v>184</v>
      </c>
      <c r="C165" s="128">
        <v>60</v>
      </c>
      <c r="D165" s="4"/>
    </row>
    <row r="166" spans="1:4" x14ac:dyDescent="0.25">
      <c r="A166" s="242"/>
      <c r="B166" s="128" t="s">
        <v>168</v>
      </c>
      <c r="C166" s="128">
        <v>60</v>
      </c>
      <c r="D166" s="4"/>
    </row>
    <row r="167" spans="1:4" x14ac:dyDescent="0.25">
      <c r="A167" s="242"/>
      <c r="B167" s="128" t="s">
        <v>309</v>
      </c>
      <c r="C167" s="128">
        <v>60</v>
      </c>
      <c r="D167" s="4"/>
    </row>
    <row r="168" spans="1:4" x14ac:dyDescent="0.25">
      <c r="A168" s="242"/>
      <c r="B168" s="128" t="s">
        <v>368</v>
      </c>
      <c r="C168" s="128">
        <v>60</v>
      </c>
      <c r="D168" s="4"/>
    </row>
    <row r="169" spans="1:4" x14ac:dyDescent="0.25">
      <c r="A169" s="243"/>
      <c r="B169" s="128" t="s">
        <v>278</v>
      </c>
      <c r="C169" s="128">
        <v>100</v>
      </c>
      <c r="D169" s="4"/>
    </row>
    <row r="170" spans="1:4" x14ac:dyDescent="0.25">
      <c r="A170" s="220">
        <v>46220</v>
      </c>
      <c r="B170" s="128" t="s">
        <v>556</v>
      </c>
      <c r="C170" s="128">
        <v>50</v>
      </c>
      <c r="D170" s="4"/>
    </row>
    <row r="171" spans="1:4" x14ac:dyDescent="0.25">
      <c r="A171" s="221"/>
      <c r="B171" s="160" t="s">
        <v>502</v>
      </c>
      <c r="C171" s="139">
        <v>392</v>
      </c>
      <c r="D171" s="4"/>
    </row>
    <row r="172" spans="1:4" x14ac:dyDescent="0.25">
      <c r="A172" s="221"/>
      <c r="B172" s="139" t="s">
        <v>328</v>
      </c>
      <c r="C172" s="139">
        <v>80</v>
      </c>
      <c r="D172" s="4"/>
    </row>
    <row r="173" spans="1:4" x14ac:dyDescent="0.25">
      <c r="A173" s="221"/>
      <c r="B173" s="160" t="s">
        <v>546</v>
      </c>
      <c r="C173" s="139">
        <v>1000</v>
      </c>
      <c r="D173" s="4"/>
    </row>
    <row r="174" spans="1:4" x14ac:dyDescent="0.25">
      <c r="A174" s="221"/>
      <c r="B174" s="128" t="s">
        <v>111</v>
      </c>
      <c r="C174" s="128">
        <v>500</v>
      </c>
      <c r="D174" s="4"/>
    </row>
    <row r="175" spans="1:4" x14ac:dyDescent="0.25">
      <c r="A175" s="221"/>
      <c r="B175" s="139" t="s">
        <v>547</v>
      </c>
      <c r="C175" s="139">
        <v>200</v>
      </c>
      <c r="D175" s="4"/>
    </row>
    <row r="176" spans="1:4" x14ac:dyDescent="0.25">
      <c r="A176" s="221"/>
      <c r="B176" s="139"/>
      <c r="C176" s="139"/>
      <c r="D176" s="4"/>
    </row>
    <row r="177" spans="1:10" x14ac:dyDescent="0.25">
      <c r="A177" s="221"/>
      <c r="B177" s="128" t="s">
        <v>143</v>
      </c>
      <c r="C177" s="128">
        <v>10</v>
      </c>
      <c r="D177" s="4"/>
    </row>
    <row r="178" spans="1:10" x14ac:dyDescent="0.25">
      <c r="A178" s="221"/>
      <c r="B178" s="128" t="s">
        <v>168</v>
      </c>
      <c r="C178" s="128">
        <v>20</v>
      </c>
      <c r="D178" s="4"/>
    </row>
    <row r="179" spans="1:10" x14ac:dyDescent="0.25">
      <c r="A179" s="221"/>
      <c r="B179" s="128" t="s">
        <v>309</v>
      </c>
      <c r="C179" s="128">
        <v>10</v>
      </c>
      <c r="D179" s="4"/>
    </row>
    <row r="180" spans="1:10" x14ac:dyDescent="0.25">
      <c r="A180" s="221"/>
      <c r="B180" s="128" t="s">
        <v>548</v>
      </c>
      <c r="C180" s="128">
        <v>50</v>
      </c>
      <c r="D180" s="4"/>
    </row>
    <row r="181" spans="1:10" x14ac:dyDescent="0.25">
      <c r="A181" s="221"/>
      <c r="B181" s="128" t="s">
        <v>168</v>
      </c>
      <c r="C181" s="128">
        <v>500</v>
      </c>
      <c r="D181" s="4"/>
    </row>
    <row r="182" spans="1:10" x14ac:dyDescent="0.25">
      <c r="A182" s="222"/>
      <c r="B182" s="128" t="s">
        <v>278</v>
      </c>
      <c r="C182" s="128">
        <v>100</v>
      </c>
      <c r="D182" s="4"/>
    </row>
    <row r="183" spans="1:10" x14ac:dyDescent="0.25">
      <c r="A183" s="191">
        <v>46222</v>
      </c>
      <c r="B183" s="139" t="s">
        <v>549</v>
      </c>
      <c r="C183" s="139">
        <v>50</v>
      </c>
      <c r="D183" s="4"/>
    </row>
    <row r="184" spans="1:10" x14ac:dyDescent="0.25">
      <c r="A184" s="191"/>
      <c r="B184" s="128" t="s">
        <v>576</v>
      </c>
      <c r="C184" s="178">
        <v>80</v>
      </c>
      <c r="D184" s="4"/>
    </row>
    <row r="185" spans="1:10" x14ac:dyDescent="0.25">
      <c r="A185" s="191"/>
      <c r="B185" s="160" t="s">
        <v>478</v>
      </c>
      <c r="C185" s="147">
        <v>30</v>
      </c>
      <c r="D185" s="4"/>
      <c r="J185" s="14"/>
    </row>
    <row r="186" spans="1:10" x14ac:dyDescent="0.25">
      <c r="A186" s="191"/>
      <c r="B186" s="160" t="s">
        <v>502</v>
      </c>
      <c r="C186" s="147">
        <v>496</v>
      </c>
      <c r="D186" s="4"/>
    </row>
    <row r="187" spans="1:10" x14ac:dyDescent="0.25">
      <c r="A187" s="191"/>
      <c r="B187" s="128" t="s">
        <v>368</v>
      </c>
      <c r="C187" s="178">
        <v>30</v>
      </c>
      <c r="D187" s="4"/>
    </row>
    <row r="188" spans="1:10" x14ac:dyDescent="0.25">
      <c r="A188" s="191"/>
      <c r="B188" s="128" t="s">
        <v>278</v>
      </c>
      <c r="C188" s="178">
        <v>100</v>
      </c>
      <c r="D188" s="4"/>
    </row>
    <row r="189" spans="1:10" x14ac:dyDescent="0.25">
      <c r="A189" s="191"/>
      <c r="B189" s="139" t="s">
        <v>578</v>
      </c>
      <c r="C189" s="147">
        <v>50</v>
      </c>
      <c r="D189" s="4"/>
    </row>
    <row r="190" spans="1:10" x14ac:dyDescent="0.25">
      <c r="A190" s="191"/>
      <c r="B190" s="128" t="s">
        <v>548</v>
      </c>
      <c r="C190" s="178">
        <v>50</v>
      </c>
      <c r="D190" s="4"/>
    </row>
    <row r="191" spans="1:10" x14ac:dyDescent="0.25">
      <c r="A191" s="191"/>
      <c r="B191" s="128" t="s">
        <v>479</v>
      </c>
      <c r="C191" s="178">
        <v>25</v>
      </c>
      <c r="D191" s="4"/>
    </row>
    <row r="192" spans="1:10" x14ac:dyDescent="0.25">
      <c r="A192" s="191"/>
      <c r="B192" s="128" t="s">
        <v>111</v>
      </c>
      <c r="C192" s="178">
        <v>10</v>
      </c>
      <c r="D192" s="4"/>
    </row>
    <row r="193" spans="1:4" x14ac:dyDescent="0.25">
      <c r="A193" s="191"/>
      <c r="B193" s="160" t="s">
        <v>477</v>
      </c>
      <c r="C193" s="147">
        <v>75</v>
      </c>
      <c r="D193" s="4"/>
    </row>
    <row r="194" spans="1:4" x14ac:dyDescent="0.25">
      <c r="A194" s="191"/>
      <c r="B194" s="128" t="s">
        <v>579</v>
      </c>
      <c r="C194" s="178">
        <v>30</v>
      </c>
      <c r="D194" s="4"/>
    </row>
    <row r="195" spans="1:4" x14ac:dyDescent="0.25">
      <c r="A195" s="191"/>
      <c r="B195" s="128" t="s">
        <v>475</v>
      </c>
      <c r="C195" s="178">
        <v>90</v>
      </c>
      <c r="D195" s="7"/>
    </row>
    <row r="196" spans="1:4" x14ac:dyDescent="0.25">
      <c r="A196" s="191"/>
      <c r="B196" s="128" t="s">
        <v>480</v>
      </c>
      <c r="C196" s="178">
        <v>200</v>
      </c>
      <c r="D196" s="7"/>
    </row>
    <row r="197" spans="1:4" x14ac:dyDescent="0.25">
      <c r="A197" s="191"/>
      <c r="B197" s="128" t="s">
        <v>168</v>
      </c>
      <c r="C197" s="178">
        <v>20</v>
      </c>
      <c r="D197" s="7"/>
    </row>
    <row r="198" spans="1:4" x14ac:dyDescent="0.25">
      <c r="A198" s="191"/>
      <c r="B198" s="128" t="s">
        <v>479</v>
      </c>
      <c r="C198" s="128">
        <v>10</v>
      </c>
      <c r="D198" s="7"/>
    </row>
    <row r="199" spans="1:4" x14ac:dyDescent="0.25">
      <c r="A199" s="234">
        <v>46223</v>
      </c>
      <c r="B199" s="160" t="s">
        <v>478</v>
      </c>
      <c r="C199" s="139">
        <v>10</v>
      </c>
      <c r="D199" s="7"/>
    </row>
    <row r="200" spans="1:4" x14ac:dyDescent="0.25">
      <c r="A200" s="234"/>
      <c r="B200" s="128" t="s">
        <v>168</v>
      </c>
      <c r="C200" s="128">
        <v>410</v>
      </c>
      <c r="D200" s="4"/>
    </row>
    <row r="201" spans="1:4" x14ac:dyDescent="0.25">
      <c r="A201" s="234"/>
      <c r="B201" s="128" t="s">
        <v>475</v>
      </c>
      <c r="C201" s="128">
        <v>10</v>
      </c>
      <c r="D201" s="4"/>
    </row>
    <row r="202" spans="1:4" x14ac:dyDescent="0.25">
      <c r="A202" s="234"/>
      <c r="B202" s="128" t="s">
        <v>579</v>
      </c>
      <c r="C202" s="128">
        <v>700</v>
      </c>
      <c r="D202" s="4"/>
    </row>
    <row r="203" spans="1:4" x14ac:dyDescent="0.25">
      <c r="A203" s="234"/>
      <c r="B203" s="128" t="s">
        <v>181</v>
      </c>
      <c r="C203" s="128">
        <v>500</v>
      </c>
      <c r="D203" s="4"/>
    </row>
    <row r="204" spans="1:4" x14ac:dyDescent="0.25">
      <c r="A204" s="234"/>
      <c r="B204" s="160" t="s">
        <v>478</v>
      </c>
      <c r="C204" s="120">
        <v>100</v>
      </c>
      <c r="D204" s="4"/>
    </row>
    <row r="205" spans="1:4" x14ac:dyDescent="0.25">
      <c r="A205" s="234"/>
      <c r="B205" s="128" t="s">
        <v>144</v>
      </c>
      <c r="C205" s="128">
        <v>500</v>
      </c>
      <c r="D205" s="4"/>
    </row>
    <row r="206" spans="1:4" x14ac:dyDescent="0.25">
      <c r="A206" s="234"/>
      <c r="B206" s="160" t="s">
        <v>502</v>
      </c>
      <c r="C206" s="120">
        <v>100</v>
      </c>
      <c r="D206" s="4"/>
    </row>
    <row r="207" spans="1:4" x14ac:dyDescent="0.25">
      <c r="A207" s="234"/>
      <c r="B207" s="128" t="s">
        <v>184</v>
      </c>
      <c r="C207" s="128">
        <v>50</v>
      </c>
      <c r="D207" s="4"/>
    </row>
    <row r="208" spans="1:4" x14ac:dyDescent="0.25">
      <c r="A208" s="234"/>
      <c r="B208" s="128" t="s">
        <v>269</v>
      </c>
      <c r="C208" s="128">
        <v>100</v>
      </c>
      <c r="D208" s="4"/>
    </row>
    <row r="209" spans="1:4" x14ac:dyDescent="0.25">
      <c r="A209" s="234"/>
      <c r="B209" s="174" t="s">
        <v>596</v>
      </c>
      <c r="C209" s="174">
        <v>50</v>
      </c>
      <c r="D209" s="4"/>
    </row>
    <row r="210" spans="1:4" x14ac:dyDescent="0.25">
      <c r="A210" s="234"/>
      <c r="B210" s="128" t="s">
        <v>184</v>
      </c>
      <c r="C210" s="128">
        <v>30</v>
      </c>
      <c r="D210" s="4"/>
    </row>
    <row r="211" spans="1:4" x14ac:dyDescent="0.25">
      <c r="A211" s="234"/>
      <c r="B211" s="160" t="s">
        <v>268</v>
      </c>
      <c r="C211" s="120">
        <v>15</v>
      </c>
      <c r="D211" s="4"/>
    </row>
    <row r="212" spans="1:4" x14ac:dyDescent="0.25">
      <c r="A212" s="234"/>
      <c r="B212" s="128" t="s">
        <v>150</v>
      </c>
      <c r="C212" s="128">
        <v>200</v>
      </c>
      <c r="D212" s="4"/>
    </row>
    <row r="213" spans="1:4" x14ac:dyDescent="0.25">
      <c r="A213" s="234"/>
      <c r="B213" s="128" t="s">
        <v>144</v>
      </c>
      <c r="C213" s="128">
        <v>10</v>
      </c>
      <c r="D213" s="4"/>
    </row>
    <row r="214" spans="1:4" x14ac:dyDescent="0.25">
      <c r="A214" s="234">
        <v>46224</v>
      </c>
      <c r="B214" s="128" t="s">
        <v>22</v>
      </c>
      <c r="C214" s="128">
        <v>10</v>
      </c>
      <c r="D214" s="4"/>
    </row>
    <row r="215" spans="1:4" x14ac:dyDescent="0.25">
      <c r="A215" s="234"/>
      <c r="B215" s="128" t="s">
        <v>639</v>
      </c>
      <c r="C215" s="128">
        <v>1500</v>
      </c>
      <c r="D215" s="4"/>
    </row>
    <row r="216" spans="1:4" x14ac:dyDescent="0.25">
      <c r="A216" s="234"/>
      <c r="B216" s="128" t="s">
        <v>640</v>
      </c>
      <c r="C216" s="128">
        <v>200</v>
      </c>
      <c r="D216" s="4"/>
    </row>
    <row r="217" spans="1:4" x14ac:dyDescent="0.25">
      <c r="A217" s="234"/>
      <c r="B217" s="128" t="s">
        <v>641</v>
      </c>
      <c r="C217" s="128">
        <v>100</v>
      </c>
      <c r="D217" s="4"/>
    </row>
    <row r="218" spans="1:4" x14ac:dyDescent="0.25">
      <c r="A218" s="234"/>
      <c r="B218" s="128" t="s">
        <v>548</v>
      </c>
      <c r="C218" s="128">
        <v>100</v>
      </c>
      <c r="D218" s="4"/>
    </row>
    <row r="219" spans="1:4" x14ac:dyDescent="0.25">
      <c r="A219" s="234">
        <v>46225</v>
      </c>
      <c r="B219" s="49" t="s">
        <v>643</v>
      </c>
      <c r="C219" s="49">
        <v>470</v>
      </c>
      <c r="D219" s="4"/>
    </row>
    <row r="220" spans="1:4" x14ac:dyDescent="0.25">
      <c r="A220" s="234"/>
      <c r="B220" s="128" t="s">
        <v>475</v>
      </c>
      <c r="C220" s="128">
        <v>50</v>
      </c>
      <c r="D220" s="4"/>
    </row>
    <row r="221" spans="1:4" x14ac:dyDescent="0.25">
      <c r="A221" s="234"/>
      <c r="B221" s="128" t="s">
        <v>368</v>
      </c>
      <c r="C221" s="128">
        <v>300</v>
      </c>
      <c r="D221" s="4"/>
    </row>
    <row r="222" spans="1:4" x14ac:dyDescent="0.25">
      <c r="A222" s="234"/>
      <c r="B222" s="128" t="s">
        <v>438</v>
      </c>
      <c r="C222" s="128">
        <v>500</v>
      </c>
      <c r="D222" s="4"/>
    </row>
    <row r="223" spans="1:4" x14ac:dyDescent="0.25">
      <c r="A223" s="234"/>
      <c r="B223" s="128" t="s">
        <v>150</v>
      </c>
      <c r="C223" s="128">
        <v>100</v>
      </c>
      <c r="D223" s="4"/>
    </row>
    <row r="224" spans="1:4" x14ac:dyDescent="0.25">
      <c r="A224" s="234"/>
      <c r="B224" s="128" t="s">
        <v>278</v>
      </c>
      <c r="C224" s="128">
        <v>200</v>
      </c>
      <c r="D224" s="4"/>
    </row>
    <row r="225" spans="1:4" x14ac:dyDescent="0.25">
      <c r="A225" s="234"/>
      <c r="B225" s="128" t="s">
        <v>268</v>
      </c>
      <c r="C225" s="128">
        <v>65</v>
      </c>
      <c r="D225" s="4"/>
    </row>
    <row r="226" spans="1:4" x14ac:dyDescent="0.25">
      <c r="A226" s="234"/>
      <c r="B226" s="128" t="s">
        <v>111</v>
      </c>
      <c r="C226" s="128">
        <v>25</v>
      </c>
      <c r="D226" s="4"/>
    </row>
    <row r="227" spans="1:4" x14ac:dyDescent="0.25">
      <c r="A227" s="234"/>
      <c r="B227" s="128" t="s">
        <v>659</v>
      </c>
      <c r="C227" s="128">
        <v>50</v>
      </c>
      <c r="D227" s="4"/>
    </row>
    <row r="228" spans="1:4" x14ac:dyDescent="0.25">
      <c r="A228" s="234"/>
      <c r="B228" s="128" t="s">
        <v>660</v>
      </c>
      <c r="C228" s="128">
        <v>100</v>
      </c>
      <c r="D228" s="4"/>
    </row>
    <row r="229" spans="1:4" x14ac:dyDescent="0.25">
      <c r="B229" s="128" t="s">
        <v>664</v>
      </c>
      <c r="C229" s="128">
        <v>5000</v>
      </c>
      <c r="D229" s="4"/>
    </row>
    <row r="231" spans="1:4" x14ac:dyDescent="0.25">
      <c r="A231" s="234">
        <v>46226</v>
      </c>
      <c r="B231" s="128" t="s">
        <v>278</v>
      </c>
      <c r="C231" s="128">
        <v>200</v>
      </c>
    </row>
    <row r="232" spans="1:4" x14ac:dyDescent="0.25">
      <c r="A232" s="234"/>
      <c r="B232" s="128" t="s">
        <v>478</v>
      </c>
      <c r="C232" s="128">
        <v>30</v>
      </c>
    </row>
    <row r="233" spans="1:4" x14ac:dyDescent="0.25">
      <c r="A233" s="234"/>
      <c r="B233" s="128" t="s">
        <v>521</v>
      </c>
      <c r="C233" s="128">
        <v>200</v>
      </c>
    </row>
    <row r="234" spans="1:4" x14ac:dyDescent="0.25">
      <c r="A234" s="234"/>
      <c r="B234" s="128" t="s">
        <v>479</v>
      </c>
      <c r="C234" s="128">
        <v>60</v>
      </c>
    </row>
    <row r="235" spans="1:4" x14ac:dyDescent="0.25">
      <c r="A235" s="234"/>
      <c r="B235" s="128" t="s">
        <v>641</v>
      </c>
      <c r="C235" s="128">
        <v>100</v>
      </c>
    </row>
    <row r="236" spans="1:4" x14ac:dyDescent="0.25">
      <c r="A236" s="234"/>
      <c r="B236" s="128" t="s">
        <v>679</v>
      </c>
      <c r="C236" s="128">
        <v>50</v>
      </c>
    </row>
    <row r="237" spans="1:4" x14ac:dyDescent="0.25">
      <c r="A237" s="234"/>
      <c r="B237" s="49" t="s">
        <v>680</v>
      </c>
      <c r="C237" s="49">
        <v>2550</v>
      </c>
    </row>
  </sheetData>
  <mergeCells count="97">
    <mergeCell ref="AE17:AF17"/>
    <mergeCell ref="A219:A228"/>
    <mergeCell ref="E16:E24"/>
    <mergeCell ref="E25:E35"/>
    <mergeCell ref="A88:A97"/>
    <mergeCell ref="A98:A113"/>
    <mergeCell ref="I25:J25"/>
    <mergeCell ref="I26:J26"/>
    <mergeCell ref="I27:J27"/>
    <mergeCell ref="I28:J28"/>
    <mergeCell ref="I29:J29"/>
    <mergeCell ref="I20:J20"/>
    <mergeCell ref="I21:J21"/>
    <mergeCell ref="K32:L32"/>
    <mergeCell ref="K27:L27"/>
    <mergeCell ref="K28:L28"/>
    <mergeCell ref="I7:J7"/>
    <mergeCell ref="I8:J8"/>
    <mergeCell ref="I9:J9"/>
    <mergeCell ref="BF3:BH3"/>
    <mergeCell ref="O3:Q3"/>
    <mergeCell ref="U3:W3"/>
    <mergeCell ref="AA3:AC3"/>
    <mergeCell ref="AG3:AI3"/>
    <mergeCell ref="AM3:AO3"/>
    <mergeCell ref="AT3:AV3"/>
    <mergeCell ref="AZ3:BB3"/>
    <mergeCell ref="I10:J10"/>
    <mergeCell ref="I11:J11"/>
    <mergeCell ref="I12:J12"/>
    <mergeCell ref="I13:J13"/>
    <mergeCell ref="I14:J14"/>
    <mergeCell ref="I15:J15"/>
    <mergeCell ref="I16:J16"/>
    <mergeCell ref="I30:J30"/>
    <mergeCell ref="I31:J31"/>
    <mergeCell ref="I32:J32"/>
    <mergeCell ref="I17:J17"/>
    <mergeCell ref="I18:J18"/>
    <mergeCell ref="I19:J19"/>
    <mergeCell ref="I22:J22"/>
    <mergeCell ref="I23:J23"/>
    <mergeCell ref="I24:J24"/>
    <mergeCell ref="K17:L17"/>
    <mergeCell ref="K18:L18"/>
    <mergeCell ref="K19:L19"/>
    <mergeCell ref="K20:L20"/>
    <mergeCell ref="K21:L21"/>
    <mergeCell ref="K29:L29"/>
    <mergeCell ref="K30:L30"/>
    <mergeCell ref="K31:L31"/>
    <mergeCell ref="K22:L22"/>
    <mergeCell ref="K23:L23"/>
    <mergeCell ref="K24:L24"/>
    <mergeCell ref="K25:L25"/>
    <mergeCell ref="K26:L26"/>
    <mergeCell ref="K12:L12"/>
    <mergeCell ref="K13:L13"/>
    <mergeCell ref="K14:L14"/>
    <mergeCell ref="K15:L15"/>
    <mergeCell ref="K16:L16"/>
    <mergeCell ref="K7:L7"/>
    <mergeCell ref="K8:L8"/>
    <mergeCell ref="K9:L9"/>
    <mergeCell ref="K10:L10"/>
    <mergeCell ref="K11:L11"/>
    <mergeCell ref="K4:L4"/>
    <mergeCell ref="I4:J4"/>
    <mergeCell ref="K5:L5"/>
    <mergeCell ref="K6:L6"/>
    <mergeCell ref="H2:L2"/>
    <mergeCell ref="I5:J5"/>
    <mergeCell ref="I6:J6"/>
    <mergeCell ref="A125:A142"/>
    <mergeCell ref="A51:A59"/>
    <mergeCell ref="A2:D2"/>
    <mergeCell ref="E5:E15"/>
    <mergeCell ref="A16:A24"/>
    <mergeCell ref="A25:A35"/>
    <mergeCell ref="A36:A47"/>
    <mergeCell ref="A6:A15"/>
    <mergeCell ref="A231:A237"/>
    <mergeCell ref="H21:H22"/>
    <mergeCell ref="A79:A87"/>
    <mergeCell ref="A60:A61"/>
    <mergeCell ref="A62:A66"/>
    <mergeCell ref="A67:A74"/>
    <mergeCell ref="A75:A78"/>
    <mergeCell ref="H24:H28"/>
    <mergeCell ref="A214:A218"/>
    <mergeCell ref="A199:A213"/>
    <mergeCell ref="A183:A198"/>
    <mergeCell ref="A48:A50"/>
    <mergeCell ref="A143:A155"/>
    <mergeCell ref="A156:A169"/>
    <mergeCell ref="A170:A182"/>
    <mergeCell ref="A114:A124"/>
  </mergeCells>
  <dataValidations count="1">
    <dataValidation type="list" allowBlank="1" error="يرجى اختيار موظف من القائمة" sqref="B6:B55" xr:uid="{00000000-0002-0000-07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scale="61" fitToHeight="3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CDE9-776D-49BC-A39E-4B28D95E8DFE}">
  <dimension ref="A1:BQ175"/>
  <sheetViews>
    <sheetView topLeftCell="A148" zoomScale="109" workbookViewId="0">
      <selection activeCell="H171" sqref="H171"/>
    </sheetView>
  </sheetViews>
  <sheetFormatPr defaultRowHeight="15" x14ac:dyDescent="0.25"/>
  <cols>
    <col min="2" max="2" width="14.7109375" bestFit="1" customWidth="1"/>
    <col min="3" max="3" width="11.28515625" bestFit="1" customWidth="1"/>
    <col min="4" max="4" width="11" bestFit="1" customWidth="1"/>
    <col min="5" max="5" width="32" bestFit="1" customWidth="1"/>
    <col min="6" max="6" width="13.28515625" customWidth="1"/>
    <col min="7" max="7" width="25.140625" bestFit="1" customWidth="1"/>
    <col min="10" max="10" width="24.7109375" bestFit="1" customWidth="1"/>
    <col min="11" max="11" width="16.85546875" customWidth="1"/>
    <col min="14" max="14" width="20.140625" bestFit="1" customWidth="1"/>
    <col min="15" max="15" width="27.85546875" bestFit="1" customWidth="1"/>
    <col min="18" max="18" width="19.42578125" bestFit="1" customWidth="1"/>
    <col min="19" max="19" width="11.85546875" customWidth="1"/>
    <col min="21" max="21" width="20.28515625" customWidth="1"/>
    <col min="23" max="23" width="11.85546875" customWidth="1"/>
    <col min="24" max="24" width="18.85546875" bestFit="1" customWidth="1"/>
    <col min="25" max="25" width="11.140625" customWidth="1"/>
    <col min="28" max="28" width="25.28515625" bestFit="1" customWidth="1"/>
    <col min="29" max="29" width="11.85546875" bestFit="1" customWidth="1"/>
    <col min="32" max="32" width="18.140625" bestFit="1" customWidth="1"/>
    <col min="36" max="36" width="14.7109375" bestFit="1" customWidth="1"/>
    <col min="40" max="40" width="17.7109375" bestFit="1" customWidth="1"/>
    <col min="41" max="41" width="12.28515625" bestFit="1" customWidth="1"/>
    <col min="44" max="44" width="15" bestFit="1" customWidth="1"/>
    <col min="45" max="45" width="12.28515625" bestFit="1" customWidth="1"/>
    <col min="47" max="47" width="9.42578125" bestFit="1" customWidth="1"/>
    <col min="48" max="48" width="23.42578125" bestFit="1" customWidth="1"/>
    <col min="49" max="49" width="10.7109375" customWidth="1"/>
    <col min="52" max="52" width="32.140625" bestFit="1" customWidth="1"/>
    <col min="53" max="53" width="9.85546875" bestFit="1" customWidth="1"/>
    <col min="56" max="56" width="15.140625" customWidth="1"/>
    <col min="57" max="57" width="10.85546875" bestFit="1" customWidth="1"/>
    <col min="60" max="60" width="12.7109375" bestFit="1" customWidth="1"/>
    <col min="61" max="61" width="10.85546875" bestFit="1" customWidth="1"/>
    <col min="64" max="64" width="32" bestFit="1" customWidth="1"/>
    <col min="65" max="65" width="14" customWidth="1"/>
    <col min="68" max="68" width="22.7109375" customWidth="1"/>
    <col min="69" max="69" width="23.42578125" bestFit="1" customWidth="1"/>
  </cols>
  <sheetData>
    <row r="1" spans="1:69" x14ac:dyDescent="0.25">
      <c r="AJ1" s="30" t="s">
        <v>360</v>
      </c>
      <c r="AM1" s="194">
        <v>46214</v>
      </c>
      <c r="AN1" s="194"/>
      <c r="AO1" s="194"/>
      <c r="AT1">
        <f>SUM(AU4+AU6+AU9)</f>
        <v>7225</v>
      </c>
    </row>
    <row r="2" spans="1:69" x14ac:dyDescent="0.25">
      <c r="A2" s="191">
        <v>46204</v>
      </c>
      <c r="B2" s="191"/>
      <c r="C2" s="191"/>
      <c r="AA2" s="196">
        <v>46211</v>
      </c>
      <c r="AB2" s="197"/>
      <c r="AC2" s="198"/>
      <c r="AE2" s="196">
        <v>46212</v>
      </c>
      <c r="AF2" s="197"/>
      <c r="AG2" s="198"/>
      <c r="AI2" s="192">
        <v>46213</v>
      </c>
      <c r="AJ2" s="192"/>
      <c r="AK2" s="192"/>
      <c r="AM2" s="194"/>
      <c r="AN2" s="194"/>
      <c r="AO2" s="194"/>
      <c r="AQ2" s="206">
        <v>46215</v>
      </c>
      <c r="AR2" s="207"/>
      <c r="AS2" s="208"/>
      <c r="AU2" s="191">
        <v>46216</v>
      </c>
      <c r="AV2" s="191"/>
      <c r="AW2" s="191"/>
      <c r="AY2" s="191">
        <v>46217</v>
      </c>
      <c r="AZ2" s="191"/>
      <c r="BA2" s="191"/>
      <c r="BC2" s="191">
        <v>46218</v>
      </c>
      <c r="BD2" s="191"/>
      <c r="BE2" s="191"/>
      <c r="BG2" s="191">
        <v>46219</v>
      </c>
      <c r="BH2" s="191"/>
      <c r="BI2" s="191"/>
      <c r="BK2" s="191">
        <v>46190</v>
      </c>
      <c r="BL2" s="191"/>
      <c r="BM2" s="191"/>
      <c r="BO2" s="191">
        <v>46221</v>
      </c>
      <c r="BP2" s="191"/>
      <c r="BQ2" s="191"/>
    </row>
    <row r="3" spans="1:69" x14ac:dyDescent="0.25">
      <c r="A3" s="191"/>
      <c r="B3" s="191"/>
      <c r="C3" s="191"/>
      <c r="F3" s="191">
        <v>46206</v>
      </c>
      <c r="G3" s="191"/>
      <c r="I3" s="191">
        <v>46207</v>
      </c>
      <c r="J3" s="191"/>
      <c r="M3" s="196">
        <v>46208</v>
      </c>
      <c r="N3" s="197"/>
      <c r="O3" s="198"/>
      <c r="Q3" s="196">
        <v>46209</v>
      </c>
      <c r="R3" s="197"/>
      <c r="S3" s="198"/>
      <c r="W3" s="191">
        <v>46210</v>
      </c>
      <c r="X3" s="191"/>
      <c r="Y3" s="191"/>
      <c r="AA3" s="199"/>
      <c r="AB3" s="200"/>
      <c r="AC3" s="201"/>
      <c r="AE3" s="199"/>
      <c r="AF3" s="200"/>
      <c r="AG3" s="201"/>
      <c r="AI3" s="192"/>
      <c r="AJ3" s="192"/>
      <c r="AK3" s="192"/>
      <c r="AM3" s="23">
        <v>150</v>
      </c>
      <c r="AN3" s="23" t="s">
        <v>187</v>
      </c>
      <c r="AO3" s="4" t="s">
        <v>373</v>
      </c>
      <c r="AQ3" s="209"/>
      <c r="AR3" s="210"/>
      <c r="AS3" s="211"/>
      <c r="AU3" s="191"/>
      <c r="AV3" s="191"/>
      <c r="AW3" s="191"/>
      <c r="AY3" s="191"/>
      <c r="AZ3" s="191"/>
      <c r="BA3" s="191"/>
      <c r="BC3" s="191"/>
      <c r="BD3" s="191"/>
      <c r="BE3" s="191"/>
      <c r="BG3" s="191"/>
      <c r="BH3" s="191"/>
      <c r="BI3" s="191"/>
      <c r="BK3" s="191"/>
      <c r="BL3" s="191"/>
      <c r="BM3" s="191"/>
      <c r="BO3" s="191"/>
      <c r="BP3" s="191"/>
      <c r="BQ3" s="191"/>
    </row>
    <row r="4" spans="1:69" x14ac:dyDescent="0.25">
      <c r="A4" s="23">
        <v>2200</v>
      </c>
      <c r="B4" s="23" t="s">
        <v>298</v>
      </c>
      <c r="C4" s="4"/>
      <c r="F4" s="191"/>
      <c r="G4" s="191"/>
      <c r="I4" s="191"/>
      <c r="J4" s="191"/>
      <c r="M4" s="199"/>
      <c r="N4" s="200"/>
      <c r="O4" s="201"/>
      <c r="Q4" s="199"/>
      <c r="R4" s="200"/>
      <c r="S4" s="201"/>
      <c r="W4" s="191"/>
      <c r="X4" s="191"/>
      <c r="Y4" s="191"/>
      <c r="AA4" s="23">
        <v>1000</v>
      </c>
      <c r="AB4" s="23" t="s">
        <v>42</v>
      </c>
      <c r="AC4" s="23" t="s">
        <v>325</v>
      </c>
      <c r="AE4" s="23">
        <v>80</v>
      </c>
      <c r="AF4" s="23" t="s">
        <v>262</v>
      </c>
      <c r="AG4" s="23"/>
      <c r="AI4" s="23">
        <v>550</v>
      </c>
      <c r="AJ4" s="23" t="s">
        <v>107</v>
      </c>
      <c r="AK4" s="4"/>
      <c r="AM4" s="64">
        <v>630</v>
      </c>
      <c r="AN4" s="65" t="s">
        <v>362</v>
      </c>
      <c r="AO4" s="4" t="s">
        <v>374</v>
      </c>
      <c r="AQ4" s="4">
        <v>970</v>
      </c>
      <c r="AR4" s="4" t="s">
        <v>107</v>
      </c>
      <c r="AS4" s="4" t="s">
        <v>451</v>
      </c>
      <c r="AU4" s="118">
        <v>5105</v>
      </c>
      <c r="AV4" s="118" t="s">
        <v>103</v>
      </c>
      <c r="AW4" s="4" t="s">
        <v>484</v>
      </c>
      <c r="AY4" s="4">
        <v>3000</v>
      </c>
      <c r="AZ4" s="4" t="s">
        <v>495</v>
      </c>
      <c r="BA4" s="4" t="s">
        <v>486</v>
      </c>
      <c r="BC4" s="125">
        <v>585</v>
      </c>
      <c r="BD4" s="125" t="s">
        <v>518</v>
      </c>
      <c r="BE4" s="4" t="s">
        <v>369</v>
      </c>
      <c r="BG4" s="125">
        <f>110+60</f>
        <v>170</v>
      </c>
      <c r="BH4" s="125" t="s">
        <v>443</v>
      </c>
      <c r="BI4" s="4" t="s">
        <v>369</v>
      </c>
      <c r="BK4" s="129">
        <f>165+280</f>
        <v>445</v>
      </c>
      <c r="BL4" s="129" t="s">
        <v>443</v>
      </c>
      <c r="BM4" s="129" t="s">
        <v>369</v>
      </c>
      <c r="BO4" s="129">
        <v>250</v>
      </c>
      <c r="BP4" s="129" t="s">
        <v>443</v>
      </c>
      <c r="BQ4" s="129" t="s">
        <v>369</v>
      </c>
    </row>
    <row r="5" spans="1:69" x14ac:dyDescent="0.25">
      <c r="A5" s="23">
        <v>1530</v>
      </c>
      <c r="B5" s="23" t="s">
        <v>107</v>
      </c>
      <c r="C5" s="4"/>
      <c r="E5" s="4"/>
      <c r="F5" s="23">
        <v>1360</v>
      </c>
      <c r="G5" s="23" t="s">
        <v>162</v>
      </c>
      <c r="I5" s="23">
        <v>950</v>
      </c>
      <c r="J5" s="23" t="s">
        <v>190</v>
      </c>
      <c r="M5" s="23">
        <v>10</v>
      </c>
      <c r="N5" s="23" t="s">
        <v>165</v>
      </c>
      <c r="O5" s="37"/>
      <c r="Q5" s="50">
        <v>2940</v>
      </c>
      <c r="R5" s="50" t="s">
        <v>107</v>
      </c>
      <c r="S5" s="50"/>
      <c r="T5" s="205" t="s">
        <v>270</v>
      </c>
      <c r="U5" s="205"/>
      <c r="W5" s="23">
        <v>350</v>
      </c>
      <c r="X5" s="23" t="s">
        <v>287</v>
      </c>
      <c r="Y5" s="4"/>
      <c r="AA5" s="23">
        <v>30</v>
      </c>
      <c r="AB5" s="23" t="s">
        <v>187</v>
      </c>
      <c r="AC5" s="23"/>
      <c r="AE5" s="23">
        <v>985</v>
      </c>
      <c r="AF5" s="23" t="s">
        <v>266</v>
      </c>
      <c r="AG5" s="23"/>
      <c r="AI5" s="23">
        <v>80</v>
      </c>
      <c r="AJ5" s="23" t="s">
        <v>129</v>
      </c>
      <c r="AK5" s="4"/>
      <c r="AM5" s="49">
        <v>2750</v>
      </c>
      <c r="AN5" s="23" t="s">
        <v>363</v>
      </c>
      <c r="AO5" s="23" t="s">
        <v>24</v>
      </c>
      <c r="AQ5" s="4">
        <v>70</v>
      </c>
      <c r="AR5" s="4" t="s">
        <v>435</v>
      </c>
      <c r="AS5" s="4" t="s">
        <v>369</v>
      </c>
      <c r="AU5" s="4">
        <v>1660</v>
      </c>
      <c r="AV5" s="4" t="s">
        <v>485</v>
      </c>
      <c r="AW5" s="4"/>
      <c r="AY5" s="117">
        <v>50</v>
      </c>
      <c r="AZ5" s="117" t="s">
        <v>496</v>
      </c>
      <c r="BA5" s="4"/>
      <c r="BC5" s="125">
        <v>1020</v>
      </c>
      <c r="BD5" s="125" t="s">
        <v>328</v>
      </c>
      <c r="BE5" s="4" t="s">
        <v>369</v>
      </c>
      <c r="BG5" s="125">
        <v>345</v>
      </c>
      <c r="BH5" s="125" t="s">
        <v>328</v>
      </c>
      <c r="BI5" s="4" t="s">
        <v>533</v>
      </c>
      <c r="BK5" s="129">
        <f>133+80</f>
        <v>213</v>
      </c>
      <c r="BL5" s="129" t="s">
        <v>328</v>
      </c>
      <c r="BM5" s="129" t="s">
        <v>369</v>
      </c>
      <c r="BO5" s="129">
        <f>145+90+80+200+420+110+350+30+230+120</f>
        <v>1775</v>
      </c>
      <c r="BP5" s="129" t="s">
        <v>328</v>
      </c>
      <c r="BQ5" s="129" t="s">
        <v>369</v>
      </c>
    </row>
    <row r="6" spans="1:69" x14ac:dyDescent="0.25">
      <c r="A6" s="23">
        <v>1530</v>
      </c>
      <c r="B6" s="23" t="s">
        <v>105</v>
      </c>
      <c r="C6" s="4"/>
      <c r="E6" s="4"/>
      <c r="F6" s="120">
        <v>220</v>
      </c>
      <c r="G6" s="37" t="s">
        <v>171</v>
      </c>
      <c r="I6" s="23">
        <v>1570</v>
      </c>
      <c r="J6" s="23" t="s">
        <v>175</v>
      </c>
      <c r="M6" s="23">
        <v>1000</v>
      </c>
      <c r="N6" s="23" t="s">
        <v>192</v>
      </c>
      <c r="O6" s="37"/>
      <c r="Q6" s="23">
        <v>175</v>
      </c>
      <c r="R6" s="23" t="s">
        <v>259</v>
      </c>
      <c r="S6" s="23"/>
      <c r="T6" s="205" t="s">
        <v>271</v>
      </c>
      <c r="U6" s="205"/>
      <c r="W6" s="23">
        <v>230</v>
      </c>
      <c r="X6" s="23" t="s">
        <v>288</v>
      </c>
      <c r="Y6" s="4"/>
      <c r="AA6" s="23">
        <v>205</v>
      </c>
      <c r="AB6" s="23" t="s">
        <v>107</v>
      </c>
      <c r="AC6" s="23"/>
      <c r="AE6" s="23">
        <v>270</v>
      </c>
      <c r="AF6" s="23" t="s">
        <v>338</v>
      </c>
      <c r="AG6" s="23"/>
      <c r="AI6" s="120">
        <v>40</v>
      </c>
      <c r="AJ6" s="120" t="s">
        <v>327</v>
      </c>
      <c r="AK6" s="4"/>
      <c r="AM6" s="64">
        <v>6935</v>
      </c>
      <c r="AN6" s="65" t="s">
        <v>103</v>
      </c>
      <c r="AO6" s="4" t="s">
        <v>374</v>
      </c>
      <c r="AQ6" s="4">
        <v>100</v>
      </c>
      <c r="AR6" s="4" t="s">
        <v>435</v>
      </c>
      <c r="AS6" s="4" t="s">
        <v>369</v>
      </c>
      <c r="AU6" s="118">
        <v>1290</v>
      </c>
      <c r="AV6" s="118" t="s">
        <v>107</v>
      </c>
      <c r="AW6" s="63" t="s">
        <v>487</v>
      </c>
      <c r="AY6" s="117">
        <v>100</v>
      </c>
      <c r="AZ6" s="117" t="s">
        <v>497</v>
      </c>
      <c r="BA6" s="4"/>
      <c r="BC6" s="117">
        <v>30</v>
      </c>
      <c r="BD6" s="117" t="s">
        <v>475</v>
      </c>
      <c r="BE6" s="4"/>
      <c r="BG6" s="117">
        <v>1000</v>
      </c>
      <c r="BH6" s="117" t="s">
        <v>309</v>
      </c>
      <c r="BI6" s="4"/>
      <c r="BK6" s="129">
        <v>100</v>
      </c>
      <c r="BL6" s="129" t="s">
        <v>543</v>
      </c>
      <c r="BM6" s="129" t="s">
        <v>369</v>
      </c>
      <c r="BO6" s="135">
        <v>5055</v>
      </c>
      <c r="BP6" s="135" t="s">
        <v>374</v>
      </c>
      <c r="BQ6" s="135" t="s">
        <v>586</v>
      </c>
    </row>
    <row r="7" spans="1:69" x14ac:dyDescent="0.25">
      <c r="A7" s="23">
        <v>150</v>
      </c>
      <c r="B7" s="23" t="s">
        <v>262</v>
      </c>
      <c r="C7" s="4"/>
      <c r="E7" s="4"/>
      <c r="F7" s="120">
        <v>145</v>
      </c>
      <c r="G7" s="23" t="s">
        <v>170</v>
      </c>
      <c r="I7" s="23">
        <v>5000</v>
      </c>
      <c r="J7" s="23" t="s">
        <v>103</v>
      </c>
      <c r="M7" s="23">
        <f>150+75+10+195</f>
        <v>430</v>
      </c>
      <c r="N7" s="23" t="s">
        <v>193</v>
      </c>
      <c r="O7" s="37"/>
      <c r="Q7" s="23">
        <v>400</v>
      </c>
      <c r="R7" s="23" t="s">
        <v>260</v>
      </c>
      <c r="S7" s="23"/>
      <c r="T7" s="205" t="s">
        <v>272</v>
      </c>
      <c r="U7" s="205"/>
      <c r="W7" s="23">
        <v>11000</v>
      </c>
      <c r="X7" s="23" t="s">
        <v>290</v>
      </c>
      <c r="Y7" s="4"/>
      <c r="AA7" s="23">
        <v>4400</v>
      </c>
      <c r="AB7" s="23" t="s">
        <v>310</v>
      </c>
      <c r="AC7" s="23" t="s">
        <v>324</v>
      </c>
      <c r="AE7" s="23">
        <v>1115</v>
      </c>
      <c r="AF7" s="23" t="s">
        <v>339</v>
      </c>
      <c r="AG7" s="23"/>
      <c r="AI7" s="120">
        <v>335</v>
      </c>
      <c r="AJ7" s="120" t="s">
        <v>327</v>
      </c>
      <c r="AK7" s="4"/>
      <c r="AM7" s="120">
        <f>360+20</f>
        <v>380</v>
      </c>
      <c r="AN7" s="120" t="s">
        <v>340</v>
      </c>
      <c r="AO7" s="117" t="s">
        <v>369</v>
      </c>
      <c r="AQ7" s="4">
        <v>35</v>
      </c>
      <c r="AR7" s="4" t="s">
        <v>435</v>
      </c>
      <c r="AS7" s="4" t="s">
        <v>369</v>
      </c>
      <c r="AU7" s="117">
        <v>650</v>
      </c>
      <c r="AV7" s="117" t="s">
        <v>328</v>
      </c>
      <c r="AW7" s="4"/>
      <c r="AY7" s="118">
        <v>1950</v>
      </c>
      <c r="AZ7" s="118" t="s">
        <v>498</v>
      </c>
      <c r="BA7" s="4"/>
      <c r="BC7" s="117">
        <v>130</v>
      </c>
      <c r="BD7" s="117" t="s">
        <v>519</v>
      </c>
      <c r="BE7" s="4"/>
      <c r="BG7" s="117">
        <v>200</v>
      </c>
      <c r="BH7" s="117" t="s">
        <v>368</v>
      </c>
      <c r="BI7" s="4"/>
      <c r="BK7" s="23">
        <v>576</v>
      </c>
      <c r="BL7" s="23" t="s">
        <v>544</v>
      </c>
      <c r="BM7" s="23" t="s">
        <v>545</v>
      </c>
      <c r="BO7" s="135">
        <v>210</v>
      </c>
      <c r="BP7" s="135" t="s">
        <v>134</v>
      </c>
      <c r="BQ7" s="135"/>
    </row>
    <row r="8" spans="1:69" x14ac:dyDescent="0.25">
      <c r="A8" s="23">
        <v>80</v>
      </c>
      <c r="B8" s="23" t="s">
        <v>262</v>
      </c>
      <c r="C8" s="4"/>
      <c r="E8" s="4"/>
      <c r="F8" s="23">
        <v>750</v>
      </c>
      <c r="G8" s="23" t="s">
        <v>132</v>
      </c>
      <c r="I8" s="23">
        <v>1425</v>
      </c>
      <c r="J8" s="23" t="s">
        <v>176</v>
      </c>
      <c r="M8" s="120">
        <f>130+150</f>
        <v>280</v>
      </c>
      <c r="N8" s="23" t="s">
        <v>194</v>
      </c>
      <c r="O8" s="37"/>
      <c r="Q8" s="23">
        <v>3000</v>
      </c>
      <c r="R8" s="23" t="s">
        <v>261</v>
      </c>
      <c r="S8" s="23" t="s">
        <v>196</v>
      </c>
      <c r="T8" s="205" t="s">
        <v>273</v>
      </c>
      <c r="U8" s="205"/>
      <c r="W8" s="23">
        <v>3370</v>
      </c>
      <c r="X8" s="23" t="s">
        <v>291</v>
      </c>
      <c r="Y8" s="4"/>
      <c r="AA8" s="23">
        <v>250</v>
      </c>
      <c r="AB8" s="23"/>
      <c r="AC8" s="23"/>
      <c r="AE8" s="23">
        <v>70</v>
      </c>
      <c r="AF8" s="23" t="s">
        <v>129</v>
      </c>
      <c r="AG8" s="23"/>
      <c r="AI8" s="23">
        <v>15</v>
      </c>
      <c r="AJ8" s="23" t="s">
        <v>184</v>
      </c>
      <c r="AK8" s="4"/>
      <c r="AM8" s="23">
        <v>100</v>
      </c>
      <c r="AN8" s="23" t="s">
        <v>364</v>
      </c>
      <c r="AO8" s="4" t="s">
        <v>369</v>
      </c>
      <c r="AQ8" s="117">
        <v>135</v>
      </c>
      <c r="AR8" s="117" t="s">
        <v>328</v>
      </c>
      <c r="AS8" s="117" t="s">
        <v>369</v>
      </c>
      <c r="AU8" s="78">
        <v>500</v>
      </c>
      <c r="AV8" s="78" t="s">
        <v>472</v>
      </c>
      <c r="AW8" s="4"/>
      <c r="AY8" s="118">
        <v>750</v>
      </c>
      <c r="AZ8" s="118" t="s">
        <v>190</v>
      </c>
      <c r="BA8" s="4"/>
      <c r="BC8" s="117">
        <v>3020</v>
      </c>
      <c r="BD8" s="117" t="s">
        <v>153</v>
      </c>
      <c r="BE8" s="4"/>
      <c r="BG8" s="117">
        <v>500</v>
      </c>
      <c r="BH8" s="117" t="s">
        <v>143</v>
      </c>
      <c r="BI8" s="4"/>
      <c r="BK8" s="23">
        <v>48</v>
      </c>
      <c r="BL8" s="23" t="s">
        <v>443</v>
      </c>
      <c r="BM8" s="23" t="s">
        <v>545</v>
      </c>
      <c r="BO8" s="120">
        <v>3000</v>
      </c>
      <c r="BP8" s="120" t="s">
        <v>167</v>
      </c>
      <c r="BQ8" s="49"/>
    </row>
    <row r="9" spans="1:69" x14ac:dyDescent="0.25">
      <c r="A9" s="23">
        <v>150</v>
      </c>
      <c r="B9" s="23" t="s">
        <v>109</v>
      </c>
      <c r="C9" s="4"/>
      <c r="E9" s="4"/>
      <c r="F9" s="23">
        <v>18000</v>
      </c>
      <c r="G9" s="23" t="s">
        <v>173</v>
      </c>
      <c r="I9" s="23">
        <v>180</v>
      </c>
      <c r="J9" s="23" t="s">
        <v>177</v>
      </c>
      <c r="M9" s="23">
        <v>1330</v>
      </c>
      <c r="N9" s="23" t="s">
        <v>205</v>
      </c>
      <c r="O9" s="23" t="s">
        <v>258</v>
      </c>
      <c r="Q9" s="23">
        <v>150</v>
      </c>
      <c r="R9" s="23" t="s">
        <v>262</v>
      </c>
      <c r="S9" s="23"/>
      <c r="T9" s="205"/>
      <c r="U9" s="205"/>
      <c r="W9" s="23">
        <v>1500</v>
      </c>
      <c r="X9" s="23" t="s">
        <v>293</v>
      </c>
      <c r="Y9" s="4"/>
      <c r="AA9" s="23">
        <v>4470</v>
      </c>
      <c r="AB9" s="23" t="s">
        <v>316</v>
      </c>
      <c r="AC9" s="23"/>
      <c r="AE9" s="120">
        <v>300</v>
      </c>
      <c r="AF9" s="120" t="s">
        <v>340</v>
      </c>
      <c r="AG9" s="23"/>
      <c r="AI9" s="23">
        <v>10</v>
      </c>
      <c r="AJ9" s="23" t="s">
        <v>168</v>
      </c>
      <c r="AK9" s="4"/>
      <c r="AM9" s="23">
        <v>50</v>
      </c>
      <c r="AN9" s="23" t="s">
        <v>365</v>
      </c>
      <c r="AO9" s="4" t="s">
        <v>369</v>
      </c>
      <c r="AQ9" s="117">
        <v>265</v>
      </c>
      <c r="AR9" s="117" t="s">
        <v>328</v>
      </c>
      <c r="AS9" s="117" t="s">
        <v>369</v>
      </c>
      <c r="AU9" s="118">
        <v>830</v>
      </c>
      <c r="AV9" s="118" t="s">
        <v>473</v>
      </c>
      <c r="AW9" s="4"/>
      <c r="AY9" s="118">
        <v>535</v>
      </c>
      <c r="AZ9" s="118" t="s">
        <v>362</v>
      </c>
      <c r="BA9" s="4"/>
      <c r="BC9" s="117">
        <v>52</v>
      </c>
      <c r="BD9" s="117" t="s">
        <v>309</v>
      </c>
      <c r="BE9" s="4"/>
      <c r="BG9" s="117">
        <v>15</v>
      </c>
      <c r="BH9" s="117" t="s">
        <v>534</v>
      </c>
      <c r="BI9" s="4"/>
      <c r="BK9" s="120">
        <v>392</v>
      </c>
      <c r="BL9" s="120" t="s">
        <v>502</v>
      </c>
      <c r="BM9" s="23" t="s">
        <v>545</v>
      </c>
      <c r="BO9" s="120">
        <v>400</v>
      </c>
      <c r="BP9" s="120" t="s">
        <v>537</v>
      </c>
      <c r="BQ9" s="23"/>
    </row>
    <row r="10" spans="1:69" x14ac:dyDescent="0.25">
      <c r="A10" s="23">
        <v>7627</v>
      </c>
      <c r="B10" s="23" t="s">
        <v>28</v>
      </c>
      <c r="C10" s="4"/>
      <c r="E10" s="4"/>
      <c r="F10" s="23">
        <v>570</v>
      </c>
      <c r="G10" s="23" t="s">
        <v>154</v>
      </c>
      <c r="I10" s="120">
        <v>125</v>
      </c>
      <c r="J10" s="23" t="s">
        <v>178</v>
      </c>
      <c r="M10" s="23">
        <v>1290</v>
      </c>
      <c r="N10" s="23" t="s">
        <v>195</v>
      </c>
      <c r="O10" s="23" t="s">
        <v>196</v>
      </c>
      <c r="Q10" s="23">
        <v>9000</v>
      </c>
      <c r="R10" s="23" t="s">
        <v>263</v>
      </c>
      <c r="S10" s="23"/>
      <c r="T10" s="205"/>
      <c r="U10" s="205"/>
      <c r="W10" s="23">
        <v>465</v>
      </c>
      <c r="X10" s="23" t="s">
        <v>154</v>
      </c>
      <c r="Y10" s="4"/>
      <c r="AA10" s="23">
        <f>120+140+290</f>
        <v>550</v>
      </c>
      <c r="AB10" s="23" t="s">
        <v>317</v>
      </c>
      <c r="AC10" s="23"/>
      <c r="AE10" s="23">
        <v>30</v>
      </c>
      <c r="AF10" s="23" t="s">
        <v>341</v>
      </c>
      <c r="AG10" s="23"/>
      <c r="AI10" s="23">
        <v>50</v>
      </c>
      <c r="AJ10" s="23" t="s">
        <v>168</v>
      </c>
      <c r="AK10" s="4"/>
      <c r="AM10" s="120">
        <v>50</v>
      </c>
      <c r="AN10" s="120" t="s">
        <v>366</v>
      </c>
      <c r="AO10" s="4" t="s">
        <v>369</v>
      </c>
      <c r="AQ10" s="4">
        <v>60</v>
      </c>
      <c r="AR10" s="4" t="s">
        <v>168</v>
      </c>
      <c r="AS10" s="4" t="s">
        <v>370</v>
      </c>
      <c r="AU10" s="137">
        <v>30</v>
      </c>
      <c r="AV10" s="137" t="s">
        <v>474</v>
      </c>
      <c r="AW10" s="212">
        <f>SUM(AU10:AU12)</f>
        <v>300</v>
      </c>
      <c r="AY10" s="118">
        <v>465</v>
      </c>
      <c r="AZ10" s="118" t="s">
        <v>134</v>
      </c>
      <c r="BA10" s="117" t="s">
        <v>511</v>
      </c>
      <c r="BC10" s="117">
        <v>67.5</v>
      </c>
      <c r="BD10" s="117" t="s">
        <v>520</v>
      </c>
      <c r="BE10" s="4"/>
      <c r="BG10" s="117">
        <v>1000</v>
      </c>
      <c r="BH10" s="117" t="s">
        <v>438</v>
      </c>
      <c r="BI10" s="4"/>
      <c r="BK10" s="120">
        <v>80</v>
      </c>
      <c r="BL10" s="120" t="s">
        <v>328</v>
      </c>
      <c r="BM10" s="120"/>
      <c r="BO10" s="120">
        <v>1000</v>
      </c>
      <c r="BP10" s="120" t="s">
        <v>182</v>
      </c>
      <c r="BQ10" s="23"/>
    </row>
    <row r="11" spans="1:69" x14ac:dyDescent="0.25">
      <c r="A11" s="23">
        <v>100</v>
      </c>
      <c r="B11" s="23" t="s">
        <v>299</v>
      </c>
      <c r="C11" s="4"/>
      <c r="E11" s="4" t="s">
        <v>203</v>
      </c>
      <c r="F11" s="23">
        <v>5000</v>
      </c>
      <c r="G11" s="23" t="s">
        <v>163</v>
      </c>
      <c r="I11" s="23">
        <v>915</v>
      </c>
      <c r="J11" s="23" t="s">
        <v>179</v>
      </c>
      <c r="M11" s="23">
        <v>2000</v>
      </c>
      <c r="N11" s="23" t="s">
        <v>197</v>
      </c>
      <c r="O11" s="23" t="s">
        <v>196</v>
      </c>
      <c r="Q11" s="23">
        <v>600</v>
      </c>
      <c r="R11" s="23" t="s">
        <v>264</v>
      </c>
      <c r="S11" s="23"/>
      <c r="T11" s="205"/>
      <c r="U11" s="205"/>
      <c r="W11" s="23">
        <f>415+60+120+110</f>
        <v>705</v>
      </c>
      <c r="X11" s="23" t="s">
        <v>296</v>
      </c>
      <c r="Y11" s="4"/>
      <c r="AA11" s="23">
        <v>50</v>
      </c>
      <c r="AB11" s="23" t="s">
        <v>327</v>
      </c>
      <c r="AC11" s="23"/>
      <c r="AE11" s="23">
        <v>30</v>
      </c>
      <c r="AF11" s="23" t="s">
        <v>184</v>
      </c>
      <c r="AG11" s="23"/>
      <c r="AI11" s="23">
        <v>20</v>
      </c>
      <c r="AJ11" s="23" t="s">
        <v>309</v>
      </c>
      <c r="AK11" s="4"/>
      <c r="AM11" s="120">
        <v>150</v>
      </c>
      <c r="AN11" s="121" t="s">
        <v>366</v>
      </c>
      <c r="AO11" s="4" t="s">
        <v>369</v>
      </c>
      <c r="AQ11" s="4">
        <v>100</v>
      </c>
      <c r="AR11" s="4" t="s">
        <v>278</v>
      </c>
      <c r="AS11" s="4" t="s">
        <v>135</v>
      </c>
      <c r="AU11" s="137">
        <v>65</v>
      </c>
      <c r="AV11" s="137" t="s">
        <v>474</v>
      </c>
      <c r="AW11" s="213"/>
      <c r="AY11" s="117">
        <v>36</v>
      </c>
      <c r="AZ11" s="4" t="s">
        <v>499</v>
      </c>
      <c r="BA11" s="4"/>
      <c r="BC11" s="117">
        <v>67.5</v>
      </c>
      <c r="BD11" s="117" t="s">
        <v>521</v>
      </c>
      <c r="BE11" s="4"/>
      <c r="BG11" s="117">
        <v>261</v>
      </c>
      <c r="BH11" s="117" t="s">
        <v>268</v>
      </c>
      <c r="BI11" s="4"/>
      <c r="BK11" s="120">
        <v>1000</v>
      </c>
      <c r="BL11" s="120" t="s">
        <v>546</v>
      </c>
      <c r="BM11" s="49" t="s">
        <v>676</v>
      </c>
      <c r="BO11" s="120">
        <v>150</v>
      </c>
      <c r="BP11" s="120" t="s">
        <v>368</v>
      </c>
      <c r="BQ11" s="23"/>
    </row>
    <row r="12" spans="1:69" x14ac:dyDescent="0.25">
      <c r="A12" s="23">
        <v>100</v>
      </c>
      <c r="B12" s="23" t="s">
        <v>300</v>
      </c>
      <c r="C12" s="4"/>
      <c r="E12" s="4"/>
      <c r="F12" s="23">
        <v>30</v>
      </c>
      <c r="G12" s="23" t="s">
        <v>22</v>
      </c>
      <c r="I12" s="23">
        <v>395</v>
      </c>
      <c r="J12" s="23" t="s">
        <v>177</v>
      </c>
      <c r="M12" s="23">
        <v>2350</v>
      </c>
      <c r="N12" s="23" t="s">
        <v>198</v>
      </c>
      <c r="O12" s="37"/>
      <c r="Q12" s="23">
        <v>100</v>
      </c>
      <c r="R12" s="23" t="s">
        <v>265</v>
      </c>
      <c r="S12" s="23"/>
      <c r="T12" s="205"/>
      <c r="U12" s="205"/>
      <c r="W12" s="23">
        <f>60+335+80</f>
        <v>475</v>
      </c>
      <c r="X12" s="23" t="s">
        <v>297</v>
      </c>
      <c r="Y12" s="4"/>
      <c r="AA12" s="23">
        <v>50</v>
      </c>
      <c r="AB12" s="23" t="s">
        <v>309</v>
      </c>
      <c r="AC12" s="23"/>
      <c r="AE12" s="23">
        <v>30</v>
      </c>
      <c r="AF12" s="23" t="s">
        <v>333</v>
      </c>
      <c r="AG12" s="23"/>
      <c r="AI12" s="23">
        <v>10000</v>
      </c>
      <c r="AJ12" s="23" t="s">
        <v>103</v>
      </c>
      <c r="AK12" s="23" t="s">
        <v>359</v>
      </c>
      <c r="AM12" s="23">
        <v>200</v>
      </c>
      <c r="AN12" s="23" t="s">
        <v>371</v>
      </c>
      <c r="AO12" s="4" t="s">
        <v>370</v>
      </c>
      <c r="AQ12" s="112"/>
      <c r="AR12" s="112" t="s">
        <v>110</v>
      </c>
      <c r="AS12" s="4" t="s">
        <v>135</v>
      </c>
      <c r="AU12" s="137">
        <v>205</v>
      </c>
      <c r="AV12" s="137" t="s">
        <v>474</v>
      </c>
      <c r="AW12" s="214"/>
      <c r="AY12" s="4">
        <v>100</v>
      </c>
      <c r="AZ12" s="112" t="s">
        <v>500</v>
      </c>
      <c r="BA12" s="4"/>
      <c r="BC12" s="117">
        <v>120</v>
      </c>
      <c r="BD12" s="117" t="s">
        <v>184</v>
      </c>
      <c r="BE12" s="4"/>
      <c r="BG12" s="117">
        <v>100</v>
      </c>
      <c r="BH12" s="117" t="s">
        <v>368</v>
      </c>
      <c r="BI12" s="4"/>
      <c r="BK12" s="120">
        <v>500</v>
      </c>
      <c r="BL12" s="120" t="s">
        <v>111</v>
      </c>
      <c r="BM12" s="120"/>
      <c r="BO12" s="120">
        <v>500</v>
      </c>
      <c r="BP12" s="120" t="s">
        <v>150</v>
      </c>
      <c r="BQ12" s="23"/>
    </row>
    <row r="13" spans="1:69" x14ac:dyDescent="0.25">
      <c r="A13" s="23">
        <v>1110</v>
      </c>
      <c r="B13" s="23" t="s">
        <v>302</v>
      </c>
      <c r="C13" s="4"/>
      <c r="E13" s="4"/>
      <c r="F13" s="23">
        <v>200</v>
      </c>
      <c r="G13" s="23" t="s">
        <v>150</v>
      </c>
      <c r="I13" s="23">
        <v>150</v>
      </c>
      <c r="J13" s="23" t="s">
        <v>111</v>
      </c>
      <c r="M13" s="23">
        <v>100</v>
      </c>
      <c r="N13" s="23" t="s">
        <v>199</v>
      </c>
      <c r="O13" s="37"/>
      <c r="Q13" s="23">
        <f>65+190+175+195</f>
        <v>625</v>
      </c>
      <c r="R13" s="23" t="s">
        <v>266</v>
      </c>
      <c r="S13" s="23"/>
      <c r="T13" s="205"/>
      <c r="U13" s="205"/>
      <c r="W13" s="23">
        <v>1500</v>
      </c>
      <c r="X13" s="23" t="s">
        <v>292</v>
      </c>
      <c r="Y13" s="4"/>
      <c r="AA13" s="23">
        <v>115</v>
      </c>
      <c r="AB13" s="23" t="s">
        <v>184</v>
      </c>
      <c r="AC13" s="23"/>
      <c r="AE13" s="23">
        <v>7400</v>
      </c>
      <c r="AF13" s="23" t="s">
        <v>103</v>
      </c>
      <c r="AG13" s="23"/>
      <c r="AI13" s="23"/>
      <c r="AJ13" s="23" t="s">
        <v>28</v>
      </c>
      <c r="AK13" s="4"/>
      <c r="AM13" s="23">
        <v>60</v>
      </c>
      <c r="AN13" s="23" t="s">
        <v>184</v>
      </c>
      <c r="AO13" s="4" t="s">
        <v>370</v>
      </c>
      <c r="AQ13" s="112"/>
      <c r="AR13" s="112" t="s">
        <v>167</v>
      </c>
      <c r="AS13" s="4" t="s">
        <v>135</v>
      </c>
      <c r="AU13" s="137">
        <v>315</v>
      </c>
      <c r="AV13" s="137" t="s">
        <v>180</v>
      </c>
      <c r="AW13" s="212">
        <f>SUM(AU13:AU19)</f>
        <v>955</v>
      </c>
      <c r="AY13" s="117">
        <v>500</v>
      </c>
      <c r="AZ13" s="4" t="s">
        <v>278</v>
      </c>
      <c r="BA13" s="4"/>
      <c r="BC13" s="117">
        <v>30</v>
      </c>
      <c r="BD13" s="117" t="s">
        <v>522</v>
      </c>
      <c r="BE13" s="4"/>
      <c r="BG13" s="117">
        <v>20</v>
      </c>
      <c r="BH13" s="117" t="s">
        <v>168</v>
      </c>
      <c r="BI13" s="4"/>
      <c r="BK13" s="120">
        <v>200</v>
      </c>
      <c r="BL13" s="120" t="s">
        <v>547</v>
      </c>
      <c r="BM13" s="120"/>
      <c r="BO13" s="120">
        <v>10</v>
      </c>
      <c r="BP13" s="120" t="s">
        <v>184</v>
      </c>
      <c r="BQ13" s="23"/>
    </row>
    <row r="14" spans="1:69" x14ac:dyDescent="0.25">
      <c r="A14" s="23">
        <v>3000</v>
      </c>
      <c r="B14" s="23" t="s">
        <v>181</v>
      </c>
      <c r="C14" s="4" t="s">
        <v>569</v>
      </c>
      <c r="E14" s="4"/>
      <c r="F14" s="23"/>
      <c r="G14" s="23"/>
      <c r="I14" s="23"/>
      <c r="J14" s="23"/>
      <c r="M14" s="23"/>
      <c r="N14" s="23"/>
      <c r="O14" s="37"/>
      <c r="Q14" s="23"/>
      <c r="R14" s="23"/>
      <c r="S14" s="23"/>
      <c r="T14" s="110"/>
      <c r="U14" s="110"/>
      <c r="W14" s="23"/>
      <c r="X14" s="23"/>
      <c r="Y14" s="4"/>
      <c r="AA14" s="23"/>
      <c r="AB14" s="23"/>
      <c r="AC14" s="23"/>
      <c r="AE14" s="23"/>
      <c r="AF14" s="23"/>
      <c r="AG14" s="23"/>
      <c r="AI14" s="23"/>
      <c r="AJ14" s="23"/>
      <c r="AK14" s="4"/>
      <c r="AM14" s="23"/>
      <c r="AN14" s="23"/>
      <c r="AO14" s="4"/>
      <c r="AQ14" s="112"/>
      <c r="AR14" s="112"/>
      <c r="AS14" s="4"/>
      <c r="AU14" s="137"/>
      <c r="AV14" s="137"/>
      <c r="AW14" s="213"/>
      <c r="AY14" s="117"/>
      <c r="AZ14" s="4"/>
      <c r="BA14" s="4"/>
      <c r="BC14" s="117"/>
      <c r="BD14" s="117"/>
      <c r="BE14" s="4"/>
      <c r="BG14" s="117"/>
      <c r="BH14" s="117"/>
      <c r="BI14" s="4"/>
      <c r="BK14" s="120"/>
      <c r="BL14" s="120"/>
      <c r="BM14" s="120"/>
      <c r="BO14" s="120"/>
      <c r="BP14" s="120"/>
      <c r="BQ14" s="23"/>
    </row>
    <row r="15" spans="1:69" x14ac:dyDescent="0.25">
      <c r="A15" s="23">
        <v>1220</v>
      </c>
      <c r="B15" s="23" t="s">
        <v>301</v>
      </c>
      <c r="C15" s="4"/>
      <c r="E15" s="4"/>
      <c r="F15" s="23">
        <v>100</v>
      </c>
      <c r="G15" s="23" t="s">
        <v>164</v>
      </c>
      <c r="I15" s="23">
        <v>125</v>
      </c>
      <c r="J15" s="23" t="s">
        <v>180</v>
      </c>
      <c r="M15" s="23">
        <v>2750</v>
      </c>
      <c r="N15" s="23" t="s">
        <v>277</v>
      </c>
      <c r="O15" s="23" t="s">
        <v>196</v>
      </c>
      <c r="Q15" s="23">
        <v>100</v>
      </c>
      <c r="R15" s="23" t="s">
        <v>111</v>
      </c>
      <c r="S15" s="23"/>
      <c r="T15" s="205"/>
      <c r="U15" s="205"/>
      <c r="W15" s="23">
        <v>3000</v>
      </c>
      <c r="X15" s="23" t="s">
        <v>184</v>
      </c>
      <c r="Y15" s="7" t="s">
        <v>294</v>
      </c>
      <c r="AA15" s="23">
        <v>1000</v>
      </c>
      <c r="AB15" s="23" t="s">
        <v>318</v>
      </c>
      <c r="AC15" s="23"/>
      <c r="AE15" s="23">
        <v>50</v>
      </c>
      <c r="AF15" s="23" t="s">
        <v>168</v>
      </c>
      <c r="AG15" s="23"/>
      <c r="AI15" s="23">
        <v>11100</v>
      </c>
      <c r="AJ15" s="23" t="s">
        <v>47</v>
      </c>
      <c r="AK15" s="4"/>
      <c r="AM15" s="23">
        <v>100</v>
      </c>
      <c r="AN15" s="23" t="s">
        <v>278</v>
      </c>
      <c r="AO15" s="4" t="s">
        <v>370</v>
      </c>
      <c r="AQ15" s="4">
        <v>25</v>
      </c>
      <c r="AR15" s="4" t="s">
        <v>309</v>
      </c>
      <c r="AS15" s="4" t="s">
        <v>370</v>
      </c>
      <c r="AU15" s="137">
        <v>180</v>
      </c>
      <c r="AV15" s="137" t="s">
        <v>180</v>
      </c>
      <c r="AW15" s="213"/>
      <c r="AY15" s="117">
        <v>10</v>
      </c>
      <c r="AZ15" s="4" t="s">
        <v>495</v>
      </c>
      <c r="BA15" s="4"/>
      <c r="BC15" s="117">
        <v>500</v>
      </c>
      <c r="BD15" s="117" t="s">
        <v>181</v>
      </c>
      <c r="BE15" s="4"/>
      <c r="BG15" s="117">
        <v>10</v>
      </c>
      <c r="BH15" s="117" t="s">
        <v>184</v>
      </c>
      <c r="BI15" s="4"/>
      <c r="BK15" s="120">
        <v>10</v>
      </c>
      <c r="BL15" s="120" t="s">
        <v>143</v>
      </c>
      <c r="BM15" s="120"/>
      <c r="BO15" s="120">
        <v>10</v>
      </c>
      <c r="BP15" s="120" t="s">
        <v>328</v>
      </c>
      <c r="BQ15" s="23"/>
    </row>
    <row r="16" spans="1:69" x14ac:dyDescent="0.25">
      <c r="A16" s="27">
        <f>SUM(A4:A15)</f>
        <v>18797</v>
      </c>
      <c r="B16" s="27" t="s">
        <v>47</v>
      </c>
      <c r="C16" s="4"/>
      <c r="E16" s="4"/>
      <c r="F16" s="23">
        <v>200</v>
      </c>
      <c r="G16" s="23" t="s">
        <v>111</v>
      </c>
      <c r="I16" s="23">
        <v>200</v>
      </c>
      <c r="J16" s="23" t="s">
        <v>181</v>
      </c>
      <c r="M16" s="23">
        <v>3000</v>
      </c>
      <c r="N16" s="23" t="s">
        <v>200</v>
      </c>
      <c r="O16" s="37" t="s">
        <v>204</v>
      </c>
      <c r="Q16" s="23">
        <v>10</v>
      </c>
      <c r="R16" s="23" t="s">
        <v>267</v>
      </c>
      <c r="S16" s="23" t="s">
        <v>42</v>
      </c>
      <c r="T16" s="205"/>
      <c r="U16" s="205"/>
      <c r="W16" s="23">
        <v>100</v>
      </c>
      <c r="X16" s="23" t="s">
        <v>295</v>
      </c>
      <c r="Y16" s="4"/>
      <c r="AA16" s="23">
        <v>100</v>
      </c>
      <c r="AB16" s="23" t="s">
        <v>278</v>
      </c>
      <c r="AC16" s="23"/>
      <c r="AE16" s="23">
        <v>500</v>
      </c>
      <c r="AF16" s="23" t="s">
        <v>143</v>
      </c>
      <c r="AG16" s="23"/>
      <c r="AI16" s="23">
        <v>11290</v>
      </c>
      <c r="AJ16" s="52" t="s">
        <v>172</v>
      </c>
      <c r="AK16" s="4"/>
      <c r="AM16" s="23">
        <v>150</v>
      </c>
      <c r="AN16" s="23" t="s">
        <v>143</v>
      </c>
      <c r="AO16" s="4" t="s">
        <v>370</v>
      </c>
      <c r="AQ16" s="4">
        <v>50</v>
      </c>
      <c r="AR16" s="4" t="s">
        <v>181</v>
      </c>
      <c r="AS16" s="4" t="s">
        <v>135</v>
      </c>
      <c r="AU16" s="137">
        <v>115</v>
      </c>
      <c r="AV16" s="137" t="s">
        <v>180</v>
      </c>
      <c r="AW16" s="213"/>
      <c r="AY16" s="117">
        <v>10</v>
      </c>
      <c r="AZ16" s="4" t="s">
        <v>185</v>
      </c>
      <c r="BA16" s="4"/>
      <c r="BC16" s="117">
        <v>100</v>
      </c>
      <c r="BD16" s="117" t="s">
        <v>479</v>
      </c>
      <c r="BE16" s="4"/>
      <c r="BG16" s="117">
        <v>72</v>
      </c>
      <c r="BH16" s="117" t="s">
        <v>184</v>
      </c>
      <c r="BI16" s="4"/>
      <c r="BK16" s="120">
        <v>20</v>
      </c>
      <c r="BL16" s="120" t="s">
        <v>168</v>
      </c>
      <c r="BM16" s="120"/>
      <c r="BO16" s="120">
        <v>60</v>
      </c>
      <c r="BP16" s="120" t="s">
        <v>184</v>
      </c>
      <c r="BQ16" s="23"/>
    </row>
    <row r="17" spans="1:69" x14ac:dyDescent="0.25">
      <c r="A17" s="27">
        <v>18717</v>
      </c>
      <c r="B17" s="27" t="s">
        <v>172</v>
      </c>
      <c r="C17" s="4"/>
      <c r="E17" s="4"/>
      <c r="F17" s="23">
        <f>50+30</f>
        <v>80</v>
      </c>
      <c r="G17" s="23" t="s">
        <v>165</v>
      </c>
      <c r="I17" s="23">
        <v>350</v>
      </c>
      <c r="J17" s="23" t="s">
        <v>146</v>
      </c>
      <c r="M17" s="23">
        <v>515</v>
      </c>
      <c r="N17" s="23" t="s">
        <v>175</v>
      </c>
      <c r="O17" s="37"/>
      <c r="Q17" s="23">
        <v>30</v>
      </c>
      <c r="R17" s="23" t="s">
        <v>184</v>
      </c>
      <c r="S17" s="23" t="s">
        <v>67</v>
      </c>
      <c r="T17" s="205"/>
      <c r="U17" s="205"/>
      <c r="W17" s="23">
        <v>100</v>
      </c>
      <c r="X17" s="23" t="s">
        <v>278</v>
      </c>
      <c r="Y17" s="4"/>
      <c r="AA17" s="23">
        <v>50</v>
      </c>
      <c r="AB17" s="23" t="s">
        <v>168</v>
      </c>
      <c r="AC17" s="23"/>
      <c r="AE17" s="23">
        <v>1000</v>
      </c>
      <c r="AF17" s="23" t="s">
        <v>342</v>
      </c>
      <c r="AG17" s="23"/>
      <c r="AI17" s="4"/>
      <c r="AJ17" s="23"/>
      <c r="AK17" s="4"/>
      <c r="AM17" s="23">
        <v>150</v>
      </c>
      <c r="AN17" s="23" t="s">
        <v>367</v>
      </c>
      <c r="AO17" s="4" t="s">
        <v>370</v>
      </c>
      <c r="AQ17" s="112"/>
      <c r="AR17" s="112" t="s">
        <v>153</v>
      </c>
      <c r="AS17" s="4" t="s">
        <v>135</v>
      </c>
      <c r="AU17" s="137">
        <v>80</v>
      </c>
      <c r="AV17" s="137" t="s">
        <v>180</v>
      </c>
      <c r="AW17" s="213"/>
      <c r="AY17" s="117">
        <v>10</v>
      </c>
      <c r="AZ17" s="4" t="s">
        <v>493</v>
      </c>
      <c r="BA17" s="4"/>
      <c r="BC17" s="117">
        <v>100</v>
      </c>
      <c r="BD17" s="117" t="s">
        <v>368</v>
      </c>
      <c r="BE17" s="4"/>
      <c r="BG17" s="117">
        <v>72</v>
      </c>
      <c r="BH17" s="117" t="s">
        <v>168</v>
      </c>
      <c r="BI17" s="4"/>
      <c r="BK17" s="120">
        <v>10</v>
      </c>
      <c r="BL17" s="120" t="s">
        <v>309</v>
      </c>
      <c r="BM17" s="120"/>
      <c r="BO17" s="120">
        <v>60</v>
      </c>
      <c r="BP17" s="120" t="s">
        <v>168</v>
      </c>
      <c r="BQ17" s="23"/>
    </row>
    <row r="18" spans="1:69" x14ac:dyDescent="0.25">
      <c r="A18" s="23">
        <f>18797-18717</f>
        <v>80</v>
      </c>
      <c r="B18" s="23" t="s">
        <v>303</v>
      </c>
      <c r="C18" s="4"/>
      <c r="E18" s="4"/>
      <c r="F18" s="23">
        <v>10</v>
      </c>
      <c r="G18" s="23" t="s">
        <v>166</v>
      </c>
      <c r="I18" s="23">
        <v>300</v>
      </c>
      <c r="J18" s="23" t="s">
        <v>182</v>
      </c>
      <c r="M18" s="23"/>
      <c r="N18" s="23"/>
      <c r="O18" s="37"/>
      <c r="Q18" s="23">
        <v>10</v>
      </c>
      <c r="R18" s="23" t="s">
        <v>268</v>
      </c>
      <c r="S18" s="23"/>
      <c r="T18" s="205"/>
      <c r="U18" s="205"/>
      <c r="W18" s="23">
        <v>6493</v>
      </c>
      <c r="X18" s="23" t="s">
        <v>289</v>
      </c>
      <c r="Y18" s="4"/>
      <c r="AA18" s="23">
        <v>15</v>
      </c>
      <c r="AB18" s="23" t="s">
        <v>111</v>
      </c>
      <c r="AC18" s="23"/>
      <c r="AE18" s="23">
        <v>100</v>
      </c>
      <c r="AF18" s="23" t="s">
        <v>278</v>
      </c>
      <c r="AG18" s="23"/>
      <c r="AM18" s="23">
        <v>25</v>
      </c>
      <c r="AN18" s="23" t="s">
        <v>372</v>
      </c>
      <c r="AO18" s="4" t="s">
        <v>370</v>
      </c>
      <c r="AQ18" s="4">
        <v>10</v>
      </c>
      <c r="AR18" s="4" t="s">
        <v>111</v>
      </c>
      <c r="AS18" s="4" t="s">
        <v>370</v>
      </c>
      <c r="AU18" s="137">
        <v>50</v>
      </c>
      <c r="AV18" s="137" t="s">
        <v>180</v>
      </c>
      <c r="AW18" s="213"/>
      <c r="AY18" s="117">
        <v>10</v>
      </c>
      <c r="AZ18" s="4" t="s">
        <v>184</v>
      </c>
      <c r="BA18" s="4"/>
      <c r="BC18" s="117">
        <v>30</v>
      </c>
      <c r="BD18" s="117" t="s">
        <v>309</v>
      </c>
      <c r="BE18" s="4"/>
      <c r="BG18" s="117">
        <v>30</v>
      </c>
      <c r="BH18" s="117" t="s">
        <v>168</v>
      </c>
      <c r="BI18" s="4"/>
      <c r="BK18" s="120">
        <v>50</v>
      </c>
      <c r="BL18" s="120" t="s">
        <v>548</v>
      </c>
      <c r="BM18" s="120"/>
      <c r="BO18" s="120">
        <v>60</v>
      </c>
      <c r="BP18" s="120" t="s">
        <v>309</v>
      </c>
      <c r="BQ18" s="23"/>
    </row>
    <row r="19" spans="1:69" ht="18.75" x14ac:dyDescent="0.25">
      <c r="E19" s="4"/>
      <c r="F19" s="23">
        <v>10</v>
      </c>
      <c r="G19" s="23" t="s">
        <v>167</v>
      </c>
      <c r="I19" s="23">
        <v>100</v>
      </c>
      <c r="J19" s="23" t="s">
        <v>183</v>
      </c>
      <c r="M19" s="23">
        <v>2000</v>
      </c>
      <c r="N19" s="23" t="s">
        <v>168</v>
      </c>
      <c r="O19" s="37" t="s">
        <v>276</v>
      </c>
      <c r="Q19" s="23">
        <v>100</v>
      </c>
      <c r="R19" s="23" t="s">
        <v>269</v>
      </c>
      <c r="S19" s="23"/>
      <c r="T19" s="205"/>
      <c r="U19" s="205"/>
      <c r="W19" s="42">
        <f>SUM(W5:W18)</f>
        <v>29288</v>
      </c>
      <c r="X19" s="42" t="s">
        <v>47</v>
      </c>
      <c r="Y19" s="4"/>
      <c r="AA19" s="23"/>
      <c r="AB19" s="23" t="s">
        <v>168</v>
      </c>
      <c r="AC19" s="23" t="s">
        <v>319</v>
      </c>
      <c r="AE19" s="23">
        <v>500</v>
      </c>
      <c r="AF19" s="23" t="s">
        <v>182</v>
      </c>
      <c r="AG19" s="23"/>
      <c r="AM19" s="23">
        <v>15</v>
      </c>
      <c r="AN19" s="23" t="s">
        <v>198</v>
      </c>
      <c r="AO19" s="4"/>
      <c r="AQ19" s="4">
        <v>200</v>
      </c>
      <c r="AR19" s="4" t="s">
        <v>368</v>
      </c>
      <c r="AS19" s="4" t="s">
        <v>370</v>
      </c>
      <c r="AU19" s="137">
        <v>215</v>
      </c>
      <c r="AV19" s="137" t="s">
        <v>180</v>
      </c>
      <c r="AW19" s="214"/>
      <c r="AY19" s="117">
        <v>50</v>
      </c>
      <c r="AZ19" s="4" t="s">
        <v>501</v>
      </c>
      <c r="BA19" s="4"/>
      <c r="BC19" s="117">
        <v>50</v>
      </c>
      <c r="BD19" s="117" t="s">
        <v>168</v>
      </c>
      <c r="BE19" s="4"/>
      <c r="BG19" s="117">
        <v>100</v>
      </c>
      <c r="BH19" s="117" t="s">
        <v>278</v>
      </c>
      <c r="BI19" s="4"/>
      <c r="BK19" s="120">
        <v>500</v>
      </c>
      <c r="BL19" s="120" t="s">
        <v>168</v>
      </c>
      <c r="BM19" s="120"/>
      <c r="BO19" s="120">
        <v>60</v>
      </c>
      <c r="BP19" s="120" t="s">
        <v>368</v>
      </c>
      <c r="BQ19" s="23"/>
    </row>
    <row r="20" spans="1:69" ht="18.75" x14ac:dyDescent="0.25">
      <c r="E20" s="4"/>
      <c r="F20" s="23">
        <v>10</v>
      </c>
      <c r="G20" s="23" t="s">
        <v>146</v>
      </c>
      <c r="I20" s="23">
        <v>125</v>
      </c>
      <c r="J20" s="23" t="s">
        <v>168</v>
      </c>
      <c r="M20" s="23">
        <v>1275</v>
      </c>
      <c r="N20" s="23" t="s">
        <v>201</v>
      </c>
      <c r="O20" s="37"/>
      <c r="Q20" s="23">
        <v>10</v>
      </c>
      <c r="R20" s="23" t="s">
        <v>143</v>
      </c>
      <c r="S20" s="23" t="s">
        <v>198</v>
      </c>
      <c r="T20" s="205"/>
      <c r="U20" s="205"/>
      <c r="W20" s="42">
        <v>29288.75</v>
      </c>
      <c r="X20" s="42" t="s">
        <v>172</v>
      </c>
      <c r="Y20" s="4"/>
      <c r="AA20" s="23"/>
      <c r="AB20" s="23" t="s">
        <v>320</v>
      </c>
      <c r="AC20" s="23" t="s">
        <v>112</v>
      </c>
      <c r="AE20" s="23">
        <v>2000</v>
      </c>
      <c r="AF20" s="23" t="s">
        <v>80</v>
      </c>
      <c r="AG20" s="23"/>
      <c r="AM20" s="23">
        <v>50</v>
      </c>
      <c r="AN20" s="23" t="s">
        <v>368</v>
      </c>
      <c r="AO20" s="4" t="s">
        <v>370</v>
      </c>
      <c r="AQ20" s="4">
        <v>500</v>
      </c>
      <c r="AR20" s="4" t="s">
        <v>439</v>
      </c>
      <c r="AS20" s="4" t="s">
        <v>370</v>
      </c>
      <c r="AU20" s="117">
        <v>300</v>
      </c>
      <c r="AV20" s="117" t="s">
        <v>368</v>
      </c>
      <c r="AW20" s="4"/>
      <c r="AY20" s="138">
        <v>360</v>
      </c>
      <c r="AZ20" s="138" t="s">
        <v>443</v>
      </c>
      <c r="BA20" s="4"/>
      <c r="BC20" s="117">
        <v>50</v>
      </c>
      <c r="BD20" s="117" t="s">
        <v>168</v>
      </c>
      <c r="BE20" s="4"/>
      <c r="BG20" s="117">
        <v>50</v>
      </c>
      <c r="BH20" s="117" t="s">
        <v>153</v>
      </c>
      <c r="BI20" s="4" t="s">
        <v>526</v>
      </c>
      <c r="BK20" s="120">
        <v>100</v>
      </c>
      <c r="BL20" s="120" t="s">
        <v>278</v>
      </c>
      <c r="BM20" s="120"/>
      <c r="BO20" s="23">
        <v>3183</v>
      </c>
      <c r="BP20" s="23" t="s">
        <v>28</v>
      </c>
      <c r="BQ20" s="23"/>
    </row>
    <row r="21" spans="1:69" ht="18.75" x14ac:dyDescent="0.25">
      <c r="E21" s="4"/>
      <c r="F21" s="23">
        <v>30</v>
      </c>
      <c r="G21" s="23" t="s">
        <v>168</v>
      </c>
      <c r="I21" s="23">
        <v>125</v>
      </c>
      <c r="J21" s="23" t="s">
        <v>153</v>
      </c>
      <c r="M21" s="42">
        <f>SUM(M5:M20)</f>
        <v>18330</v>
      </c>
      <c r="N21" s="42" t="s">
        <v>47</v>
      </c>
      <c r="O21" s="37"/>
      <c r="Q21" s="23">
        <v>195</v>
      </c>
      <c r="R21" s="23" t="s">
        <v>10</v>
      </c>
      <c r="S21" s="23" t="s">
        <v>274</v>
      </c>
      <c r="T21" s="205"/>
      <c r="U21" s="205"/>
      <c r="AA21" s="23"/>
      <c r="AB21" s="23" t="s">
        <v>321</v>
      </c>
      <c r="AC21" s="23" t="s">
        <v>319</v>
      </c>
      <c r="AE21" s="120">
        <f>145+125+120</f>
        <v>390</v>
      </c>
      <c r="AF21" s="120" t="s">
        <v>340</v>
      </c>
      <c r="AG21" s="23"/>
      <c r="AJ21">
        <f>335+40</f>
        <v>375</v>
      </c>
      <c r="AM21" s="23">
        <v>100</v>
      </c>
      <c r="AN21" s="23" t="s">
        <v>184</v>
      </c>
      <c r="AO21" s="4" t="s">
        <v>370</v>
      </c>
      <c r="AQ21" s="4">
        <v>500</v>
      </c>
      <c r="AR21" s="4" t="s">
        <v>436</v>
      </c>
      <c r="AS21" s="4"/>
      <c r="AU21" s="117">
        <v>200</v>
      </c>
      <c r="AV21" s="117" t="s">
        <v>475</v>
      </c>
      <c r="AW21" s="4"/>
      <c r="AY21" s="138">
        <v>432</v>
      </c>
      <c r="AZ21" s="138" t="s">
        <v>444</v>
      </c>
      <c r="BA21" s="4"/>
      <c r="BC21" s="117">
        <v>200</v>
      </c>
      <c r="BD21" s="117" t="s">
        <v>437</v>
      </c>
      <c r="BE21" s="4"/>
      <c r="BG21" s="4">
        <v>60</v>
      </c>
      <c r="BH21" s="4" t="s">
        <v>535</v>
      </c>
      <c r="BI21" s="4"/>
      <c r="BK21" s="120">
        <v>50</v>
      </c>
      <c r="BL21" s="120" t="s">
        <v>549</v>
      </c>
      <c r="BM21" s="120" t="s">
        <v>526</v>
      </c>
      <c r="BO21" s="120">
        <v>100</v>
      </c>
      <c r="BP21" s="120" t="s">
        <v>278</v>
      </c>
      <c r="BQ21" s="23"/>
    </row>
    <row r="22" spans="1:69" ht="18.75" x14ac:dyDescent="0.25">
      <c r="E22" s="4"/>
      <c r="F22" s="23">
        <v>200</v>
      </c>
      <c r="G22" s="23" t="s">
        <v>169</v>
      </c>
      <c r="I22" s="23">
        <v>125</v>
      </c>
      <c r="J22" s="23" t="s">
        <v>184</v>
      </c>
      <c r="M22" s="42">
        <v>18342</v>
      </c>
      <c r="N22" s="42" t="s">
        <v>172</v>
      </c>
      <c r="O22" s="37"/>
      <c r="Q22" s="23">
        <v>2200</v>
      </c>
      <c r="R22" s="23" t="s">
        <v>188</v>
      </c>
      <c r="S22" s="23"/>
      <c r="T22" s="205"/>
      <c r="U22" s="205"/>
      <c r="AA22" s="23">
        <f>3753-500</f>
        <v>3253</v>
      </c>
      <c r="AB22" s="23" t="s">
        <v>322</v>
      </c>
      <c r="AC22" s="23"/>
      <c r="AE22" s="23"/>
      <c r="AF22" s="23" t="s">
        <v>112</v>
      </c>
      <c r="AG22" s="23" t="s">
        <v>181</v>
      </c>
      <c r="AM22" s="23">
        <v>4650</v>
      </c>
      <c r="AN22" s="23" t="s">
        <v>188</v>
      </c>
      <c r="AO22" s="4"/>
      <c r="AQ22" s="4">
        <v>15</v>
      </c>
      <c r="AR22" s="4" t="s">
        <v>268</v>
      </c>
      <c r="AS22" s="4" t="s">
        <v>370</v>
      </c>
      <c r="AU22" s="117">
        <v>500</v>
      </c>
      <c r="AV22" s="117" t="s">
        <v>111</v>
      </c>
      <c r="AW22" s="4"/>
      <c r="AY22" s="117">
        <v>504</v>
      </c>
      <c r="AZ22" s="4" t="s">
        <v>502</v>
      </c>
      <c r="BA22" s="4"/>
      <c r="BC22" s="117">
        <v>1000</v>
      </c>
      <c r="BD22" s="117" t="s">
        <v>150</v>
      </c>
      <c r="BE22" s="4"/>
      <c r="BG22" s="4">
        <v>1460</v>
      </c>
      <c r="BH22" s="4" t="s">
        <v>107</v>
      </c>
      <c r="BI22" s="4" t="s">
        <v>528</v>
      </c>
      <c r="BK22" s="135">
        <v>3100</v>
      </c>
      <c r="BL22" s="135" t="s">
        <v>80</v>
      </c>
      <c r="BM22" s="135"/>
      <c r="BO22" s="120">
        <v>50</v>
      </c>
      <c r="BP22" s="120" t="s">
        <v>556</v>
      </c>
      <c r="BQ22" s="23" t="s">
        <v>526</v>
      </c>
    </row>
    <row r="23" spans="1:69" ht="15.75" x14ac:dyDescent="0.25">
      <c r="E23" s="4"/>
      <c r="F23" s="38">
        <f>SUM(F5:F22)</f>
        <v>26915</v>
      </c>
      <c r="G23" s="38" t="s">
        <v>47</v>
      </c>
      <c r="I23" s="23">
        <v>100</v>
      </c>
      <c r="J23" s="23" t="s">
        <v>185</v>
      </c>
      <c r="M23" s="23">
        <v>12</v>
      </c>
      <c r="N23" s="23" t="s">
        <v>202</v>
      </c>
      <c r="O23" s="37"/>
      <c r="Q23" s="27">
        <f>SUM(Q5:Q22)</f>
        <v>19645</v>
      </c>
      <c r="R23" s="27" t="s">
        <v>47</v>
      </c>
      <c r="S23" s="23"/>
      <c r="T23" s="205"/>
      <c r="U23" s="205"/>
      <c r="AA23" s="27">
        <f>SUM(AA4:AA22)</f>
        <v>15538</v>
      </c>
      <c r="AB23" s="27" t="s">
        <v>47</v>
      </c>
      <c r="AC23" s="23"/>
      <c r="AE23" s="23"/>
      <c r="AF23" s="23" t="s">
        <v>343</v>
      </c>
      <c r="AG23" s="23" t="s">
        <v>111</v>
      </c>
      <c r="AI23">
        <f>300+390</f>
        <v>690</v>
      </c>
      <c r="AM23" s="38">
        <f>SUM(AM3:AM22)</f>
        <v>16695</v>
      </c>
      <c r="AN23" s="66" t="s">
        <v>47</v>
      </c>
      <c r="AO23" s="4"/>
      <c r="AQ23" s="4">
        <v>80</v>
      </c>
      <c r="AR23" s="4" t="s">
        <v>437</v>
      </c>
      <c r="AS23" s="4" t="s">
        <v>135</v>
      </c>
      <c r="AU23" s="117">
        <v>500</v>
      </c>
      <c r="AV23" s="117" t="s">
        <v>481</v>
      </c>
      <c r="AW23" s="4"/>
      <c r="AY23" s="187">
        <f>150+630</f>
        <v>780</v>
      </c>
      <c r="AZ23" s="186" t="s">
        <v>495</v>
      </c>
      <c r="BA23" s="186" t="s">
        <v>369</v>
      </c>
      <c r="BC23" s="117">
        <v>60</v>
      </c>
      <c r="BD23" s="117" t="s">
        <v>523</v>
      </c>
      <c r="BE23" s="4"/>
      <c r="BG23" s="4">
        <v>200</v>
      </c>
      <c r="BH23" s="4" t="s">
        <v>187</v>
      </c>
      <c r="BI23" s="4"/>
      <c r="BK23" s="135">
        <v>210</v>
      </c>
      <c r="BL23" s="135" t="s">
        <v>107</v>
      </c>
      <c r="BM23" s="135" t="s">
        <v>555</v>
      </c>
      <c r="BO23" s="38">
        <f>SUM(BO4:BO22)</f>
        <v>15933</v>
      </c>
      <c r="BP23" s="38" t="s">
        <v>47</v>
      </c>
      <c r="BQ23" s="23"/>
    </row>
    <row r="24" spans="1:69" ht="15.75" x14ac:dyDescent="0.25">
      <c r="B24" s="202"/>
      <c r="C24" s="202"/>
      <c r="E24" s="4"/>
      <c r="F24" s="38">
        <v>26073</v>
      </c>
      <c r="G24" s="38" t="s">
        <v>172</v>
      </c>
      <c r="I24" s="23">
        <v>25</v>
      </c>
      <c r="J24" s="23" t="s">
        <v>184</v>
      </c>
      <c r="M24" s="37"/>
      <c r="N24" s="37"/>
      <c r="O24" s="37"/>
      <c r="Q24" s="27">
        <v>19450</v>
      </c>
      <c r="R24" s="27" t="s">
        <v>275</v>
      </c>
      <c r="S24" s="23"/>
      <c r="T24" s="205"/>
      <c r="U24" s="205"/>
      <c r="AA24" s="27">
        <v>15538</v>
      </c>
      <c r="AB24" s="27" t="s">
        <v>323</v>
      </c>
      <c r="AC24" s="7"/>
      <c r="AE24" s="23">
        <v>70</v>
      </c>
      <c r="AF24" s="23" t="s">
        <v>262</v>
      </c>
      <c r="AG24" s="23"/>
      <c r="AM24" s="38">
        <v>16695</v>
      </c>
      <c r="AN24" s="38" t="s">
        <v>375</v>
      </c>
      <c r="AO24" s="4"/>
      <c r="AQ24" s="4">
        <v>1500</v>
      </c>
      <c r="AR24" s="4" t="s">
        <v>438</v>
      </c>
      <c r="AS24" s="4" t="s">
        <v>450</v>
      </c>
      <c r="AU24" s="117">
        <v>1000</v>
      </c>
      <c r="AV24" s="117" t="s">
        <v>278</v>
      </c>
      <c r="AW24" s="4"/>
      <c r="AY24" s="4">
        <v>7164</v>
      </c>
      <c r="AZ24" s="4" t="s">
        <v>28</v>
      </c>
      <c r="BA24" s="4"/>
      <c r="BC24" s="4">
        <v>30</v>
      </c>
      <c r="BD24" s="4" t="s">
        <v>524</v>
      </c>
      <c r="BE24" s="4"/>
      <c r="BG24" s="112">
        <v>450</v>
      </c>
      <c r="BH24" s="112" t="s">
        <v>333</v>
      </c>
      <c r="BI24" s="112" t="s">
        <v>196</v>
      </c>
      <c r="BK24" s="23">
        <v>6832</v>
      </c>
      <c r="BL24" s="23" t="s">
        <v>550</v>
      </c>
      <c r="BM24" s="23"/>
      <c r="BO24" s="38">
        <v>15933</v>
      </c>
      <c r="BP24" s="38" t="s">
        <v>448</v>
      </c>
      <c r="BQ24" s="23"/>
    </row>
    <row r="25" spans="1:69" x14ac:dyDescent="0.25">
      <c r="E25" s="4"/>
      <c r="F25" s="23">
        <v>842</v>
      </c>
      <c r="G25" s="23" t="s">
        <v>174</v>
      </c>
      <c r="I25" s="23">
        <v>25</v>
      </c>
      <c r="J25" s="23" t="s">
        <v>146</v>
      </c>
      <c r="P25" s="51"/>
      <c r="Q25" s="23">
        <f>Q23-Q24</f>
        <v>195</v>
      </c>
      <c r="R25" s="23" t="s">
        <v>174</v>
      </c>
      <c r="S25" s="4"/>
      <c r="T25" s="4"/>
      <c r="U25" s="4"/>
      <c r="AE25" s="23">
        <v>1540</v>
      </c>
      <c r="AF25" s="23" t="s">
        <v>344</v>
      </c>
      <c r="AG25" s="23"/>
      <c r="AQ25" s="4">
        <v>7000</v>
      </c>
      <c r="AR25" s="4" t="s">
        <v>103</v>
      </c>
      <c r="AS25" s="4" t="s">
        <v>374</v>
      </c>
      <c r="AU25" s="117">
        <v>50</v>
      </c>
      <c r="AV25" s="117" t="s">
        <v>153</v>
      </c>
      <c r="AW25" s="4"/>
      <c r="AY25" s="186">
        <f>175+40+55</f>
        <v>270</v>
      </c>
      <c r="AZ25" s="186" t="s">
        <v>443</v>
      </c>
      <c r="BA25" s="186" t="s">
        <v>369</v>
      </c>
      <c r="BC25" s="117">
        <v>50</v>
      </c>
      <c r="BD25" s="117" t="s">
        <v>525</v>
      </c>
      <c r="BE25" s="4" t="s">
        <v>526</v>
      </c>
      <c r="BG25" s="4">
        <v>3310</v>
      </c>
      <c r="BH25" s="4" t="s">
        <v>536</v>
      </c>
      <c r="BI25" s="4"/>
      <c r="BK25" s="27">
        <f>SUM(BK4:BK24)</f>
        <v>14436</v>
      </c>
      <c r="BL25" s="27" t="s">
        <v>47</v>
      </c>
      <c r="BM25" s="23"/>
      <c r="BP25" s="23" t="s">
        <v>557</v>
      </c>
    </row>
    <row r="26" spans="1:69" ht="15.75" x14ac:dyDescent="0.25">
      <c r="E26" s="4"/>
      <c r="F26" s="23">
        <v>1500</v>
      </c>
      <c r="G26" s="54" t="s">
        <v>311</v>
      </c>
      <c r="I26" s="23">
        <v>800</v>
      </c>
      <c r="J26" s="23" t="s">
        <v>186</v>
      </c>
      <c r="P26" s="51"/>
      <c r="Q26" s="51"/>
      <c r="R26" s="51"/>
      <c r="AE26" s="38">
        <f>SUM(AE4:AE25)</f>
        <v>16460</v>
      </c>
      <c r="AF26" s="38" t="s">
        <v>345</v>
      </c>
      <c r="AG26" s="23"/>
      <c r="AQ26" s="4">
        <v>1428</v>
      </c>
      <c r="AR26" s="4" t="s">
        <v>439</v>
      </c>
      <c r="AS26" s="4" t="s">
        <v>370</v>
      </c>
      <c r="AU26" s="117">
        <v>100</v>
      </c>
      <c r="AV26" s="117" t="s">
        <v>278</v>
      </c>
      <c r="AW26" s="4"/>
      <c r="AY26" s="118">
        <f>SUM(AY4:AY25)</f>
        <v>17086</v>
      </c>
      <c r="AZ26" s="4" t="s">
        <v>47</v>
      </c>
      <c r="BA26" s="4"/>
      <c r="BC26" s="117">
        <v>100</v>
      </c>
      <c r="BD26" s="117" t="s">
        <v>278</v>
      </c>
      <c r="BE26" s="4" t="s">
        <v>526</v>
      </c>
      <c r="BG26" s="4">
        <v>4120</v>
      </c>
      <c r="BH26" s="4" t="s">
        <v>28</v>
      </c>
      <c r="BI26" s="4"/>
      <c r="BK26" s="27">
        <v>14436</v>
      </c>
      <c r="BL26" s="27" t="s">
        <v>551</v>
      </c>
      <c r="BM26" s="23"/>
      <c r="BP26" s="23" t="s">
        <v>558</v>
      </c>
    </row>
    <row r="27" spans="1:69" ht="15.75" x14ac:dyDescent="0.25">
      <c r="F27" s="30"/>
      <c r="G27" s="36"/>
      <c r="I27" s="23">
        <v>150</v>
      </c>
      <c r="J27" s="23" t="s">
        <v>187</v>
      </c>
      <c r="AE27" s="38">
        <v>16422</v>
      </c>
      <c r="AF27" s="38" t="s">
        <v>346</v>
      </c>
      <c r="AG27" s="23"/>
      <c r="AN27" s="108">
        <f>AM7+AM10+AM11</f>
        <v>580</v>
      </c>
      <c r="AQ27" s="4">
        <v>4201</v>
      </c>
      <c r="AR27" s="4" t="s">
        <v>28</v>
      </c>
      <c r="AS27" s="4" t="s">
        <v>449</v>
      </c>
      <c r="AU27" s="117">
        <v>85</v>
      </c>
      <c r="AV27" s="117" t="s">
        <v>182</v>
      </c>
      <c r="AW27" s="4"/>
      <c r="AY27" s="118">
        <v>17086</v>
      </c>
      <c r="AZ27" s="4" t="s">
        <v>172</v>
      </c>
      <c r="BA27" s="4"/>
      <c r="BC27" s="118">
        <v>100</v>
      </c>
      <c r="BD27" s="118" t="s">
        <v>519</v>
      </c>
      <c r="BE27" s="4" t="s">
        <v>527</v>
      </c>
      <c r="BG27" s="27">
        <f>SUM(BG4:BG26)</f>
        <v>13545</v>
      </c>
      <c r="BH27" s="27" t="s">
        <v>47</v>
      </c>
      <c r="BI27" s="4"/>
      <c r="BL27" s="23" t="s">
        <v>552</v>
      </c>
      <c r="BP27" s="30"/>
    </row>
    <row r="28" spans="1:69" x14ac:dyDescent="0.25">
      <c r="G28" s="36"/>
      <c r="I28" s="23">
        <v>1955</v>
      </c>
      <c r="J28" s="40" t="s">
        <v>188</v>
      </c>
      <c r="AE28" s="23">
        <f>AE26-AE27</f>
        <v>38</v>
      </c>
      <c r="AF28" s="23" t="s">
        <v>189</v>
      </c>
      <c r="AG28" s="23"/>
      <c r="AQ28" s="113">
        <f>SUM(AQ4:AQ27)</f>
        <v>17244</v>
      </c>
      <c r="AR28" s="113" t="s">
        <v>47</v>
      </c>
      <c r="AS28" s="4"/>
      <c r="AU28" s="117">
        <v>10</v>
      </c>
      <c r="AV28" s="117" t="s">
        <v>328</v>
      </c>
      <c r="AW28" s="4"/>
      <c r="BC28" s="126">
        <v>1282</v>
      </c>
      <c r="BD28" s="126" t="s">
        <v>107</v>
      </c>
      <c r="BE28" s="4" t="s">
        <v>528</v>
      </c>
      <c r="BG28" s="27">
        <v>13543</v>
      </c>
      <c r="BH28" s="27" t="s">
        <v>448</v>
      </c>
      <c r="BI28" s="4"/>
      <c r="BL28" s="23" t="s">
        <v>553</v>
      </c>
      <c r="BQ28">
        <f>SUM(BO8:BO19)</f>
        <v>5310</v>
      </c>
    </row>
    <row r="29" spans="1:69" ht="15.75" x14ac:dyDescent="0.25">
      <c r="G29" s="36"/>
      <c r="I29" s="38">
        <f>SUM(I5:I28)</f>
        <v>15215</v>
      </c>
      <c r="J29" s="38" t="s">
        <v>47</v>
      </c>
      <c r="R29">
        <v>3000</v>
      </c>
      <c r="AQ29" s="113">
        <v>17244</v>
      </c>
      <c r="AR29" s="113" t="s">
        <v>448</v>
      </c>
      <c r="AS29" s="4"/>
      <c r="AU29" s="117">
        <v>75</v>
      </c>
      <c r="AV29" s="117" t="s">
        <v>184</v>
      </c>
      <c r="AW29" s="4"/>
      <c r="BC29" s="4">
        <v>200</v>
      </c>
      <c r="BD29" s="4" t="s">
        <v>187</v>
      </c>
      <c r="BE29" s="4"/>
      <c r="BG29" s="202"/>
      <c r="BH29" s="202"/>
      <c r="BI29" s="202"/>
      <c r="BL29" s="23" t="s">
        <v>554</v>
      </c>
    </row>
    <row r="30" spans="1:69" ht="15.75" x14ac:dyDescent="0.25">
      <c r="G30" s="36"/>
      <c r="I30" s="38">
        <v>14969</v>
      </c>
      <c r="J30" s="38" t="s">
        <v>172</v>
      </c>
      <c r="AU30" s="117">
        <v>75</v>
      </c>
      <c r="AV30" s="117" t="s">
        <v>476</v>
      </c>
      <c r="AW30" s="4"/>
      <c r="BC30" s="126">
        <v>6180</v>
      </c>
      <c r="BD30" s="126" t="s">
        <v>103</v>
      </c>
      <c r="BE30" s="4" t="s">
        <v>484</v>
      </c>
      <c r="BG30" s="204" t="s">
        <v>542</v>
      </c>
      <c r="BH30" s="204"/>
      <c r="BI30" s="204"/>
      <c r="BJ30" s="204"/>
    </row>
    <row r="31" spans="1:69" x14ac:dyDescent="0.25">
      <c r="G31" s="36"/>
      <c r="I31" s="23">
        <f>15215-14969</f>
        <v>246</v>
      </c>
      <c r="J31" s="23" t="s">
        <v>189</v>
      </c>
      <c r="AR31">
        <f>135+265</f>
        <v>400</v>
      </c>
      <c r="AU31" s="4">
        <v>3000</v>
      </c>
      <c r="AV31" s="4" t="s">
        <v>477</v>
      </c>
      <c r="AW31" s="4" t="s">
        <v>486</v>
      </c>
      <c r="BC31" s="126">
        <f>785+70</f>
        <v>855</v>
      </c>
      <c r="BD31" s="126" t="s">
        <v>103</v>
      </c>
      <c r="BE31" s="4" t="s">
        <v>451</v>
      </c>
      <c r="BM31">
        <f>SUM(BK9:BK21)</f>
        <v>2912</v>
      </c>
    </row>
    <row r="32" spans="1:69" x14ac:dyDescent="0.25">
      <c r="G32" s="36"/>
      <c r="AU32" s="117">
        <v>80</v>
      </c>
      <c r="AV32" s="117" t="s">
        <v>483</v>
      </c>
      <c r="AW32" s="4"/>
      <c r="BC32" s="4">
        <v>4255</v>
      </c>
      <c r="BD32" s="4" t="s">
        <v>28</v>
      </c>
      <c r="BE32" s="4"/>
    </row>
    <row r="33" spans="3:57" ht="15.75" x14ac:dyDescent="0.25">
      <c r="AU33" s="117">
        <v>15</v>
      </c>
      <c r="AV33" s="117" t="s">
        <v>478</v>
      </c>
      <c r="AW33" s="4"/>
      <c r="BC33" s="66">
        <f>SUM(BC4:BC32)</f>
        <v>20264</v>
      </c>
      <c r="BD33" s="66" t="s">
        <v>330</v>
      </c>
      <c r="BE33" s="4"/>
    </row>
    <row r="34" spans="3:57" ht="15.75" x14ac:dyDescent="0.25">
      <c r="C34" s="194">
        <v>46222</v>
      </c>
      <c r="D34" s="194"/>
      <c r="E34" s="194"/>
      <c r="AU34" s="117">
        <v>60</v>
      </c>
      <c r="AV34" s="117" t="s">
        <v>110</v>
      </c>
      <c r="AW34" s="4"/>
      <c r="BC34" s="66">
        <v>20192</v>
      </c>
      <c r="BD34" s="66" t="s">
        <v>448</v>
      </c>
      <c r="BE34" s="4"/>
    </row>
    <row r="35" spans="3:57" ht="15" customHeight="1" x14ac:dyDescent="0.25">
      <c r="C35" s="194"/>
      <c r="D35" s="194"/>
      <c r="E35" s="194"/>
      <c r="AU35" s="117">
        <v>60</v>
      </c>
      <c r="AV35" s="117" t="s">
        <v>479</v>
      </c>
      <c r="AW35" s="4"/>
      <c r="BC35" s="203"/>
      <c r="BD35" s="203"/>
      <c r="BE35" s="203"/>
    </row>
    <row r="36" spans="3:57" x14ac:dyDescent="0.25">
      <c r="C36" s="70" t="s">
        <v>31</v>
      </c>
      <c r="D36" s="71" t="s">
        <v>39</v>
      </c>
      <c r="E36" s="70" t="s">
        <v>207</v>
      </c>
      <c r="AU36" s="117">
        <v>360</v>
      </c>
      <c r="AV36" s="117" t="s">
        <v>480</v>
      </c>
      <c r="AW36" s="4"/>
    </row>
    <row r="37" spans="3:57" x14ac:dyDescent="0.25">
      <c r="C37" s="23"/>
      <c r="D37" s="28">
        <v>150</v>
      </c>
      <c r="E37" s="23" t="s">
        <v>574</v>
      </c>
      <c r="AU37" s="4">
        <v>5405</v>
      </c>
      <c r="AV37" s="4" t="s">
        <v>482</v>
      </c>
      <c r="AW37" s="4"/>
      <c r="AY37">
        <f>3470-500</f>
        <v>2970</v>
      </c>
      <c r="BD37">
        <f>BC34-BC33</f>
        <v>-72</v>
      </c>
    </row>
    <row r="38" spans="3:57" x14ac:dyDescent="0.25">
      <c r="C38" s="23"/>
      <c r="D38" s="142">
        <v>90</v>
      </c>
      <c r="E38" s="143" t="s">
        <v>591</v>
      </c>
      <c r="AU38" s="118">
        <f>SUM(AU4:AU37)</f>
        <v>23165</v>
      </c>
      <c r="AV38" s="118" t="s">
        <v>47</v>
      </c>
      <c r="AW38" s="4"/>
    </row>
    <row r="39" spans="3:57" x14ac:dyDescent="0.25">
      <c r="C39" s="23"/>
      <c r="D39" s="28">
        <v>200</v>
      </c>
      <c r="E39" s="23" t="s">
        <v>262</v>
      </c>
      <c r="AU39" s="118">
        <v>23165.75</v>
      </c>
      <c r="AV39" s="118" t="s">
        <v>172</v>
      </c>
      <c r="AW39" s="4"/>
    </row>
    <row r="40" spans="3:57" x14ac:dyDescent="0.25">
      <c r="C40" s="23"/>
      <c r="D40" s="144">
        <f>50+70+150+65+255</f>
        <v>590</v>
      </c>
      <c r="E40" s="145" t="s">
        <v>575</v>
      </c>
    </row>
    <row r="41" spans="3:57" x14ac:dyDescent="0.25">
      <c r="C41" s="23"/>
      <c r="D41" s="146">
        <v>80</v>
      </c>
      <c r="E41" s="120" t="s">
        <v>576</v>
      </c>
      <c r="AX41">
        <f>SUM(AU32:AU36)</f>
        <v>575</v>
      </c>
    </row>
    <row r="42" spans="3:57" x14ac:dyDescent="0.25">
      <c r="C42" s="23"/>
      <c r="D42" s="146">
        <v>30</v>
      </c>
      <c r="E42" s="120" t="s">
        <v>478</v>
      </c>
      <c r="AX42">
        <f>SUM(AU20:AU22)</f>
        <v>1000</v>
      </c>
    </row>
    <row r="43" spans="3:57" x14ac:dyDescent="0.25">
      <c r="C43" s="23"/>
      <c r="D43" s="146">
        <v>496</v>
      </c>
      <c r="E43" s="120" t="s">
        <v>577</v>
      </c>
      <c r="AX43">
        <f>SUM(AU24:AU30)</f>
        <v>1395</v>
      </c>
    </row>
    <row r="44" spans="3:57" x14ac:dyDescent="0.25">
      <c r="C44" s="23"/>
      <c r="D44" s="146">
        <v>30</v>
      </c>
      <c r="E44" s="120" t="s">
        <v>368</v>
      </c>
      <c r="AX44">
        <f>SUM(AU7)</f>
        <v>650</v>
      </c>
    </row>
    <row r="45" spans="3:57" x14ac:dyDescent="0.25">
      <c r="C45" s="23"/>
      <c r="D45" s="146">
        <v>100</v>
      </c>
      <c r="E45" s="120" t="s">
        <v>278</v>
      </c>
      <c r="AX45">
        <f>SUM(AX41:AX44)</f>
        <v>3620</v>
      </c>
    </row>
    <row r="46" spans="3:57" x14ac:dyDescent="0.25">
      <c r="C46" s="23"/>
      <c r="D46" s="146">
        <v>50</v>
      </c>
      <c r="E46" s="120" t="s">
        <v>578</v>
      </c>
    </row>
    <row r="47" spans="3:57" x14ac:dyDescent="0.25">
      <c r="C47" s="23"/>
      <c r="D47" s="146">
        <v>50</v>
      </c>
      <c r="E47" s="120" t="s">
        <v>548</v>
      </c>
    </row>
    <row r="48" spans="3:57" x14ac:dyDescent="0.25">
      <c r="C48" s="23"/>
      <c r="D48" s="146">
        <v>25</v>
      </c>
      <c r="E48" s="120" t="s">
        <v>479</v>
      </c>
    </row>
    <row r="49" spans="3:7" x14ac:dyDescent="0.25">
      <c r="C49" s="23"/>
      <c r="D49" s="146">
        <v>10</v>
      </c>
      <c r="E49" s="120" t="s">
        <v>111</v>
      </c>
    </row>
    <row r="50" spans="3:7" x14ac:dyDescent="0.25">
      <c r="C50" s="23"/>
      <c r="D50" s="146">
        <v>75</v>
      </c>
      <c r="E50" s="120" t="s">
        <v>477</v>
      </c>
    </row>
    <row r="51" spans="3:7" x14ac:dyDescent="0.25">
      <c r="C51" s="23"/>
      <c r="D51" s="146">
        <v>30</v>
      </c>
      <c r="E51" s="120" t="s">
        <v>579</v>
      </c>
    </row>
    <row r="52" spans="3:7" x14ac:dyDescent="0.25">
      <c r="C52" s="193" t="s">
        <v>582</v>
      </c>
      <c r="D52" s="141">
        <v>9629</v>
      </c>
      <c r="E52" s="140" t="s">
        <v>482</v>
      </c>
    </row>
    <row r="53" spans="3:7" x14ac:dyDescent="0.25">
      <c r="C53" s="193"/>
      <c r="D53" s="141">
        <f>10250+903</f>
        <v>11153</v>
      </c>
      <c r="E53" s="140" t="s">
        <v>580</v>
      </c>
      <c r="G53" s="148"/>
    </row>
    <row r="54" spans="3:7" x14ac:dyDescent="0.25">
      <c r="C54" s="23"/>
      <c r="D54" s="146">
        <v>90</v>
      </c>
      <c r="E54" s="120" t="s">
        <v>475</v>
      </c>
    </row>
    <row r="55" spans="3:7" x14ac:dyDescent="0.25">
      <c r="C55" s="23"/>
      <c r="D55" s="146">
        <v>200</v>
      </c>
      <c r="E55" s="120" t="s">
        <v>480</v>
      </c>
    </row>
    <row r="56" spans="3:7" x14ac:dyDescent="0.25">
      <c r="C56" s="23"/>
      <c r="D56" s="146">
        <v>20</v>
      </c>
      <c r="E56" s="120" t="s">
        <v>168</v>
      </c>
    </row>
    <row r="57" spans="3:7" x14ac:dyDescent="0.25">
      <c r="C57" s="23"/>
      <c r="D57" s="120">
        <v>10</v>
      </c>
      <c r="E57" s="120" t="s">
        <v>479</v>
      </c>
    </row>
    <row r="58" spans="3:7" x14ac:dyDescent="0.25">
      <c r="C58" s="23"/>
      <c r="D58" s="120">
        <v>10</v>
      </c>
      <c r="E58" s="120" t="s">
        <v>478</v>
      </c>
    </row>
    <row r="59" spans="3:7" x14ac:dyDescent="0.25">
      <c r="C59" s="23"/>
      <c r="D59" s="145">
        <f>110+60</f>
        <v>170</v>
      </c>
      <c r="E59" s="145" t="s">
        <v>581</v>
      </c>
    </row>
    <row r="60" spans="3:7" x14ac:dyDescent="0.25">
      <c r="C60" s="23"/>
      <c r="D60" s="7">
        <v>120</v>
      </c>
      <c r="E60" s="7" t="s">
        <v>584</v>
      </c>
    </row>
    <row r="61" spans="3:7" x14ac:dyDescent="0.25">
      <c r="C61" s="54"/>
      <c r="D61" s="128">
        <f>SUM(D37:D60)</f>
        <v>23408</v>
      </c>
      <c r="E61" s="128" t="s">
        <v>47</v>
      </c>
    </row>
    <row r="62" spans="3:7" x14ac:dyDescent="0.25">
      <c r="C62" s="54"/>
      <c r="D62" s="128">
        <v>23432</v>
      </c>
      <c r="E62" s="128" t="s">
        <v>448</v>
      </c>
    </row>
    <row r="63" spans="3:7" x14ac:dyDescent="0.25">
      <c r="C63" s="54"/>
      <c r="D63" s="7">
        <v>24</v>
      </c>
      <c r="E63" s="23" t="s">
        <v>202</v>
      </c>
    </row>
    <row r="64" spans="3:7" x14ac:dyDescent="0.25">
      <c r="C64" s="195" t="s">
        <v>583</v>
      </c>
      <c r="D64" s="195"/>
      <c r="E64" s="195"/>
    </row>
    <row r="68" spans="3:5" x14ac:dyDescent="0.25">
      <c r="C68" s="192">
        <v>46223</v>
      </c>
      <c r="D68" s="192"/>
      <c r="E68" s="192"/>
    </row>
    <row r="69" spans="3:5" x14ac:dyDescent="0.25">
      <c r="C69" s="192"/>
      <c r="D69" s="192"/>
      <c r="E69" s="192"/>
    </row>
    <row r="70" spans="3:5" ht="15.75" x14ac:dyDescent="0.25">
      <c r="C70" s="25" t="s">
        <v>31</v>
      </c>
      <c r="D70" s="25" t="s">
        <v>594</v>
      </c>
      <c r="E70" s="25" t="s">
        <v>593</v>
      </c>
    </row>
    <row r="71" spans="3:5" ht="15.75" x14ac:dyDescent="0.25">
      <c r="C71" s="25"/>
      <c r="D71" s="120">
        <v>410</v>
      </c>
      <c r="E71" s="120" t="s">
        <v>168</v>
      </c>
    </row>
    <row r="72" spans="3:5" ht="15.75" x14ac:dyDescent="0.25">
      <c r="C72" s="25"/>
      <c r="D72" s="120">
        <v>10</v>
      </c>
      <c r="E72" s="120" t="s">
        <v>475</v>
      </c>
    </row>
    <row r="73" spans="3:5" ht="15.75" x14ac:dyDescent="0.25">
      <c r="C73" s="25"/>
      <c r="D73" s="120">
        <v>700</v>
      </c>
      <c r="E73" s="120" t="s">
        <v>579</v>
      </c>
    </row>
    <row r="74" spans="3:5" ht="15.75" x14ac:dyDescent="0.25">
      <c r="C74" s="25"/>
      <c r="D74" s="120">
        <v>500</v>
      </c>
      <c r="E74" s="120" t="s">
        <v>181</v>
      </c>
    </row>
    <row r="75" spans="3:5" ht="15.75" x14ac:dyDescent="0.25">
      <c r="C75" s="25"/>
      <c r="D75" s="120">
        <v>100</v>
      </c>
      <c r="E75" s="120" t="s">
        <v>478</v>
      </c>
    </row>
    <row r="76" spans="3:5" ht="15.75" x14ac:dyDescent="0.25">
      <c r="C76" s="25"/>
      <c r="D76" s="120">
        <v>500</v>
      </c>
      <c r="E76" s="120" t="s">
        <v>144</v>
      </c>
    </row>
    <row r="77" spans="3:5" ht="15.75" x14ac:dyDescent="0.25">
      <c r="C77" s="25"/>
      <c r="D77" s="120">
        <v>100</v>
      </c>
      <c r="E77" s="120" t="s">
        <v>502</v>
      </c>
    </row>
    <row r="78" spans="3:5" ht="15.75" x14ac:dyDescent="0.25">
      <c r="C78" s="25"/>
      <c r="D78" s="120">
        <v>50</v>
      </c>
      <c r="E78" s="120" t="s">
        <v>184</v>
      </c>
    </row>
    <row r="79" spans="3:5" ht="15.75" x14ac:dyDescent="0.25">
      <c r="C79" s="25"/>
      <c r="D79" s="25">
        <v>6900</v>
      </c>
      <c r="E79" s="25" t="s">
        <v>595</v>
      </c>
    </row>
    <row r="80" spans="3:5" ht="15.75" x14ac:dyDescent="0.25">
      <c r="C80" s="25"/>
      <c r="D80" s="120">
        <v>100</v>
      </c>
      <c r="E80" s="120" t="s">
        <v>269</v>
      </c>
    </row>
    <row r="81" spans="3:5" ht="15.75" x14ac:dyDescent="0.25">
      <c r="C81" s="25"/>
      <c r="D81" s="120">
        <v>50</v>
      </c>
      <c r="E81" s="120" t="s">
        <v>596</v>
      </c>
    </row>
    <row r="82" spans="3:5" ht="15.75" x14ac:dyDescent="0.25">
      <c r="C82" s="25"/>
      <c r="D82" s="150">
        <v>175</v>
      </c>
      <c r="E82" s="150" t="s">
        <v>69</v>
      </c>
    </row>
    <row r="83" spans="3:5" ht="15.75" x14ac:dyDescent="0.25">
      <c r="C83" s="25"/>
      <c r="D83" s="120">
        <v>10</v>
      </c>
      <c r="E83" s="120" t="s">
        <v>22</v>
      </c>
    </row>
    <row r="84" spans="3:5" ht="15.75" x14ac:dyDescent="0.25">
      <c r="C84" s="25"/>
      <c r="D84" s="25">
        <v>500</v>
      </c>
      <c r="E84" s="25" t="s">
        <v>597</v>
      </c>
    </row>
    <row r="85" spans="3:5" ht="15.75" x14ac:dyDescent="0.25">
      <c r="C85" s="25"/>
      <c r="D85" s="25">
        <v>100</v>
      </c>
      <c r="E85" s="25" t="s">
        <v>262</v>
      </c>
    </row>
    <row r="86" spans="3:5" ht="15.75" x14ac:dyDescent="0.25">
      <c r="C86" s="25"/>
      <c r="D86" s="25">
        <v>200</v>
      </c>
      <c r="E86" s="25" t="s">
        <v>262</v>
      </c>
    </row>
    <row r="87" spans="3:5" ht="15.75" x14ac:dyDescent="0.25">
      <c r="C87" s="25"/>
      <c r="D87" s="120">
        <v>30</v>
      </c>
      <c r="E87" s="120" t="s">
        <v>184</v>
      </c>
    </row>
    <row r="88" spans="3:5" ht="15.75" x14ac:dyDescent="0.25">
      <c r="C88" s="25"/>
      <c r="D88" s="120">
        <v>15</v>
      </c>
      <c r="E88" s="120" t="s">
        <v>268</v>
      </c>
    </row>
    <row r="89" spans="3:5" ht="15.75" x14ac:dyDescent="0.25">
      <c r="C89" s="25"/>
      <c r="D89" s="150">
        <v>1590</v>
      </c>
      <c r="E89" s="150" t="s">
        <v>107</v>
      </c>
    </row>
    <row r="90" spans="3:5" ht="15.75" x14ac:dyDescent="0.25">
      <c r="C90" s="25"/>
      <c r="D90" s="120">
        <v>200</v>
      </c>
      <c r="E90" s="120" t="s">
        <v>150</v>
      </c>
    </row>
    <row r="91" spans="3:5" ht="15.75" x14ac:dyDescent="0.25">
      <c r="C91" s="25"/>
      <c r="D91" s="150">
        <v>450</v>
      </c>
      <c r="E91" s="150" t="s">
        <v>598</v>
      </c>
    </row>
    <row r="92" spans="3:5" ht="15.75" x14ac:dyDescent="0.25">
      <c r="C92" s="25"/>
      <c r="D92" s="120">
        <v>10</v>
      </c>
      <c r="E92" s="120" t="s">
        <v>144</v>
      </c>
    </row>
    <row r="93" spans="3:5" ht="15.75" x14ac:dyDescent="0.25">
      <c r="C93" s="25"/>
      <c r="D93" s="149">
        <f>110+90+110+265+90+100</f>
        <v>765</v>
      </c>
      <c r="E93" s="149" t="s">
        <v>599</v>
      </c>
    </row>
    <row r="94" spans="3:5" ht="15.75" x14ac:dyDescent="0.25">
      <c r="C94" s="25"/>
      <c r="D94" s="149">
        <f>80+60+140+90</f>
        <v>370</v>
      </c>
      <c r="E94" s="149" t="s">
        <v>575</v>
      </c>
    </row>
    <row r="95" spans="3:5" ht="15.75" x14ac:dyDescent="0.25">
      <c r="C95" s="25"/>
      <c r="D95" s="25">
        <v>1522</v>
      </c>
      <c r="E95" s="25" t="s">
        <v>600</v>
      </c>
    </row>
    <row r="96" spans="3:5" ht="18.75" x14ac:dyDescent="0.25">
      <c r="C96" s="25"/>
      <c r="D96" s="42">
        <f>SUM(D71:D95)</f>
        <v>15357</v>
      </c>
      <c r="E96" s="42" t="s">
        <v>47</v>
      </c>
    </row>
    <row r="97" spans="3:5" ht="18.75" x14ac:dyDescent="0.25">
      <c r="C97" s="25"/>
      <c r="D97" s="42">
        <v>15357</v>
      </c>
      <c r="E97" s="42" t="s">
        <v>448</v>
      </c>
    </row>
    <row r="100" spans="3:5" x14ac:dyDescent="0.25">
      <c r="C100" s="191">
        <v>46224</v>
      </c>
      <c r="D100" s="191"/>
      <c r="E100" s="191"/>
    </row>
    <row r="101" spans="3:5" x14ac:dyDescent="0.25">
      <c r="C101" s="191"/>
      <c r="D101" s="191"/>
      <c r="E101" s="191"/>
    </row>
    <row r="102" spans="3:5" x14ac:dyDescent="0.25">
      <c r="C102" s="7" t="s">
        <v>31</v>
      </c>
      <c r="D102" s="7" t="s">
        <v>39</v>
      </c>
      <c r="E102" s="7" t="s">
        <v>207</v>
      </c>
    </row>
    <row r="103" spans="3:5" x14ac:dyDescent="0.25">
      <c r="C103" s="7"/>
      <c r="D103" s="179">
        <v>1500</v>
      </c>
      <c r="E103" s="179" t="s">
        <v>639</v>
      </c>
    </row>
    <row r="104" spans="3:5" x14ac:dyDescent="0.25">
      <c r="C104" s="7"/>
      <c r="D104" s="179">
        <v>200</v>
      </c>
      <c r="E104" s="179" t="s">
        <v>640</v>
      </c>
    </row>
    <row r="105" spans="3:5" x14ac:dyDescent="0.25">
      <c r="C105" s="7"/>
      <c r="D105" s="179">
        <v>100</v>
      </c>
      <c r="E105" s="179" t="s">
        <v>641</v>
      </c>
    </row>
    <row r="106" spans="3:5" x14ac:dyDescent="0.25">
      <c r="C106" s="7"/>
      <c r="D106" s="179">
        <v>100</v>
      </c>
      <c r="E106" s="179" t="s">
        <v>548</v>
      </c>
    </row>
    <row r="107" spans="3:5" x14ac:dyDescent="0.25">
      <c r="C107" s="7" t="s">
        <v>657</v>
      </c>
      <c r="D107" s="143">
        <v>880</v>
      </c>
      <c r="E107" s="143" t="s">
        <v>642</v>
      </c>
    </row>
    <row r="108" spans="3:5" x14ac:dyDescent="0.25">
      <c r="C108" s="7"/>
      <c r="D108" s="23">
        <v>200</v>
      </c>
      <c r="E108" s="23" t="s">
        <v>262</v>
      </c>
    </row>
    <row r="109" spans="3:5" x14ac:dyDescent="0.25">
      <c r="C109" s="7"/>
      <c r="D109" s="120">
        <v>470</v>
      </c>
      <c r="E109" s="120" t="s">
        <v>643</v>
      </c>
    </row>
    <row r="110" spans="3:5" x14ac:dyDescent="0.25">
      <c r="C110" s="7" t="s">
        <v>646</v>
      </c>
      <c r="D110" s="23">
        <v>8080</v>
      </c>
      <c r="E110" s="23" t="s">
        <v>644</v>
      </c>
    </row>
    <row r="111" spans="3:5" x14ac:dyDescent="0.25">
      <c r="C111" s="7" t="s">
        <v>484</v>
      </c>
      <c r="D111" s="23">
        <v>2000</v>
      </c>
      <c r="E111" s="23" t="s">
        <v>645</v>
      </c>
    </row>
    <row r="112" spans="3:5" x14ac:dyDescent="0.25">
      <c r="C112" s="7"/>
      <c r="D112" s="129">
        <f>85+85+90+130</f>
        <v>390</v>
      </c>
      <c r="E112" s="129" t="s">
        <v>647</v>
      </c>
    </row>
    <row r="113" spans="3:5" x14ac:dyDescent="0.25">
      <c r="C113" s="7"/>
      <c r="D113" s="129">
        <f>200+60+70+155+40+305</f>
        <v>830</v>
      </c>
      <c r="E113" s="129" t="s">
        <v>648</v>
      </c>
    </row>
    <row r="114" spans="3:5" x14ac:dyDescent="0.25">
      <c r="C114" s="7"/>
      <c r="D114" s="23">
        <v>877</v>
      </c>
      <c r="E114" s="23" t="s">
        <v>649</v>
      </c>
    </row>
    <row r="115" spans="3:5" x14ac:dyDescent="0.25">
      <c r="C115" s="7"/>
      <c r="D115" s="27">
        <f>SUM(D103:D114)</f>
        <v>15627</v>
      </c>
      <c r="E115" s="27" t="s">
        <v>47</v>
      </c>
    </row>
    <row r="116" spans="3:5" x14ac:dyDescent="0.25">
      <c r="C116" s="7"/>
      <c r="D116" s="27">
        <v>15627</v>
      </c>
      <c r="E116" s="27" t="s">
        <v>448</v>
      </c>
    </row>
    <row r="117" spans="3:5" x14ac:dyDescent="0.25">
      <c r="E117" s="23" t="s">
        <v>552</v>
      </c>
    </row>
    <row r="118" spans="3:5" x14ac:dyDescent="0.25">
      <c r="E118" s="7" t="s">
        <v>583</v>
      </c>
    </row>
    <row r="119" spans="3:5" x14ac:dyDescent="0.25">
      <c r="E119" s="7" t="s">
        <v>650</v>
      </c>
    </row>
    <row r="120" spans="3:5" x14ac:dyDescent="0.25">
      <c r="E120" s="7" t="s">
        <v>651</v>
      </c>
    </row>
    <row r="121" spans="3:5" x14ac:dyDescent="0.25">
      <c r="E121" s="7" t="s">
        <v>652</v>
      </c>
    </row>
    <row r="126" spans="3:5" x14ac:dyDescent="0.25">
      <c r="C126" s="196">
        <v>46225</v>
      </c>
      <c r="D126" s="197"/>
      <c r="E126" s="198"/>
    </row>
    <row r="127" spans="3:5" x14ac:dyDescent="0.25">
      <c r="C127" s="199"/>
      <c r="D127" s="200"/>
      <c r="E127" s="201"/>
    </row>
    <row r="128" spans="3:5" x14ac:dyDescent="0.25">
      <c r="C128" s="23" t="s">
        <v>31</v>
      </c>
      <c r="D128" s="23" t="s">
        <v>39</v>
      </c>
      <c r="E128" s="23" t="s">
        <v>207</v>
      </c>
    </row>
    <row r="129" spans="3:5" x14ac:dyDescent="0.25">
      <c r="C129" s="7"/>
      <c r="D129" s="120">
        <v>50</v>
      </c>
      <c r="E129" s="120" t="s">
        <v>475</v>
      </c>
    </row>
    <row r="130" spans="3:5" x14ac:dyDescent="0.25">
      <c r="C130" s="7"/>
      <c r="D130" s="120">
        <v>300</v>
      </c>
      <c r="E130" s="120" t="s">
        <v>368</v>
      </c>
    </row>
    <row r="131" spans="3:5" x14ac:dyDescent="0.25">
      <c r="C131" s="7"/>
      <c r="D131" s="120">
        <v>500</v>
      </c>
      <c r="E131" s="120" t="s">
        <v>438</v>
      </c>
    </row>
    <row r="132" spans="3:5" x14ac:dyDescent="0.25">
      <c r="C132" s="7"/>
      <c r="D132" s="120">
        <v>100</v>
      </c>
      <c r="E132" s="120" t="s">
        <v>150</v>
      </c>
    </row>
    <row r="133" spans="3:5" x14ac:dyDescent="0.25">
      <c r="C133" s="7"/>
      <c r="D133" s="120">
        <v>200</v>
      </c>
      <c r="E133" s="120" t="s">
        <v>278</v>
      </c>
    </row>
    <row r="134" spans="3:5" x14ac:dyDescent="0.25">
      <c r="C134" s="7"/>
      <c r="D134" s="120">
        <v>65</v>
      </c>
      <c r="E134" s="120" t="s">
        <v>268</v>
      </c>
    </row>
    <row r="135" spans="3:5" x14ac:dyDescent="0.25">
      <c r="C135" s="7"/>
      <c r="D135" s="120">
        <v>25</v>
      </c>
      <c r="E135" s="120" t="s">
        <v>111</v>
      </c>
    </row>
    <row r="136" spans="3:5" x14ac:dyDescent="0.25">
      <c r="C136" s="7"/>
      <c r="D136" s="120">
        <v>50</v>
      </c>
      <c r="E136" s="120" t="s">
        <v>659</v>
      </c>
    </row>
    <row r="137" spans="3:5" x14ac:dyDescent="0.25">
      <c r="C137" s="7"/>
      <c r="D137" s="120">
        <v>100</v>
      </c>
      <c r="E137" s="120" t="s">
        <v>660</v>
      </c>
    </row>
    <row r="138" spans="3:5" x14ac:dyDescent="0.25">
      <c r="C138" s="7"/>
      <c r="D138" s="120">
        <v>5000</v>
      </c>
      <c r="E138" s="120" t="s">
        <v>640</v>
      </c>
    </row>
    <row r="139" spans="3:5" x14ac:dyDescent="0.25">
      <c r="C139" s="7"/>
      <c r="D139" s="143">
        <v>500</v>
      </c>
      <c r="E139" s="143" t="s">
        <v>69</v>
      </c>
    </row>
    <row r="140" spans="3:5" x14ac:dyDescent="0.25">
      <c r="C140" s="7" t="s">
        <v>665</v>
      </c>
      <c r="D140" s="143">
        <v>960</v>
      </c>
      <c r="E140" s="143" t="s">
        <v>661</v>
      </c>
    </row>
    <row r="141" spans="3:5" x14ac:dyDescent="0.25">
      <c r="C141" s="7"/>
      <c r="D141" s="181">
        <v>350</v>
      </c>
      <c r="E141" s="181" t="s">
        <v>260</v>
      </c>
    </row>
    <row r="142" spans="3:5" x14ac:dyDescent="0.25">
      <c r="C142" s="7"/>
      <c r="D142" s="181">
        <v>465</v>
      </c>
      <c r="E142" s="181" t="s">
        <v>662</v>
      </c>
    </row>
    <row r="143" spans="3:5" x14ac:dyDescent="0.25">
      <c r="C143" s="23"/>
      <c r="D143" s="23">
        <v>200</v>
      </c>
      <c r="E143" s="23" t="s">
        <v>262</v>
      </c>
    </row>
    <row r="144" spans="3:5" x14ac:dyDescent="0.25">
      <c r="C144" s="23"/>
      <c r="D144" s="180">
        <f xml:space="preserve"> 65+80+40+45+1725</f>
        <v>1955</v>
      </c>
      <c r="E144" s="180" t="s">
        <v>575</v>
      </c>
    </row>
    <row r="145" spans="3:6" x14ac:dyDescent="0.25">
      <c r="C145" s="23"/>
      <c r="D145" s="180">
        <f>420+200+75+80+95+30+100+206</f>
        <v>1206</v>
      </c>
      <c r="E145" s="180" t="s">
        <v>599</v>
      </c>
    </row>
    <row r="146" spans="3:6" x14ac:dyDescent="0.25">
      <c r="C146" s="23"/>
      <c r="D146" s="23">
        <v>3118</v>
      </c>
      <c r="E146" s="23" t="s">
        <v>289</v>
      </c>
    </row>
    <row r="147" spans="3:6" x14ac:dyDescent="0.25">
      <c r="C147" s="23"/>
      <c r="D147" s="23">
        <v>1635</v>
      </c>
      <c r="E147" s="23" t="s">
        <v>644</v>
      </c>
    </row>
    <row r="148" spans="3:6" x14ac:dyDescent="0.25">
      <c r="C148" s="23"/>
      <c r="D148" s="128">
        <f>SUM(D129:D147)</f>
        <v>16779</v>
      </c>
      <c r="E148" s="128" t="s">
        <v>47</v>
      </c>
    </row>
    <row r="149" spans="3:6" x14ac:dyDescent="0.25">
      <c r="C149" s="23"/>
      <c r="D149" s="128">
        <v>16779</v>
      </c>
      <c r="E149" s="128" t="s">
        <v>663</v>
      </c>
    </row>
    <row r="152" spans="3:6" x14ac:dyDescent="0.25">
      <c r="C152" s="191">
        <v>46226</v>
      </c>
      <c r="D152" s="191"/>
      <c r="E152" s="191"/>
    </row>
    <row r="153" spans="3:6" x14ac:dyDescent="0.25">
      <c r="C153" s="191"/>
      <c r="D153" s="191"/>
      <c r="E153" s="191"/>
    </row>
    <row r="154" spans="3:6" x14ac:dyDescent="0.25">
      <c r="C154" s="23" t="s">
        <v>31</v>
      </c>
      <c r="D154" s="23" t="s">
        <v>39</v>
      </c>
      <c r="E154" s="23" t="s">
        <v>207</v>
      </c>
    </row>
    <row r="155" spans="3:6" x14ac:dyDescent="0.25">
      <c r="C155" s="23"/>
      <c r="D155" s="120">
        <v>200</v>
      </c>
      <c r="E155" s="120" t="s">
        <v>278</v>
      </c>
      <c r="F155" t="s">
        <v>691</v>
      </c>
    </row>
    <row r="156" spans="3:6" x14ac:dyDescent="0.25">
      <c r="C156" s="23"/>
      <c r="D156" s="120">
        <v>30</v>
      </c>
      <c r="E156" s="120" t="s">
        <v>478</v>
      </c>
      <c r="F156" t="s">
        <v>691</v>
      </c>
    </row>
    <row r="157" spans="3:6" x14ac:dyDescent="0.25">
      <c r="C157" s="23"/>
      <c r="D157" s="120">
        <v>200</v>
      </c>
      <c r="E157" s="120" t="s">
        <v>521</v>
      </c>
      <c r="F157" t="s">
        <v>691</v>
      </c>
    </row>
    <row r="158" spans="3:6" x14ac:dyDescent="0.25">
      <c r="C158" s="23"/>
      <c r="D158" s="120">
        <v>60</v>
      </c>
      <c r="E158" s="120" t="s">
        <v>479</v>
      </c>
      <c r="F158" t="s">
        <v>691</v>
      </c>
    </row>
    <row r="159" spans="3:6" x14ac:dyDescent="0.25">
      <c r="C159" s="23"/>
      <c r="D159" s="120">
        <v>100</v>
      </c>
      <c r="E159" s="120" t="s">
        <v>641</v>
      </c>
      <c r="F159" t="s">
        <v>691</v>
      </c>
    </row>
    <row r="160" spans="3:6" x14ac:dyDescent="0.25">
      <c r="C160" s="23"/>
      <c r="D160" s="120">
        <v>50</v>
      </c>
      <c r="E160" s="120" t="s">
        <v>679</v>
      </c>
      <c r="F160" t="s">
        <v>691</v>
      </c>
    </row>
    <row r="161" spans="3:6" x14ac:dyDescent="0.25">
      <c r="C161" s="23"/>
      <c r="D161" s="120">
        <v>2550</v>
      </c>
      <c r="E161" s="120" t="s">
        <v>680</v>
      </c>
      <c r="F161" t="s">
        <v>691</v>
      </c>
    </row>
    <row r="162" spans="3:6" x14ac:dyDescent="0.25">
      <c r="C162" s="23"/>
      <c r="D162" s="143">
        <v>2355</v>
      </c>
      <c r="E162" s="143" t="s">
        <v>681</v>
      </c>
      <c r="F162" t="s">
        <v>691</v>
      </c>
    </row>
    <row r="163" spans="3:6" x14ac:dyDescent="0.25">
      <c r="C163" s="23"/>
      <c r="D163" s="23">
        <v>1200</v>
      </c>
      <c r="E163" s="23" t="s">
        <v>682</v>
      </c>
      <c r="F163" t="s">
        <v>691</v>
      </c>
    </row>
    <row r="164" spans="3:6" x14ac:dyDescent="0.25">
      <c r="C164" s="23"/>
      <c r="D164" s="143">
        <v>400</v>
      </c>
      <c r="E164" s="143" t="s">
        <v>683</v>
      </c>
      <c r="F164" t="s">
        <v>691</v>
      </c>
    </row>
    <row r="165" spans="3:6" x14ac:dyDescent="0.25">
      <c r="C165" s="23"/>
      <c r="D165" s="143">
        <v>3690</v>
      </c>
      <c r="E165" s="143" t="s">
        <v>684</v>
      </c>
      <c r="F165" t="s">
        <v>691</v>
      </c>
    </row>
    <row r="166" spans="3:6" x14ac:dyDescent="0.25">
      <c r="C166" s="23"/>
      <c r="D166" s="143">
        <v>660</v>
      </c>
      <c r="E166" s="143" t="s">
        <v>107</v>
      </c>
      <c r="F166" t="s">
        <v>691</v>
      </c>
    </row>
    <row r="167" spans="3:6" x14ac:dyDescent="0.25">
      <c r="C167" s="23"/>
      <c r="D167" s="23">
        <v>200</v>
      </c>
      <c r="E167" s="23" t="s">
        <v>262</v>
      </c>
      <c r="F167" t="s">
        <v>691</v>
      </c>
    </row>
    <row r="168" spans="3:6" x14ac:dyDescent="0.25">
      <c r="C168" s="23"/>
      <c r="D168" s="143">
        <v>465</v>
      </c>
      <c r="E168" s="143" t="s">
        <v>685</v>
      </c>
      <c r="F168" t="s">
        <v>691</v>
      </c>
    </row>
    <row r="169" spans="3:6" x14ac:dyDescent="0.25">
      <c r="C169" s="23"/>
      <c r="D169" s="23">
        <v>1000</v>
      </c>
      <c r="E169" s="23" t="s">
        <v>686</v>
      </c>
      <c r="F169" t="s">
        <v>691</v>
      </c>
    </row>
    <row r="170" spans="3:6" x14ac:dyDescent="0.25">
      <c r="C170" s="23"/>
      <c r="D170" s="190">
        <f>130+340+130+130+150+80</f>
        <v>960</v>
      </c>
      <c r="E170" s="190" t="s">
        <v>581</v>
      </c>
    </row>
    <row r="171" spans="3:6" x14ac:dyDescent="0.25">
      <c r="C171" s="23"/>
      <c r="D171" s="49">
        <f>1165+4235</f>
        <v>5400</v>
      </c>
      <c r="E171" s="190" t="s">
        <v>575</v>
      </c>
    </row>
    <row r="172" spans="3:6" x14ac:dyDescent="0.25">
      <c r="C172" s="23"/>
      <c r="D172" s="49">
        <v>1300</v>
      </c>
      <c r="E172" s="23" t="s">
        <v>687</v>
      </c>
      <c r="F172" s="148" t="s">
        <v>689</v>
      </c>
    </row>
    <row r="173" spans="3:6" x14ac:dyDescent="0.25">
      <c r="C173" s="23"/>
      <c r="D173" s="23">
        <v>4235</v>
      </c>
      <c r="E173" s="23" t="s">
        <v>649</v>
      </c>
    </row>
    <row r="174" spans="3:6" x14ac:dyDescent="0.25">
      <c r="C174" s="23"/>
      <c r="D174" s="128">
        <f>SUM(D155:D173)</f>
        <v>25055</v>
      </c>
      <c r="E174" s="128" t="s">
        <v>47</v>
      </c>
    </row>
    <row r="175" spans="3:6" x14ac:dyDescent="0.25">
      <c r="C175" s="23"/>
      <c r="D175" s="128"/>
      <c r="E175" s="128"/>
    </row>
  </sheetData>
  <mergeCells count="49">
    <mergeCell ref="W3:Y4"/>
    <mergeCell ref="AM1:AO2"/>
    <mergeCell ref="F3:G4"/>
    <mergeCell ref="M3:O4"/>
    <mergeCell ref="Q3:S4"/>
    <mergeCell ref="AE2:AG3"/>
    <mergeCell ref="AA2:AC3"/>
    <mergeCell ref="I3:J4"/>
    <mergeCell ref="AW10:AW12"/>
    <mergeCell ref="AW13:AW19"/>
    <mergeCell ref="AY2:BA3"/>
    <mergeCell ref="AU2:AW3"/>
    <mergeCell ref="AI2:AK3"/>
    <mergeCell ref="BO2:BQ3"/>
    <mergeCell ref="BK2:BM3"/>
    <mergeCell ref="BG2:BI3"/>
    <mergeCell ref="BC2:BE3"/>
    <mergeCell ref="AQ2:AS3"/>
    <mergeCell ref="T15:U15"/>
    <mergeCell ref="T5:U5"/>
    <mergeCell ref="T6:U6"/>
    <mergeCell ref="T7:U7"/>
    <mergeCell ref="T8:U8"/>
    <mergeCell ref="T9:U9"/>
    <mergeCell ref="T12:U12"/>
    <mergeCell ref="T13:U13"/>
    <mergeCell ref="BG29:BI29"/>
    <mergeCell ref="BC35:BE35"/>
    <mergeCell ref="BG30:BJ30"/>
    <mergeCell ref="A2:C3"/>
    <mergeCell ref="B24:C24"/>
    <mergeCell ref="T21:U21"/>
    <mergeCell ref="T22:U22"/>
    <mergeCell ref="T23:U23"/>
    <mergeCell ref="T24:U24"/>
    <mergeCell ref="T16:U16"/>
    <mergeCell ref="T17:U17"/>
    <mergeCell ref="T18:U18"/>
    <mergeCell ref="T19:U19"/>
    <mergeCell ref="T20:U20"/>
    <mergeCell ref="T10:U10"/>
    <mergeCell ref="T11:U11"/>
    <mergeCell ref="C152:E153"/>
    <mergeCell ref="C100:E101"/>
    <mergeCell ref="C68:E69"/>
    <mergeCell ref="C52:C53"/>
    <mergeCell ref="C34:E35"/>
    <mergeCell ref="C64:E64"/>
    <mergeCell ref="C126:E127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A6985-2AC7-4287-9E58-B8D68BF7E7CA}">
  <sheetPr>
    <pageSetUpPr fitToPage="1"/>
  </sheetPr>
  <dimension ref="C2:EN36"/>
  <sheetViews>
    <sheetView workbookViewId="0">
      <selection activeCell="AE24" sqref="AE24"/>
    </sheetView>
  </sheetViews>
  <sheetFormatPr defaultRowHeight="15" x14ac:dyDescent="0.25"/>
  <cols>
    <col min="3" max="4" width="13.7109375" customWidth="1"/>
    <col min="5" max="5" width="13.85546875" customWidth="1"/>
    <col min="6" max="6" width="14.140625" customWidth="1"/>
    <col min="12" max="12" width="10.42578125" bestFit="1" customWidth="1"/>
    <col min="17" max="17" width="10.42578125" bestFit="1" customWidth="1"/>
    <col min="21" max="21" width="10.7109375" bestFit="1" customWidth="1"/>
    <col min="23" max="23" width="10.42578125" bestFit="1" customWidth="1"/>
    <col min="26" max="26" width="10.85546875" bestFit="1" customWidth="1"/>
    <col min="28" max="28" width="12" customWidth="1"/>
    <col min="33" max="33" width="10.42578125" bestFit="1" customWidth="1"/>
    <col min="37" max="37" width="10.42578125" bestFit="1" customWidth="1"/>
    <col min="39" max="39" width="10.42578125" bestFit="1" customWidth="1"/>
    <col min="42" max="42" width="10.85546875" bestFit="1" customWidth="1"/>
    <col min="43" max="43" width="10.85546875" customWidth="1"/>
    <col min="45" max="45" width="10.42578125" bestFit="1" customWidth="1"/>
    <col min="49" max="49" width="10.7109375" bestFit="1" customWidth="1"/>
    <col min="51" max="51" width="10.42578125" bestFit="1" customWidth="1"/>
    <col min="55" max="55" width="10.7109375" bestFit="1" customWidth="1"/>
    <col min="57" max="57" width="10.42578125" bestFit="1" customWidth="1"/>
    <col min="62" max="62" width="10.42578125" bestFit="1" customWidth="1"/>
    <col min="66" max="66" width="10.7109375" bestFit="1" customWidth="1"/>
    <col min="68" max="68" width="10.42578125" bestFit="1" customWidth="1"/>
    <col min="71" max="71" width="12.140625" bestFit="1" customWidth="1"/>
    <col min="73" max="73" width="10.42578125" bestFit="1" customWidth="1"/>
    <col min="76" max="76" width="10.85546875" bestFit="1" customWidth="1"/>
    <col min="77" max="77" width="10.7109375" bestFit="1" customWidth="1"/>
    <col min="79" max="79" width="10.42578125" bestFit="1" customWidth="1"/>
    <col min="83" max="83" width="10.7109375" bestFit="1" customWidth="1"/>
    <col min="85" max="85" width="10.42578125" bestFit="1" customWidth="1"/>
    <col min="90" max="90" width="10.42578125" bestFit="1" customWidth="1"/>
    <col min="95" max="95" width="10.42578125" bestFit="1" customWidth="1"/>
    <col min="100" max="100" width="10.42578125" bestFit="1" customWidth="1"/>
    <col min="105" max="105" width="10.42578125" bestFit="1" customWidth="1"/>
    <col min="110" max="110" width="10.42578125" bestFit="1" customWidth="1"/>
    <col min="114" max="114" width="14.7109375" customWidth="1"/>
    <col min="117" max="117" width="15.7109375" customWidth="1"/>
    <col min="122" max="122" width="12.85546875" customWidth="1"/>
    <col min="126" max="126" width="13.140625" bestFit="1" customWidth="1"/>
    <col min="127" max="127" width="13.140625" customWidth="1"/>
    <col min="129" max="129" width="14.85546875" bestFit="1" customWidth="1"/>
    <col min="135" max="135" width="10.42578125" bestFit="1" customWidth="1"/>
    <col min="143" max="143" width="10.42578125" bestFit="1" customWidth="1"/>
  </cols>
  <sheetData>
    <row r="2" spans="3:144" x14ac:dyDescent="0.25">
      <c r="DJ2" s="193" t="s">
        <v>638</v>
      </c>
      <c r="DK2" s="193"/>
      <c r="DL2" s="193"/>
      <c r="DM2" s="23" t="s">
        <v>608</v>
      </c>
    </row>
    <row r="3" spans="3:144" ht="20.25" customHeight="1" x14ac:dyDescent="0.25">
      <c r="DJ3" s="168" t="s">
        <v>26</v>
      </c>
      <c r="DK3" s="168" t="s">
        <v>304</v>
      </c>
      <c r="DL3" s="168" t="s">
        <v>302</v>
      </c>
      <c r="DM3" s="25" t="s">
        <v>31</v>
      </c>
      <c r="DP3" s="260" t="s">
        <v>347</v>
      </c>
      <c r="DQ3" s="260"/>
      <c r="DR3" s="260"/>
      <c r="DS3" s="43" t="s">
        <v>608</v>
      </c>
      <c r="EK3" s="263" t="s">
        <v>671</v>
      </c>
      <c r="EL3" s="263"/>
      <c r="EM3" s="263"/>
    </row>
    <row r="4" spans="3:144" ht="21" x14ac:dyDescent="0.25">
      <c r="C4" s="260" t="s">
        <v>184</v>
      </c>
      <c r="D4" s="260"/>
      <c r="E4" s="260"/>
      <c r="F4" s="260"/>
      <c r="G4" s="43" t="s">
        <v>608</v>
      </c>
      <c r="I4" s="260" t="s">
        <v>168</v>
      </c>
      <c r="J4" s="260"/>
      <c r="K4" s="260"/>
      <c r="L4" s="260"/>
      <c r="M4" s="43" t="s">
        <v>608</v>
      </c>
      <c r="O4" s="260" t="s">
        <v>492</v>
      </c>
      <c r="P4" s="260"/>
      <c r="Q4" s="260"/>
      <c r="R4" s="43" t="s">
        <v>608</v>
      </c>
      <c r="T4" s="260" t="s">
        <v>111</v>
      </c>
      <c r="U4" s="260"/>
      <c r="V4" s="260"/>
      <c r="W4" s="260"/>
      <c r="X4" s="43" t="s">
        <v>608</v>
      </c>
      <c r="Z4" s="260" t="s">
        <v>278</v>
      </c>
      <c r="AA4" s="260"/>
      <c r="AB4" s="260"/>
      <c r="AC4" s="43" t="s">
        <v>608</v>
      </c>
      <c r="AE4" s="260" t="s">
        <v>146</v>
      </c>
      <c r="AF4" s="260"/>
      <c r="AG4" s="260"/>
      <c r="AH4" s="43" t="s">
        <v>608</v>
      </c>
      <c r="AJ4" s="260" t="s">
        <v>22</v>
      </c>
      <c r="AK4" s="260"/>
      <c r="AL4" s="260"/>
      <c r="AM4" s="260"/>
      <c r="AN4" s="43" t="s">
        <v>608</v>
      </c>
      <c r="AP4" s="260" t="s">
        <v>438</v>
      </c>
      <c r="AQ4" s="260"/>
      <c r="AR4" s="260"/>
      <c r="AS4" s="260"/>
      <c r="AT4" s="43" t="s">
        <v>608</v>
      </c>
      <c r="AV4" s="260" t="s">
        <v>579</v>
      </c>
      <c r="AW4" s="260"/>
      <c r="AX4" s="260"/>
      <c r="AY4" s="260"/>
      <c r="AZ4" s="43" t="s">
        <v>608</v>
      </c>
      <c r="BB4" s="260" t="s">
        <v>333</v>
      </c>
      <c r="BC4" s="260"/>
      <c r="BD4" s="260"/>
      <c r="BE4" s="260"/>
      <c r="BF4" s="43" t="s">
        <v>608</v>
      </c>
      <c r="BH4" s="260" t="s">
        <v>479</v>
      </c>
      <c r="BI4" s="260"/>
      <c r="BJ4" s="260"/>
      <c r="BK4" s="43" t="s">
        <v>608</v>
      </c>
      <c r="BM4" s="260" t="s">
        <v>368</v>
      </c>
      <c r="BN4" s="260"/>
      <c r="BO4" s="260"/>
      <c r="BP4" s="260"/>
      <c r="BQ4" s="43" t="s">
        <v>608</v>
      </c>
      <c r="BS4" s="260" t="s">
        <v>437</v>
      </c>
      <c r="BT4" s="260"/>
      <c r="BU4" s="260"/>
      <c r="BV4" s="43" t="s">
        <v>608</v>
      </c>
      <c r="BX4" s="260" t="s">
        <v>475</v>
      </c>
      <c r="BY4" s="260"/>
      <c r="BZ4" s="260"/>
      <c r="CA4" s="260"/>
      <c r="CB4" s="43" t="s">
        <v>608</v>
      </c>
      <c r="CD4" s="260" t="s">
        <v>480</v>
      </c>
      <c r="CE4" s="260"/>
      <c r="CF4" s="260"/>
      <c r="CG4" s="260"/>
      <c r="CH4" s="43" t="s">
        <v>608</v>
      </c>
      <c r="CJ4" s="260" t="s">
        <v>537</v>
      </c>
      <c r="CK4" s="260"/>
      <c r="CL4" s="260"/>
      <c r="CM4" s="43" t="s">
        <v>608</v>
      </c>
      <c r="CO4" s="260" t="s">
        <v>520</v>
      </c>
      <c r="CP4" s="260"/>
      <c r="CQ4" s="260"/>
      <c r="CR4" s="43" t="s">
        <v>608</v>
      </c>
      <c r="CT4" s="260" t="s">
        <v>521</v>
      </c>
      <c r="CU4" s="260"/>
      <c r="CV4" s="260"/>
      <c r="CW4" s="43" t="s">
        <v>608</v>
      </c>
      <c r="CY4" s="260" t="s">
        <v>150</v>
      </c>
      <c r="CZ4" s="260"/>
      <c r="DA4" s="260"/>
      <c r="DB4" s="43" t="s">
        <v>608</v>
      </c>
      <c r="DD4" s="202"/>
      <c r="DE4" s="202"/>
      <c r="DF4" s="202"/>
      <c r="DJ4" s="39">
        <v>46204</v>
      </c>
      <c r="DK4" s="23">
        <v>2200</v>
      </c>
      <c r="DL4" s="23">
        <v>100</v>
      </c>
      <c r="DM4" s="110"/>
      <c r="DP4" s="43" t="s">
        <v>31</v>
      </c>
      <c r="DQ4" s="43" t="s">
        <v>39</v>
      </c>
      <c r="DR4" s="43" t="s">
        <v>26</v>
      </c>
      <c r="DV4" s="260" t="s">
        <v>140</v>
      </c>
      <c r="DW4" s="260"/>
      <c r="DX4" s="260"/>
      <c r="DY4" s="260"/>
      <c r="DZ4" s="43" t="s">
        <v>608</v>
      </c>
      <c r="EK4" s="260" t="s">
        <v>609</v>
      </c>
      <c r="EL4" s="260"/>
      <c r="EM4" s="260"/>
      <c r="EN4" s="43" t="s">
        <v>608</v>
      </c>
    </row>
    <row r="5" spans="3:144" ht="21" x14ac:dyDescent="0.25">
      <c r="C5" s="43" t="s">
        <v>31</v>
      </c>
      <c r="D5" s="43" t="s">
        <v>114</v>
      </c>
      <c r="E5" s="43" t="s">
        <v>39</v>
      </c>
      <c r="F5" s="43" t="s">
        <v>26</v>
      </c>
      <c r="I5" s="43" t="s">
        <v>31</v>
      </c>
      <c r="J5" s="43" t="s">
        <v>53</v>
      </c>
      <c r="K5" s="43" t="s">
        <v>39</v>
      </c>
      <c r="L5" s="43" t="s">
        <v>26</v>
      </c>
      <c r="O5" s="43" t="s">
        <v>31</v>
      </c>
      <c r="P5" s="43" t="s">
        <v>39</v>
      </c>
      <c r="Q5" s="43" t="s">
        <v>26</v>
      </c>
      <c r="T5" s="43" t="s">
        <v>31</v>
      </c>
      <c r="U5" s="43" t="s">
        <v>114</v>
      </c>
      <c r="V5" s="43" t="s">
        <v>39</v>
      </c>
      <c r="W5" s="43" t="s">
        <v>26</v>
      </c>
      <c r="Z5" s="43" t="s">
        <v>31</v>
      </c>
      <c r="AA5" s="43" t="s">
        <v>39</v>
      </c>
      <c r="AB5" s="43" t="s">
        <v>26</v>
      </c>
      <c r="AE5" s="43" t="s">
        <v>31</v>
      </c>
      <c r="AF5" s="43" t="s">
        <v>39</v>
      </c>
      <c r="AG5" s="43" t="s">
        <v>26</v>
      </c>
      <c r="AJ5" s="43" t="s">
        <v>31</v>
      </c>
      <c r="AK5" s="43" t="s">
        <v>53</v>
      </c>
      <c r="AL5" s="43" t="s">
        <v>39</v>
      </c>
      <c r="AM5" s="43" t="s">
        <v>26</v>
      </c>
      <c r="AP5" s="43" t="s">
        <v>31</v>
      </c>
      <c r="AQ5" s="43" t="s">
        <v>114</v>
      </c>
      <c r="AR5" s="43" t="s">
        <v>39</v>
      </c>
      <c r="AS5" s="43" t="s">
        <v>26</v>
      </c>
      <c r="AV5" s="43" t="s">
        <v>31</v>
      </c>
      <c r="AW5" s="43" t="s">
        <v>114</v>
      </c>
      <c r="AX5" s="43" t="s">
        <v>39</v>
      </c>
      <c r="AY5" s="43" t="s">
        <v>26</v>
      </c>
      <c r="BB5" s="43" t="s">
        <v>31</v>
      </c>
      <c r="BC5" s="43" t="s">
        <v>114</v>
      </c>
      <c r="BD5" s="43" t="s">
        <v>39</v>
      </c>
      <c r="BE5" s="43" t="s">
        <v>26</v>
      </c>
      <c r="BH5" s="43" t="s">
        <v>31</v>
      </c>
      <c r="BI5" s="43" t="s">
        <v>39</v>
      </c>
      <c r="BJ5" s="43" t="s">
        <v>26</v>
      </c>
      <c r="BM5" s="43" t="s">
        <v>31</v>
      </c>
      <c r="BN5" s="43" t="s">
        <v>114</v>
      </c>
      <c r="BO5" s="43" t="s">
        <v>39</v>
      </c>
      <c r="BP5" s="43" t="s">
        <v>26</v>
      </c>
      <c r="BS5" s="43" t="s">
        <v>31</v>
      </c>
      <c r="BT5" s="43" t="s">
        <v>39</v>
      </c>
      <c r="BU5" s="43" t="s">
        <v>26</v>
      </c>
      <c r="BX5" s="43" t="s">
        <v>31</v>
      </c>
      <c r="BY5" s="43" t="s">
        <v>114</v>
      </c>
      <c r="BZ5" s="43" t="s">
        <v>39</v>
      </c>
      <c r="CA5" s="43" t="s">
        <v>26</v>
      </c>
      <c r="CD5" s="43" t="s">
        <v>31</v>
      </c>
      <c r="CE5" s="43" t="s">
        <v>114</v>
      </c>
      <c r="CF5" s="43" t="s">
        <v>39</v>
      </c>
      <c r="CG5" s="43" t="s">
        <v>26</v>
      </c>
      <c r="CJ5" s="43" t="s">
        <v>31</v>
      </c>
      <c r="CK5" s="43" t="s">
        <v>39</v>
      </c>
      <c r="CL5" s="43" t="s">
        <v>26</v>
      </c>
      <c r="CO5" s="43" t="s">
        <v>31</v>
      </c>
      <c r="CP5" s="43" t="s">
        <v>39</v>
      </c>
      <c r="CQ5" s="43" t="s">
        <v>26</v>
      </c>
      <c r="CT5" s="43" t="s">
        <v>31</v>
      </c>
      <c r="CU5" s="43" t="s">
        <v>39</v>
      </c>
      <c r="CV5" s="43" t="s">
        <v>26</v>
      </c>
      <c r="CY5" s="43" t="s">
        <v>31</v>
      </c>
      <c r="CZ5" s="43" t="s">
        <v>39</v>
      </c>
      <c r="DA5" s="43" t="s">
        <v>26</v>
      </c>
      <c r="DJ5" s="39">
        <v>46205</v>
      </c>
      <c r="DK5" s="23">
        <f>60+175+100+100</f>
        <v>435</v>
      </c>
      <c r="DL5" s="23">
        <v>10</v>
      </c>
      <c r="DM5" s="110"/>
      <c r="DP5" s="23" t="s">
        <v>302</v>
      </c>
      <c r="DQ5" s="23">
        <v>300</v>
      </c>
      <c r="DR5" s="39">
        <v>46207</v>
      </c>
      <c r="DV5" s="43" t="s">
        <v>31</v>
      </c>
      <c r="DW5" s="43" t="s">
        <v>53</v>
      </c>
      <c r="DX5" s="43" t="s">
        <v>39</v>
      </c>
      <c r="DY5" s="43" t="s">
        <v>26</v>
      </c>
      <c r="EC5" s="260" t="s">
        <v>609</v>
      </c>
      <c r="ED5" s="260"/>
      <c r="EE5" s="260"/>
      <c r="EF5" s="43" t="s">
        <v>608</v>
      </c>
      <c r="EK5" s="43" t="s">
        <v>31</v>
      </c>
      <c r="EL5" s="43" t="s">
        <v>39</v>
      </c>
      <c r="EM5" s="43" t="s">
        <v>26</v>
      </c>
    </row>
    <row r="6" spans="3:144" ht="18.75" x14ac:dyDescent="0.25">
      <c r="C6" s="7"/>
      <c r="D6" s="7"/>
      <c r="E6" s="23">
        <v>60</v>
      </c>
      <c r="F6" s="39">
        <v>46204</v>
      </c>
      <c r="I6" s="7"/>
      <c r="J6" s="7"/>
      <c r="K6" s="23">
        <v>100</v>
      </c>
      <c r="L6" s="39">
        <v>46204</v>
      </c>
      <c r="O6" s="7"/>
      <c r="P6" s="23">
        <v>100</v>
      </c>
      <c r="Q6" s="39">
        <v>46204</v>
      </c>
      <c r="T6" s="7"/>
      <c r="U6" s="7"/>
      <c r="V6" s="23">
        <v>100</v>
      </c>
      <c r="W6" s="39">
        <v>46204</v>
      </c>
      <c r="Z6" s="7" t="s">
        <v>526</v>
      </c>
      <c r="AA6" s="23">
        <v>100</v>
      </c>
      <c r="AB6" s="39">
        <v>46204</v>
      </c>
      <c r="AE6" s="7"/>
      <c r="AF6" s="23">
        <v>100</v>
      </c>
      <c r="AG6" s="39">
        <v>46204</v>
      </c>
      <c r="AJ6" s="23"/>
      <c r="AK6" s="23">
        <v>0.5</v>
      </c>
      <c r="AL6" s="23"/>
      <c r="AM6" s="39">
        <v>46204</v>
      </c>
      <c r="AP6" s="7"/>
      <c r="AQ6" s="7"/>
      <c r="AR6" s="23">
        <v>200</v>
      </c>
      <c r="AS6" s="39">
        <v>46207</v>
      </c>
      <c r="AV6" s="7"/>
      <c r="AW6" s="7"/>
      <c r="AX6" s="23">
        <v>50</v>
      </c>
      <c r="AY6" s="39">
        <v>46211</v>
      </c>
      <c r="BB6" s="23"/>
      <c r="BC6" s="23">
        <v>0.5</v>
      </c>
      <c r="BD6" s="23"/>
      <c r="BE6" s="39">
        <v>46211</v>
      </c>
      <c r="BH6" s="7"/>
      <c r="BI6" s="23">
        <v>150</v>
      </c>
      <c r="BJ6" s="39">
        <v>46214</v>
      </c>
      <c r="BM6" s="7"/>
      <c r="BN6" s="7"/>
      <c r="BO6" s="23">
        <v>75</v>
      </c>
      <c r="BP6" s="39">
        <v>46214</v>
      </c>
      <c r="BS6" s="23" t="s">
        <v>526</v>
      </c>
      <c r="BT6" s="23">
        <v>80</v>
      </c>
      <c r="BU6" s="39">
        <v>46215</v>
      </c>
      <c r="BX6" s="7"/>
      <c r="BY6" s="7"/>
      <c r="BZ6" s="23">
        <v>200</v>
      </c>
      <c r="CA6" s="39">
        <v>46216</v>
      </c>
      <c r="CD6" s="7"/>
      <c r="CE6" s="7"/>
      <c r="CF6" s="23">
        <v>360</v>
      </c>
      <c r="CG6" s="39">
        <v>46216</v>
      </c>
      <c r="CJ6" s="7"/>
      <c r="CK6" s="23">
        <v>100</v>
      </c>
      <c r="CL6" s="39">
        <v>46217</v>
      </c>
      <c r="CO6" s="7"/>
      <c r="CP6" s="23">
        <v>67.5</v>
      </c>
      <c r="CQ6" s="39">
        <v>46218</v>
      </c>
      <c r="CT6" s="7"/>
      <c r="CU6" s="23">
        <v>67.5</v>
      </c>
      <c r="CV6" s="39">
        <v>46218</v>
      </c>
      <c r="CY6" s="7"/>
      <c r="CZ6" s="23">
        <v>1000</v>
      </c>
      <c r="DA6" s="39">
        <v>46218</v>
      </c>
      <c r="DJ6" s="39">
        <v>46206</v>
      </c>
      <c r="DK6" s="23">
        <v>220</v>
      </c>
      <c r="DL6" s="23">
        <v>10</v>
      </c>
      <c r="DM6" s="110"/>
      <c r="DP6" s="23" t="s">
        <v>302</v>
      </c>
      <c r="DQ6" s="23">
        <v>1000</v>
      </c>
      <c r="DR6" s="39">
        <v>46208</v>
      </c>
      <c r="DV6" s="43"/>
      <c r="DW6" s="23">
        <v>0.5</v>
      </c>
      <c r="DX6" s="43"/>
      <c r="DY6" s="39">
        <v>46204</v>
      </c>
      <c r="EC6" s="43" t="s">
        <v>31</v>
      </c>
      <c r="ED6" s="43" t="s">
        <v>39</v>
      </c>
      <c r="EE6" s="43" t="s">
        <v>26</v>
      </c>
      <c r="EK6" s="23" t="s">
        <v>302</v>
      </c>
      <c r="EL6" s="25">
        <v>25</v>
      </c>
      <c r="EM6" s="39">
        <v>46200</v>
      </c>
    </row>
    <row r="7" spans="3:144" ht="15.75" x14ac:dyDescent="0.25">
      <c r="C7" s="7"/>
      <c r="D7" s="7"/>
      <c r="E7" s="23">
        <v>125</v>
      </c>
      <c r="F7" s="39">
        <v>46207</v>
      </c>
      <c r="I7" s="7"/>
      <c r="J7" s="7"/>
      <c r="K7" s="23">
        <v>100</v>
      </c>
      <c r="L7" s="39">
        <v>46205</v>
      </c>
      <c r="O7" s="7"/>
      <c r="P7" s="23">
        <v>10</v>
      </c>
      <c r="Q7" s="39">
        <v>46209</v>
      </c>
      <c r="T7" s="7"/>
      <c r="U7" s="7"/>
      <c r="V7" s="23">
        <v>50</v>
      </c>
      <c r="W7" s="39">
        <v>46205</v>
      </c>
      <c r="Z7" s="7" t="s">
        <v>526</v>
      </c>
      <c r="AA7" s="23">
        <v>100</v>
      </c>
      <c r="AB7" s="39">
        <v>46205</v>
      </c>
      <c r="AE7" s="7"/>
      <c r="AF7" s="23"/>
      <c r="AG7" s="39"/>
      <c r="AJ7" s="7"/>
      <c r="AK7" s="23"/>
      <c r="AL7" s="23">
        <v>30</v>
      </c>
      <c r="AM7" s="39">
        <v>46206</v>
      </c>
      <c r="AP7" s="7"/>
      <c r="AQ7" s="7"/>
      <c r="AR7" s="23">
        <v>600</v>
      </c>
      <c r="AS7" s="39">
        <v>46209</v>
      </c>
      <c r="AV7" s="7"/>
      <c r="AW7" s="7"/>
      <c r="AX7" s="23">
        <v>20</v>
      </c>
      <c r="AY7" s="39">
        <v>46213</v>
      </c>
      <c r="BB7" s="7"/>
      <c r="BC7" s="7"/>
      <c r="BD7" s="23">
        <v>30</v>
      </c>
      <c r="BE7" s="39">
        <v>46212</v>
      </c>
      <c r="BH7" s="7"/>
      <c r="BI7" s="23">
        <v>60</v>
      </c>
      <c r="BJ7" s="39">
        <v>46216</v>
      </c>
      <c r="BM7" s="7"/>
      <c r="BN7" s="7"/>
      <c r="BO7" s="23">
        <v>200</v>
      </c>
      <c r="BP7" s="39">
        <v>46215</v>
      </c>
      <c r="BS7" s="7"/>
      <c r="BT7" s="23">
        <v>200</v>
      </c>
      <c r="BU7" s="39">
        <v>46218</v>
      </c>
      <c r="BX7" s="23" t="s">
        <v>526</v>
      </c>
      <c r="BY7" s="23"/>
      <c r="BZ7" s="23">
        <v>80</v>
      </c>
      <c r="CA7" s="39">
        <v>46216</v>
      </c>
      <c r="CD7" s="7"/>
      <c r="CE7" s="7"/>
      <c r="CF7" s="23">
        <v>200</v>
      </c>
      <c r="CG7" s="39">
        <v>46222</v>
      </c>
      <c r="CJ7" s="7"/>
      <c r="CK7" s="23">
        <v>130</v>
      </c>
      <c r="CL7" s="39">
        <v>46218</v>
      </c>
      <c r="CO7" s="7"/>
      <c r="CP7" s="23"/>
      <c r="CQ7" s="39"/>
      <c r="CT7" s="7"/>
      <c r="CU7" s="23">
        <v>200</v>
      </c>
      <c r="CV7" s="39">
        <v>46226</v>
      </c>
      <c r="CY7" s="7"/>
      <c r="CZ7" s="23">
        <v>500</v>
      </c>
      <c r="DA7" s="39">
        <v>46221</v>
      </c>
      <c r="DJ7" s="39">
        <v>46207</v>
      </c>
      <c r="DK7" s="23">
        <f>395+915+180</f>
        <v>1490</v>
      </c>
      <c r="DL7" s="23">
        <v>125</v>
      </c>
      <c r="DM7" s="110"/>
      <c r="DP7" s="23" t="s">
        <v>302</v>
      </c>
      <c r="DQ7" s="23">
        <v>500</v>
      </c>
      <c r="DR7" s="39">
        <v>46212</v>
      </c>
      <c r="DV7" s="23" t="s">
        <v>302</v>
      </c>
      <c r="DW7" s="23"/>
      <c r="DX7" s="23">
        <v>200</v>
      </c>
      <c r="DY7" s="39">
        <v>46205</v>
      </c>
      <c r="EC7" s="23" t="s">
        <v>302</v>
      </c>
      <c r="ED7" s="23">
        <v>10</v>
      </c>
      <c r="EE7" s="39">
        <v>46205</v>
      </c>
      <c r="EK7" s="23" t="s">
        <v>302</v>
      </c>
      <c r="EL7" s="25">
        <v>90</v>
      </c>
      <c r="EM7" s="39">
        <v>46201</v>
      </c>
    </row>
    <row r="8" spans="3:144" ht="15.75" x14ac:dyDescent="0.25">
      <c r="C8" s="7"/>
      <c r="D8" s="7"/>
      <c r="E8" s="23">
        <v>25</v>
      </c>
      <c r="F8" s="39">
        <v>46207</v>
      </c>
      <c r="I8" s="7"/>
      <c r="J8" s="7"/>
      <c r="K8" s="23">
        <v>30</v>
      </c>
      <c r="L8" s="39">
        <v>46206</v>
      </c>
      <c r="O8" s="7"/>
      <c r="P8" s="23">
        <v>500</v>
      </c>
      <c r="Q8" s="39">
        <v>46212</v>
      </c>
      <c r="T8" s="7"/>
      <c r="U8" s="7"/>
      <c r="V8" s="23">
        <v>200</v>
      </c>
      <c r="W8" s="39">
        <v>46206</v>
      </c>
      <c r="Z8" s="7" t="s">
        <v>526</v>
      </c>
      <c r="AA8" s="23">
        <v>100</v>
      </c>
      <c r="AB8" s="39">
        <v>46206</v>
      </c>
      <c r="AE8" s="4"/>
      <c r="AF8" s="4"/>
      <c r="AG8" s="4"/>
      <c r="AJ8" s="7"/>
      <c r="AK8" s="23">
        <v>0.25</v>
      </c>
      <c r="AL8" s="23">
        <v>100</v>
      </c>
      <c r="AM8" s="39">
        <v>46209</v>
      </c>
      <c r="AP8" s="7"/>
      <c r="AQ8" s="7">
        <v>0.5</v>
      </c>
      <c r="AR8" s="23"/>
      <c r="AS8" s="39">
        <v>46211</v>
      </c>
      <c r="AV8" s="7"/>
      <c r="AW8" s="7"/>
      <c r="AX8" s="23">
        <v>200</v>
      </c>
      <c r="AY8" s="39">
        <v>46214</v>
      </c>
      <c r="BB8" s="23" t="s">
        <v>196</v>
      </c>
      <c r="BC8" s="7"/>
      <c r="BD8" s="23">
        <v>450</v>
      </c>
      <c r="BE8" s="39">
        <v>46219</v>
      </c>
      <c r="BH8" s="7"/>
      <c r="BI8" s="23">
        <v>10</v>
      </c>
      <c r="BJ8" s="39">
        <v>46217</v>
      </c>
      <c r="BM8" s="7"/>
      <c r="BN8" s="7"/>
      <c r="BO8" s="23">
        <v>300</v>
      </c>
      <c r="BP8" s="39">
        <v>46216</v>
      </c>
      <c r="BS8" s="23" t="s">
        <v>653</v>
      </c>
      <c r="BT8" s="23">
        <v>470</v>
      </c>
      <c r="BU8" s="39">
        <v>46224</v>
      </c>
      <c r="BX8" s="7"/>
      <c r="BY8" s="7"/>
      <c r="BZ8" s="23">
        <v>30</v>
      </c>
      <c r="CA8" s="39">
        <v>46218</v>
      </c>
      <c r="CD8" s="7"/>
      <c r="CE8" s="7">
        <v>0.5</v>
      </c>
      <c r="CF8" s="23"/>
      <c r="CG8" s="39">
        <v>46224</v>
      </c>
      <c r="CJ8" s="7"/>
      <c r="CK8" s="23">
        <v>400</v>
      </c>
      <c r="CL8" s="39">
        <v>46221</v>
      </c>
      <c r="CO8" s="4"/>
      <c r="CP8" s="4"/>
      <c r="CQ8" s="4"/>
      <c r="CT8" s="4"/>
      <c r="CU8" s="4"/>
      <c r="CV8" s="4"/>
      <c r="CY8" s="7"/>
      <c r="CZ8" s="23">
        <v>200</v>
      </c>
      <c r="DA8" s="39">
        <v>46223</v>
      </c>
      <c r="DJ8" s="39">
        <v>46208</v>
      </c>
      <c r="DK8" s="23">
        <f>10+195+75+150</f>
        <v>430</v>
      </c>
      <c r="DL8" s="23"/>
      <c r="DM8" s="110"/>
      <c r="DP8" s="23" t="s">
        <v>302</v>
      </c>
      <c r="DQ8" s="23">
        <f>1428+500</f>
        <v>1928</v>
      </c>
      <c r="DR8" s="39">
        <v>46215</v>
      </c>
      <c r="DV8" s="23" t="s">
        <v>302</v>
      </c>
      <c r="DW8" s="23"/>
      <c r="DX8" s="23">
        <v>10</v>
      </c>
      <c r="DY8" s="39">
        <v>46206</v>
      </c>
      <c r="EC8" s="23" t="s">
        <v>302</v>
      </c>
      <c r="ED8" s="23">
        <v>10</v>
      </c>
      <c r="EE8" s="39">
        <v>46209</v>
      </c>
      <c r="EK8" s="23" t="s">
        <v>302</v>
      </c>
      <c r="EL8" s="25">
        <v>15</v>
      </c>
      <c r="EM8" s="39">
        <v>46202</v>
      </c>
    </row>
    <row r="9" spans="3:144" ht="15.75" x14ac:dyDescent="0.25">
      <c r="C9" s="7"/>
      <c r="D9" s="7"/>
      <c r="E9" s="23">
        <v>30</v>
      </c>
      <c r="F9" s="39">
        <v>46209</v>
      </c>
      <c r="I9" s="7"/>
      <c r="J9" s="7"/>
      <c r="K9" s="23">
        <v>125</v>
      </c>
      <c r="L9" s="39">
        <v>46207</v>
      </c>
      <c r="O9" s="7"/>
      <c r="P9" s="23">
        <v>150</v>
      </c>
      <c r="Q9" s="39">
        <v>46214</v>
      </c>
      <c r="T9" s="7"/>
      <c r="U9" s="7"/>
      <c r="V9" s="23">
        <v>150</v>
      </c>
      <c r="W9" s="39">
        <v>46207</v>
      </c>
      <c r="Z9" s="7" t="s">
        <v>526</v>
      </c>
      <c r="AA9" s="23">
        <v>100</v>
      </c>
      <c r="AB9" s="39">
        <v>46207</v>
      </c>
      <c r="AE9" s="4"/>
      <c r="AF9" s="4"/>
      <c r="AG9" s="4"/>
      <c r="AJ9" s="7"/>
      <c r="AK9" s="7"/>
      <c r="AL9" s="23">
        <v>10</v>
      </c>
      <c r="AM9" s="39">
        <v>46223</v>
      </c>
      <c r="AP9" s="7"/>
      <c r="AQ9" s="7"/>
      <c r="AR9" s="23">
        <v>1000</v>
      </c>
      <c r="AS9" s="39">
        <v>46212</v>
      </c>
      <c r="AV9" s="7"/>
      <c r="AW9" s="7"/>
      <c r="AX9" s="23">
        <v>25</v>
      </c>
      <c r="AY9" s="39">
        <v>46215</v>
      </c>
      <c r="BB9" s="7"/>
      <c r="BC9" s="7"/>
      <c r="BD9" s="23"/>
      <c r="BE9" s="39"/>
      <c r="BH9" s="7"/>
      <c r="BI9" s="23">
        <v>100</v>
      </c>
      <c r="BJ9" s="39">
        <v>46218</v>
      </c>
      <c r="BM9" s="7"/>
      <c r="BN9" s="7"/>
      <c r="BO9" s="23">
        <v>50</v>
      </c>
      <c r="BP9" s="39">
        <v>46217</v>
      </c>
      <c r="BS9" s="23"/>
      <c r="BT9" s="23"/>
      <c r="BU9" s="23"/>
      <c r="BX9" s="7" t="s">
        <v>526</v>
      </c>
      <c r="BY9" s="7"/>
      <c r="BZ9" s="23">
        <v>80</v>
      </c>
      <c r="CA9" s="39">
        <v>46222</v>
      </c>
      <c r="CD9" s="7"/>
      <c r="CE9" s="7">
        <v>0.5</v>
      </c>
      <c r="CF9" s="23"/>
      <c r="CG9" s="39">
        <v>46220</v>
      </c>
      <c r="CJ9" s="7"/>
      <c r="CK9" s="23">
        <v>200</v>
      </c>
      <c r="CL9" s="39">
        <v>46220</v>
      </c>
      <c r="CO9" s="4"/>
      <c r="CP9" s="4"/>
      <c r="CQ9" s="4"/>
      <c r="CT9" s="4"/>
      <c r="CU9" s="4"/>
      <c r="CV9" s="4"/>
      <c r="CY9" s="7"/>
      <c r="CZ9" s="23">
        <v>200</v>
      </c>
      <c r="DA9" s="39">
        <v>46224</v>
      </c>
      <c r="DJ9" s="39">
        <v>46209</v>
      </c>
      <c r="DK9" s="23">
        <v>100</v>
      </c>
      <c r="DL9" s="23"/>
      <c r="DM9" s="110"/>
      <c r="DP9" s="23" t="s">
        <v>302</v>
      </c>
      <c r="DQ9" s="23">
        <v>85</v>
      </c>
      <c r="DR9" s="39">
        <v>46216</v>
      </c>
      <c r="DV9" s="23" t="s">
        <v>302</v>
      </c>
      <c r="DW9" s="23"/>
      <c r="DX9" s="23">
        <v>15</v>
      </c>
      <c r="DY9" s="39">
        <v>46216</v>
      </c>
      <c r="EC9" s="23" t="s">
        <v>302</v>
      </c>
      <c r="ED9" s="23">
        <v>15</v>
      </c>
      <c r="EE9" s="39">
        <v>46215</v>
      </c>
      <c r="EK9" s="23" t="s">
        <v>302</v>
      </c>
      <c r="EL9" s="25">
        <v>25</v>
      </c>
      <c r="EM9" s="39">
        <v>46203</v>
      </c>
    </row>
    <row r="10" spans="3:144" x14ac:dyDescent="0.25">
      <c r="C10" s="7"/>
      <c r="D10" s="7">
        <v>0.5</v>
      </c>
      <c r="E10" s="23">
        <v>115</v>
      </c>
      <c r="F10" s="39">
        <v>46211</v>
      </c>
      <c r="I10" s="7"/>
      <c r="J10" s="7"/>
      <c r="K10" s="23">
        <v>10</v>
      </c>
      <c r="L10" s="39">
        <v>46209</v>
      </c>
      <c r="O10" s="7"/>
      <c r="P10" s="23">
        <v>60</v>
      </c>
      <c r="Q10" s="39">
        <v>46216</v>
      </c>
      <c r="T10" s="7"/>
      <c r="U10" s="7"/>
      <c r="V10" s="23">
        <v>100</v>
      </c>
      <c r="W10" s="39">
        <v>46209</v>
      </c>
      <c r="Z10" s="7" t="s">
        <v>526</v>
      </c>
      <c r="AA10" s="23">
        <v>100</v>
      </c>
      <c r="AB10" s="39">
        <v>46208</v>
      </c>
      <c r="AJ10" s="4"/>
      <c r="AK10" s="7">
        <v>0.5</v>
      </c>
      <c r="AL10" s="4"/>
      <c r="AM10" s="58">
        <v>46224</v>
      </c>
      <c r="AP10" s="23" t="s">
        <v>526</v>
      </c>
      <c r="AQ10" s="23"/>
      <c r="AR10" s="23">
        <v>50</v>
      </c>
      <c r="AS10" s="39">
        <v>46215</v>
      </c>
      <c r="AV10" s="7"/>
      <c r="AW10" s="7"/>
      <c r="AX10" s="23">
        <v>75</v>
      </c>
      <c r="AY10" s="39">
        <v>46216</v>
      </c>
      <c r="BB10" s="4"/>
      <c r="BC10" s="4"/>
      <c r="BD10" s="4"/>
      <c r="BE10" s="4"/>
      <c r="BH10" s="7"/>
      <c r="BI10" s="23">
        <v>25</v>
      </c>
      <c r="BJ10" s="39">
        <v>46222</v>
      </c>
      <c r="BM10" s="7"/>
      <c r="BN10" s="7">
        <v>0.5</v>
      </c>
      <c r="BO10" s="23">
        <v>100</v>
      </c>
      <c r="BP10" s="39">
        <v>46218</v>
      </c>
      <c r="BS10" s="4"/>
      <c r="BT10" s="4"/>
      <c r="BU10" s="4"/>
      <c r="BX10" s="7"/>
      <c r="BY10" s="23">
        <v>0.5</v>
      </c>
      <c r="BZ10" s="23">
        <v>90</v>
      </c>
      <c r="CA10" s="39">
        <v>46222</v>
      </c>
      <c r="CD10" s="4"/>
      <c r="CE10" s="4"/>
      <c r="CF10" s="4"/>
      <c r="CG10" s="4"/>
      <c r="CJ10" s="4"/>
      <c r="CK10" s="4"/>
      <c r="CL10" s="4"/>
      <c r="CT10" s="4"/>
      <c r="CU10" s="4"/>
      <c r="CV10" s="4"/>
      <c r="CY10" s="4"/>
      <c r="CZ10" s="23">
        <v>100</v>
      </c>
      <c r="DA10" s="16">
        <v>46225</v>
      </c>
      <c r="DJ10" s="39">
        <v>46210</v>
      </c>
      <c r="DK10" s="23">
        <v>475</v>
      </c>
      <c r="DL10" s="23"/>
      <c r="DM10" s="110"/>
      <c r="DP10" s="23" t="s">
        <v>302</v>
      </c>
      <c r="DQ10" s="23">
        <v>504</v>
      </c>
      <c r="DR10" s="39">
        <v>46217</v>
      </c>
      <c r="DV10" s="23" t="s">
        <v>302</v>
      </c>
      <c r="DW10" s="23"/>
      <c r="DX10" s="23">
        <v>15</v>
      </c>
      <c r="DY10" s="39">
        <v>46219</v>
      </c>
      <c r="EC10" s="23" t="s">
        <v>302</v>
      </c>
      <c r="ED10" s="23">
        <v>261</v>
      </c>
      <c r="EE10" s="39">
        <v>46219</v>
      </c>
      <c r="EK10" s="23" t="s">
        <v>302</v>
      </c>
      <c r="EL10" s="23">
        <v>50</v>
      </c>
      <c r="EM10" s="39">
        <v>46197</v>
      </c>
    </row>
    <row r="11" spans="3:144" x14ac:dyDescent="0.25">
      <c r="C11" s="7"/>
      <c r="D11" s="7"/>
      <c r="E11" s="23">
        <v>30</v>
      </c>
      <c r="F11" s="39">
        <v>46212</v>
      </c>
      <c r="I11" s="7"/>
      <c r="J11" s="7"/>
      <c r="K11" s="23">
        <v>100</v>
      </c>
      <c r="L11" s="39">
        <v>46210</v>
      </c>
      <c r="O11" s="7"/>
      <c r="P11" s="23">
        <v>500</v>
      </c>
      <c r="Q11" s="39">
        <v>46219</v>
      </c>
      <c r="T11" s="7"/>
      <c r="U11" s="7"/>
      <c r="V11" s="23">
        <v>15</v>
      </c>
      <c r="W11" s="39">
        <v>46211</v>
      </c>
      <c r="Z11" s="7" t="s">
        <v>526</v>
      </c>
      <c r="AA11" s="23">
        <v>100</v>
      </c>
      <c r="AB11" s="39">
        <v>46209</v>
      </c>
      <c r="AJ11" s="4"/>
      <c r="AK11" s="4"/>
      <c r="AL11" s="4"/>
      <c r="AM11" s="4"/>
      <c r="AP11" s="23" t="s">
        <v>526</v>
      </c>
      <c r="AQ11" s="23"/>
      <c r="AR11" s="23">
        <v>50</v>
      </c>
      <c r="AS11" s="39">
        <v>46217</v>
      </c>
      <c r="AV11" s="7"/>
      <c r="AW11" s="7"/>
      <c r="AX11" s="23">
        <v>52</v>
      </c>
      <c r="AY11" s="39">
        <v>46218</v>
      </c>
      <c r="BB11" s="4"/>
      <c r="BC11" s="4"/>
      <c r="BD11" s="4"/>
      <c r="BE11" s="4"/>
      <c r="BH11" s="7"/>
      <c r="BI11" s="23">
        <v>10</v>
      </c>
      <c r="BJ11" s="39">
        <v>46222</v>
      </c>
      <c r="BM11" s="7"/>
      <c r="BN11" s="7"/>
      <c r="BO11" s="23">
        <v>200</v>
      </c>
      <c r="BP11" s="39">
        <v>46219</v>
      </c>
      <c r="BS11" s="4"/>
      <c r="BT11" s="4"/>
      <c r="BU11" s="4"/>
      <c r="BX11" s="7"/>
      <c r="BY11" s="7"/>
      <c r="BZ11" s="23">
        <v>10</v>
      </c>
      <c r="CA11" s="39">
        <v>46223</v>
      </c>
      <c r="CD11" s="4"/>
      <c r="CE11" s="4"/>
      <c r="CF11" s="4"/>
      <c r="CG11" s="4"/>
      <c r="CJ11" s="4"/>
      <c r="CK11" s="4"/>
      <c r="CL11" s="4"/>
      <c r="CT11" s="4"/>
      <c r="CU11" s="4"/>
      <c r="CV11" s="4"/>
      <c r="CY11" s="4"/>
      <c r="CZ11" s="23">
        <v>5000</v>
      </c>
      <c r="DA11" s="16">
        <v>46225</v>
      </c>
      <c r="DJ11" s="39">
        <v>46211</v>
      </c>
      <c r="DK11" s="23">
        <v>100</v>
      </c>
      <c r="DL11" s="23"/>
      <c r="DM11" s="110"/>
      <c r="DP11" s="23" t="s">
        <v>302</v>
      </c>
      <c r="DQ11" s="23">
        <v>1000</v>
      </c>
      <c r="DR11" s="39">
        <v>46221</v>
      </c>
      <c r="DV11" s="23" t="s">
        <v>302</v>
      </c>
      <c r="DW11" s="23"/>
      <c r="DX11" s="23">
        <v>40</v>
      </c>
      <c r="DY11" s="39">
        <v>46222</v>
      </c>
      <c r="EC11" s="23" t="s">
        <v>302</v>
      </c>
      <c r="ED11" s="23">
        <v>75</v>
      </c>
      <c r="EE11" s="39">
        <v>46222</v>
      </c>
      <c r="EK11" s="23" t="s">
        <v>302</v>
      </c>
      <c r="EL11" s="23">
        <v>10</v>
      </c>
      <c r="EM11" s="39">
        <v>46196</v>
      </c>
    </row>
    <row r="12" spans="3:144" x14ac:dyDescent="0.25">
      <c r="C12" s="7"/>
      <c r="D12" s="7"/>
      <c r="E12" s="23">
        <v>15</v>
      </c>
      <c r="F12" s="39">
        <v>46213</v>
      </c>
      <c r="I12" s="7"/>
      <c r="J12" s="23">
        <v>0.5</v>
      </c>
      <c r="K12" s="23">
        <v>50</v>
      </c>
      <c r="L12" s="39">
        <v>46211</v>
      </c>
      <c r="O12" s="7"/>
      <c r="P12" s="23">
        <v>10</v>
      </c>
      <c r="Q12" s="39">
        <v>46220</v>
      </c>
      <c r="T12" s="7"/>
      <c r="U12" s="7">
        <v>0.5</v>
      </c>
      <c r="V12" s="23"/>
      <c r="W12" s="39">
        <v>46212</v>
      </c>
      <c r="Z12" s="7" t="s">
        <v>526</v>
      </c>
      <c r="AA12" s="23">
        <v>100</v>
      </c>
      <c r="AB12" s="39">
        <v>46210</v>
      </c>
      <c r="AJ12" s="4"/>
      <c r="AK12" s="4"/>
      <c r="AL12" s="4"/>
      <c r="AM12" s="4"/>
      <c r="AP12" s="7"/>
      <c r="AQ12" s="7"/>
      <c r="AR12" s="23">
        <v>500</v>
      </c>
      <c r="AS12" s="39">
        <v>46218</v>
      </c>
      <c r="AV12" s="7"/>
      <c r="AW12" s="7"/>
      <c r="AX12" s="23">
        <v>30</v>
      </c>
      <c r="AY12" s="39">
        <v>46218</v>
      </c>
      <c r="BH12" s="7"/>
      <c r="BI12" s="23">
        <v>60</v>
      </c>
      <c r="BJ12" s="39">
        <v>46226</v>
      </c>
      <c r="BM12" s="7"/>
      <c r="BN12" s="7"/>
      <c r="BO12" s="23">
        <v>100</v>
      </c>
      <c r="BP12" s="39">
        <v>46219</v>
      </c>
      <c r="BX12" s="7"/>
      <c r="BY12" s="7">
        <v>0.5</v>
      </c>
      <c r="BZ12" s="23"/>
      <c r="CA12" s="39">
        <v>46224</v>
      </c>
      <c r="CD12" s="4"/>
      <c r="CE12" s="4"/>
      <c r="CF12" s="4"/>
      <c r="CG12" s="4"/>
      <c r="CJ12" s="4"/>
      <c r="CK12" s="4"/>
      <c r="CL12" s="4"/>
      <c r="CT12" s="4"/>
      <c r="CU12" s="4"/>
      <c r="CV12" s="4"/>
      <c r="CY12" s="4"/>
      <c r="CZ12" s="4"/>
      <c r="DA12" s="4"/>
      <c r="DJ12" s="39">
        <v>46212</v>
      </c>
      <c r="DK12" s="23">
        <v>690</v>
      </c>
      <c r="DL12" s="23"/>
      <c r="DM12" s="110"/>
      <c r="DP12" s="23" t="s">
        <v>302</v>
      </c>
      <c r="DQ12" s="23">
        <v>392</v>
      </c>
      <c r="DR12" s="39">
        <v>46220</v>
      </c>
      <c r="DV12" s="23" t="s">
        <v>302</v>
      </c>
      <c r="DW12" s="23"/>
      <c r="DX12" s="23">
        <v>100</v>
      </c>
      <c r="DY12" s="39">
        <v>46223</v>
      </c>
      <c r="EC12" s="23" t="s">
        <v>302</v>
      </c>
      <c r="ED12" s="23">
        <v>15</v>
      </c>
      <c r="EE12" s="39">
        <v>46223</v>
      </c>
      <c r="EK12" s="23" t="s">
        <v>302</v>
      </c>
      <c r="EL12" s="23">
        <v>200</v>
      </c>
      <c r="EM12" s="39">
        <v>46186</v>
      </c>
    </row>
    <row r="13" spans="3:144" x14ac:dyDescent="0.25">
      <c r="C13" s="7"/>
      <c r="D13" s="7"/>
      <c r="E13" s="23">
        <v>60</v>
      </c>
      <c r="F13" s="39">
        <v>46214</v>
      </c>
      <c r="I13" s="7"/>
      <c r="J13" s="7"/>
      <c r="K13" s="23">
        <v>80</v>
      </c>
      <c r="L13" s="39">
        <v>46212</v>
      </c>
      <c r="O13" s="4"/>
      <c r="P13" s="4"/>
      <c r="Q13" s="4"/>
      <c r="T13" s="7"/>
      <c r="U13" s="7"/>
      <c r="V13" s="23">
        <v>10</v>
      </c>
      <c r="W13" s="39">
        <v>46215</v>
      </c>
      <c r="Z13" s="7" t="s">
        <v>526</v>
      </c>
      <c r="AA13" s="23">
        <v>100</v>
      </c>
      <c r="AB13" s="39">
        <v>46211</v>
      </c>
      <c r="AJ13" s="4"/>
      <c r="AK13" s="4"/>
      <c r="AL13" s="4"/>
      <c r="AM13" s="4"/>
      <c r="AP13" s="7"/>
      <c r="AQ13" s="7"/>
      <c r="AR13" s="23">
        <v>50</v>
      </c>
      <c r="AS13" s="39">
        <v>46218</v>
      </c>
      <c r="AV13" s="7"/>
      <c r="AW13" s="7"/>
      <c r="AX13" s="23">
        <v>60</v>
      </c>
      <c r="AY13" s="39">
        <v>46218</v>
      </c>
      <c r="BH13" s="4"/>
      <c r="BI13" s="4"/>
      <c r="BJ13" s="4"/>
      <c r="BM13" s="7"/>
      <c r="BN13" s="7">
        <v>2</v>
      </c>
      <c r="BO13" s="23">
        <v>150</v>
      </c>
      <c r="BP13" s="39">
        <v>46221</v>
      </c>
      <c r="BX13" s="7"/>
      <c r="BY13" s="7"/>
      <c r="BZ13" s="23">
        <v>50</v>
      </c>
      <c r="CA13" s="39">
        <v>46225</v>
      </c>
      <c r="CD13" s="4"/>
      <c r="CE13" s="4"/>
      <c r="CF13" s="4"/>
      <c r="CG13" s="4"/>
      <c r="CJ13" s="4"/>
      <c r="CK13" s="4"/>
      <c r="CL13" s="4"/>
      <c r="CY13" s="4"/>
      <c r="CZ13" s="4"/>
      <c r="DA13" s="4"/>
      <c r="DJ13" s="39">
        <v>46213</v>
      </c>
      <c r="DK13" s="23">
        <v>375</v>
      </c>
      <c r="DL13" s="23"/>
      <c r="DM13" s="110"/>
      <c r="DP13" s="23" t="s">
        <v>302</v>
      </c>
      <c r="DQ13" s="23">
        <v>496</v>
      </c>
      <c r="DR13" s="39">
        <v>46222</v>
      </c>
      <c r="DV13" s="23"/>
      <c r="DW13" s="23"/>
      <c r="DX13" s="23">
        <v>500</v>
      </c>
      <c r="DY13" s="39">
        <v>46223</v>
      </c>
      <c r="EC13" s="23"/>
      <c r="ED13" s="23">
        <v>500</v>
      </c>
      <c r="EE13" s="39">
        <v>46224</v>
      </c>
      <c r="EK13" s="23" t="s">
        <v>302</v>
      </c>
      <c r="EL13" s="23">
        <v>30</v>
      </c>
      <c r="EM13" s="39">
        <v>46188</v>
      </c>
    </row>
    <row r="14" spans="3:144" x14ac:dyDescent="0.25">
      <c r="C14" s="7"/>
      <c r="D14" s="7"/>
      <c r="E14" s="23">
        <v>100</v>
      </c>
      <c r="F14" s="39">
        <v>46214</v>
      </c>
      <c r="I14" s="7"/>
      <c r="J14" s="7"/>
      <c r="K14" s="23">
        <v>60</v>
      </c>
      <c r="L14" s="39">
        <v>46213</v>
      </c>
      <c r="O14" s="4"/>
      <c r="P14" s="4"/>
      <c r="Q14" s="4"/>
      <c r="T14" s="7"/>
      <c r="U14" s="7"/>
      <c r="V14" s="23">
        <v>500</v>
      </c>
      <c r="W14" s="39">
        <v>46216</v>
      </c>
      <c r="Z14" s="7" t="s">
        <v>526</v>
      </c>
      <c r="AA14" s="23">
        <v>100</v>
      </c>
      <c r="AB14" s="39">
        <v>46212</v>
      </c>
      <c r="AP14" s="7"/>
      <c r="AQ14" s="7">
        <v>0.5</v>
      </c>
      <c r="AR14" s="23">
        <v>1000</v>
      </c>
      <c r="AS14" s="39">
        <v>46219</v>
      </c>
      <c r="AV14" s="7"/>
      <c r="AW14" s="7"/>
      <c r="AX14" s="23">
        <v>1000</v>
      </c>
      <c r="AY14" s="39">
        <v>46219</v>
      </c>
      <c r="BH14" s="4"/>
      <c r="BI14" s="4"/>
      <c r="BJ14" s="4"/>
      <c r="BM14" s="7"/>
      <c r="BN14" s="7"/>
      <c r="BO14" s="23">
        <v>60</v>
      </c>
      <c r="BP14" s="39">
        <v>46221</v>
      </c>
      <c r="BX14" s="4"/>
      <c r="BY14" s="4"/>
      <c r="BZ14" s="4"/>
      <c r="CA14" s="4"/>
      <c r="CY14" s="4"/>
      <c r="CZ14" s="4"/>
      <c r="DA14" s="4"/>
      <c r="DJ14" s="39">
        <v>46214</v>
      </c>
      <c r="DK14" s="23">
        <v>580</v>
      </c>
      <c r="DL14" s="23"/>
      <c r="DM14" s="110"/>
      <c r="DP14" s="23" t="s">
        <v>302</v>
      </c>
      <c r="DQ14" s="23">
        <v>100</v>
      </c>
      <c r="DR14" s="39">
        <v>46223</v>
      </c>
      <c r="DV14" s="4"/>
      <c r="DW14" s="23">
        <v>0.5</v>
      </c>
      <c r="DX14" s="23"/>
      <c r="DY14" s="39">
        <v>46224</v>
      </c>
      <c r="EC14" s="23"/>
      <c r="ED14" s="23">
        <v>65</v>
      </c>
      <c r="EE14" s="39">
        <v>46225</v>
      </c>
      <c r="EK14" s="23" t="s">
        <v>302</v>
      </c>
      <c r="EL14" s="23">
        <v>60</v>
      </c>
      <c r="EM14" s="39">
        <v>46189</v>
      </c>
    </row>
    <row r="15" spans="3:144" x14ac:dyDescent="0.25">
      <c r="C15" s="7"/>
      <c r="D15" s="7"/>
      <c r="E15" s="23">
        <v>75</v>
      </c>
      <c r="F15" s="39">
        <v>46216</v>
      </c>
      <c r="I15" s="7"/>
      <c r="J15" s="7"/>
      <c r="K15" s="23">
        <v>60</v>
      </c>
      <c r="L15" s="39">
        <v>46215</v>
      </c>
      <c r="O15" s="4"/>
      <c r="P15" s="4"/>
      <c r="Q15" s="4"/>
      <c r="T15" s="7"/>
      <c r="U15" s="7"/>
      <c r="V15" s="23">
        <v>36</v>
      </c>
      <c r="W15" s="39">
        <v>46217</v>
      </c>
      <c r="Z15" s="7" t="s">
        <v>526</v>
      </c>
      <c r="AA15" s="23">
        <v>100</v>
      </c>
      <c r="AB15" s="39">
        <v>46214</v>
      </c>
      <c r="AP15" s="7" t="s">
        <v>526</v>
      </c>
      <c r="AQ15" s="7"/>
      <c r="AR15" s="23">
        <v>50</v>
      </c>
      <c r="AS15" s="39">
        <v>46221</v>
      </c>
      <c r="AV15" s="7"/>
      <c r="AW15" s="7"/>
      <c r="AX15" s="23">
        <v>60</v>
      </c>
      <c r="AY15" s="39">
        <v>46221</v>
      </c>
      <c r="BH15" s="4"/>
      <c r="BI15" s="4"/>
      <c r="BJ15" s="4"/>
      <c r="BM15" s="7"/>
      <c r="BN15" s="7"/>
      <c r="BO15" s="23">
        <v>30</v>
      </c>
      <c r="BP15" s="39">
        <v>46222</v>
      </c>
      <c r="BX15" s="4"/>
      <c r="BY15" s="4"/>
      <c r="BZ15" s="4"/>
      <c r="CA15" s="4"/>
      <c r="DJ15" s="39">
        <v>46215</v>
      </c>
      <c r="DK15" s="23">
        <v>400</v>
      </c>
      <c r="DL15" s="23"/>
      <c r="DM15" s="110"/>
      <c r="DP15" s="23" t="s">
        <v>302</v>
      </c>
      <c r="DQ15" s="23">
        <v>1000</v>
      </c>
      <c r="DR15" s="39">
        <v>46220</v>
      </c>
      <c r="DV15" s="4"/>
      <c r="DW15" s="4"/>
      <c r="DX15" s="7">
        <v>30</v>
      </c>
      <c r="DY15" s="58">
        <v>46226</v>
      </c>
      <c r="EC15" s="7" t="s">
        <v>196</v>
      </c>
      <c r="ED15" s="23">
        <v>2550</v>
      </c>
      <c r="EE15" s="39">
        <v>46226</v>
      </c>
      <c r="EK15" s="23" t="s">
        <v>302</v>
      </c>
      <c r="EL15" s="23">
        <v>15</v>
      </c>
      <c r="EM15" s="39">
        <v>46190</v>
      </c>
    </row>
    <row r="16" spans="3:144" x14ac:dyDescent="0.25">
      <c r="C16" s="7"/>
      <c r="D16" s="7"/>
      <c r="E16" s="23">
        <v>10</v>
      </c>
      <c r="F16" s="39">
        <v>46217</v>
      </c>
      <c r="I16" s="7"/>
      <c r="J16" s="7"/>
      <c r="K16" s="23">
        <v>100</v>
      </c>
      <c r="L16" s="39">
        <v>46218</v>
      </c>
      <c r="O16" s="4"/>
      <c r="P16" s="4"/>
      <c r="Q16" s="4"/>
      <c r="T16" s="7"/>
      <c r="U16" s="7"/>
      <c r="V16" s="23">
        <v>500</v>
      </c>
      <c r="W16" s="39">
        <v>46220</v>
      </c>
      <c r="Z16" s="7" t="s">
        <v>526</v>
      </c>
      <c r="AA16" s="23">
        <v>100</v>
      </c>
      <c r="AB16" s="39">
        <v>46215</v>
      </c>
      <c r="AP16" s="7"/>
      <c r="AQ16" s="7"/>
      <c r="AR16" s="23">
        <v>500</v>
      </c>
      <c r="AS16" s="39">
        <v>46223</v>
      </c>
      <c r="AV16" s="7"/>
      <c r="AW16" s="7">
        <v>0.5</v>
      </c>
      <c r="AX16" s="23">
        <v>10</v>
      </c>
      <c r="AY16" s="39">
        <v>46220</v>
      </c>
      <c r="BH16" s="4"/>
      <c r="BI16" s="4"/>
      <c r="BJ16" s="4"/>
      <c r="BM16" s="7"/>
      <c r="BN16" s="7"/>
      <c r="BO16" s="23">
        <v>300</v>
      </c>
      <c r="BP16" s="39">
        <v>46225</v>
      </c>
      <c r="BX16" s="4"/>
      <c r="BY16" s="4"/>
      <c r="BZ16" s="4"/>
      <c r="CA16" s="4"/>
      <c r="DJ16" s="39">
        <v>46216</v>
      </c>
      <c r="DK16" s="23">
        <v>955</v>
      </c>
      <c r="DL16" s="23">
        <f>10+650</f>
        <v>660</v>
      </c>
      <c r="DM16" s="110"/>
      <c r="DP16" s="4"/>
      <c r="DQ16" s="23">
        <v>500</v>
      </c>
      <c r="DR16" s="39">
        <v>46223</v>
      </c>
      <c r="DV16" s="4"/>
      <c r="DW16" s="4"/>
      <c r="DX16" s="4"/>
      <c r="DY16" s="16"/>
      <c r="EC16" s="4"/>
      <c r="ED16" s="4"/>
      <c r="EE16" s="4"/>
      <c r="EK16" s="23" t="s">
        <v>302</v>
      </c>
      <c r="EL16" s="23">
        <v>200</v>
      </c>
      <c r="EM16" s="39">
        <v>46191</v>
      </c>
    </row>
    <row r="17" spans="3:143" x14ac:dyDescent="0.25">
      <c r="C17" s="7"/>
      <c r="D17" s="7"/>
      <c r="E17" s="23">
        <v>120</v>
      </c>
      <c r="F17" s="39">
        <v>46218</v>
      </c>
      <c r="I17" s="7"/>
      <c r="J17" s="7">
        <v>0.25</v>
      </c>
      <c r="K17" s="23">
        <v>122</v>
      </c>
      <c r="L17" s="39">
        <v>46219</v>
      </c>
      <c r="T17" s="7"/>
      <c r="U17" s="7"/>
      <c r="V17" s="23">
        <v>10</v>
      </c>
      <c r="W17" s="39">
        <v>46222</v>
      </c>
      <c r="Z17" s="7" t="s">
        <v>370</v>
      </c>
      <c r="AA17" s="23">
        <v>1000</v>
      </c>
      <c r="AB17" s="39">
        <v>46216</v>
      </c>
      <c r="AP17" s="7"/>
      <c r="AQ17" s="7"/>
      <c r="AR17" s="23">
        <v>500</v>
      </c>
      <c r="AS17" s="39">
        <v>46225</v>
      </c>
      <c r="AV17" s="7"/>
      <c r="AW17" s="7"/>
      <c r="AX17" s="23">
        <v>30</v>
      </c>
      <c r="AY17" s="39">
        <v>46222</v>
      </c>
      <c r="BM17" s="4"/>
      <c r="BN17" s="7"/>
      <c r="BO17" s="4"/>
      <c r="BP17" s="58"/>
      <c r="DJ17" s="39">
        <v>46217</v>
      </c>
      <c r="DK17" s="23">
        <v>780</v>
      </c>
      <c r="DL17" s="23">
        <f>10+50</f>
        <v>60</v>
      </c>
      <c r="DM17" s="110"/>
      <c r="DP17" s="23"/>
      <c r="DQ17" s="23"/>
      <c r="DR17" s="39"/>
      <c r="DV17" s="4"/>
      <c r="DW17" s="4"/>
      <c r="DX17" s="4"/>
      <c r="DY17" s="16"/>
      <c r="EC17" s="4"/>
      <c r="ED17" s="4"/>
      <c r="EE17" s="4"/>
      <c r="EK17" s="23" t="s">
        <v>302</v>
      </c>
      <c r="EL17" s="23">
        <v>150</v>
      </c>
      <c r="EM17" s="39">
        <v>46192</v>
      </c>
    </row>
    <row r="18" spans="3:143" x14ac:dyDescent="0.25">
      <c r="C18" s="7"/>
      <c r="D18" s="7"/>
      <c r="E18" s="23">
        <v>82</v>
      </c>
      <c r="F18" s="39">
        <v>46219</v>
      </c>
      <c r="I18" s="7"/>
      <c r="J18" s="7">
        <v>1</v>
      </c>
      <c r="K18" s="23">
        <v>60</v>
      </c>
      <c r="L18" s="39">
        <v>46221</v>
      </c>
      <c r="T18" s="7"/>
      <c r="U18" s="7"/>
      <c r="V18" s="23">
        <v>500</v>
      </c>
      <c r="W18" s="39">
        <v>46223</v>
      </c>
      <c r="Z18" s="7" t="s">
        <v>526</v>
      </c>
      <c r="AA18" s="23">
        <v>100</v>
      </c>
      <c r="AB18" s="39">
        <v>46216</v>
      </c>
      <c r="AP18" s="4"/>
      <c r="AQ18" s="4"/>
      <c r="AR18" s="4"/>
      <c r="AS18" s="4"/>
      <c r="AV18" s="7"/>
      <c r="AW18" s="7"/>
      <c r="AX18" s="23">
        <v>700</v>
      </c>
      <c r="AY18" s="39">
        <v>46223</v>
      </c>
      <c r="BM18" s="4"/>
      <c r="BN18" s="4"/>
      <c r="BO18" s="4"/>
      <c r="BP18" s="4"/>
      <c r="DJ18" s="39">
        <v>46218</v>
      </c>
      <c r="DK18" s="23">
        <v>1020</v>
      </c>
      <c r="DL18" s="23"/>
      <c r="DM18" s="110"/>
      <c r="DP18" s="4"/>
      <c r="DQ18" s="23"/>
      <c r="DR18" s="39"/>
      <c r="DY18" s="14"/>
      <c r="EC18" s="4"/>
      <c r="ED18" s="4"/>
      <c r="EE18" s="4"/>
      <c r="EK18" s="23" t="s">
        <v>302</v>
      </c>
      <c r="EL18" s="23">
        <v>20</v>
      </c>
      <c r="EM18" s="39">
        <v>46193</v>
      </c>
    </row>
    <row r="19" spans="3:143" x14ac:dyDescent="0.25">
      <c r="C19" s="7"/>
      <c r="D19" s="7"/>
      <c r="E19" s="23">
        <v>10</v>
      </c>
      <c r="F19" s="39">
        <v>46221</v>
      </c>
      <c r="I19" s="7"/>
      <c r="J19" s="7">
        <v>0.25</v>
      </c>
      <c r="K19" s="23">
        <v>20</v>
      </c>
      <c r="L19" s="39">
        <v>46220</v>
      </c>
      <c r="T19" s="7"/>
      <c r="U19" s="7"/>
      <c r="V19" s="23">
        <v>10</v>
      </c>
      <c r="W19" s="39">
        <v>46223</v>
      </c>
      <c r="Z19" s="7" t="s">
        <v>526</v>
      </c>
      <c r="AA19" s="23">
        <v>100</v>
      </c>
      <c r="AB19" s="39">
        <v>46217</v>
      </c>
      <c r="AP19" s="4"/>
      <c r="AQ19" s="4"/>
      <c r="AR19" s="4"/>
      <c r="AS19" s="4"/>
      <c r="AV19" s="7"/>
      <c r="AW19" s="7">
        <v>0.5</v>
      </c>
      <c r="AX19" s="23"/>
      <c r="AY19" s="39">
        <v>46224</v>
      </c>
      <c r="BM19" s="4"/>
      <c r="BN19" s="4"/>
      <c r="BO19" s="4"/>
      <c r="BP19" s="4"/>
      <c r="DJ19" s="39">
        <v>46219</v>
      </c>
      <c r="DK19" s="23">
        <v>345</v>
      </c>
      <c r="DL19" s="23">
        <v>50</v>
      </c>
      <c r="DM19" s="110" t="s">
        <v>526</v>
      </c>
      <c r="DR19" s="14"/>
      <c r="DY19" s="14"/>
      <c r="EK19" s="23" t="s">
        <v>302</v>
      </c>
      <c r="EL19" s="23">
        <v>70</v>
      </c>
      <c r="EM19" s="39">
        <v>46197</v>
      </c>
    </row>
    <row r="20" spans="3:143" x14ac:dyDescent="0.25">
      <c r="C20" s="7"/>
      <c r="D20" s="7"/>
      <c r="E20" s="23">
        <v>60</v>
      </c>
      <c r="F20" s="39">
        <v>46221</v>
      </c>
      <c r="I20" s="7"/>
      <c r="J20" s="7"/>
      <c r="K20" s="23">
        <v>500</v>
      </c>
      <c r="L20" s="39">
        <v>46220</v>
      </c>
      <c r="T20" s="4"/>
      <c r="U20" s="4"/>
      <c r="V20" s="23">
        <v>25</v>
      </c>
      <c r="W20" s="16">
        <v>46225</v>
      </c>
      <c r="Z20" s="7" t="s">
        <v>370</v>
      </c>
      <c r="AA20" s="23">
        <v>500</v>
      </c>
      <c r="AB20" s="39">
        <v>46217</v>
      </c>
      <c r="AP20" s="4"/>
      <c r="AQ20" s="4"/>
      <c r="AR20" s="4"/>
      <c r="AS20" s="4"/>
      <c r="AV20" s="4"/>
      <c r="AW20" s="4"/>
      <c r="AX20" s="4"/>
      <c r="AY20" s="4"/>
      <c r="DJ20" s="39">
        <v>46220</v>
      </c>
      <c r="DK20" s="23">
        <v>213</v>
      </c>
      <c r="DL20" s="23">
        <f>80+50</f>
        <v>130</v>
      </c>
      <c r="DM20" s="110" t="s">
        <v>674</v>
      </c>
      <c r="DR20" s="14"/>
      <c r="DY20" s="14"/>
      <c r="EK20" s="23" t="s">
        <v>302</v>
      </c>
      <c r="EL20" s="23">
        <v>10</v>
      </c>
      <c r="EM20" s="39">
        <v>46205</v>
      </c>
    </row>
    <row r="21" spans="3:143" x14ac:dyDescent="0.25">
      <c r="C21" s="7"/>
      <c r="D21" s="7"/>
      <c r="E21" s="23">
        <v>50</v>
      </c>
      <c r="F21" s="39">
        <v>46220</v>
      </c>
      <c r="I21" s="7"/>
      <c r="J21" s="7"/>
      <c r="K21" s="23">
        <v>20</v>
      </c>
      <c r="L21" s="39">
        <v>46222</v>
      </c>
      <c r="T21" s="4"/>
      <c r="U21" s="4"/>
      <c r="V21" s="4"/>
      <c r="W21" s="4"/>
      <c r="Z21" s="7" t="s">
        <v>370</v>
      </c>
      <c r="AA21" s="23">
        <v>10</v>
      </c>
      <c r="AB21" s="39">
        <v>46217</v>
      </c>
      <c r="AV21" s="4"/>
      <c r="AW21" s="4"/>
      <c r="AX21" s="4"/>
      <c r="AY21" s="4"/>
      <c r="DG21" s="7">
        <f>SUM(DK4:DK48)</f>
        <v>15554</v>
      </c>
      <c r="DH21" s="23" t="s">
        <v>304</v>
      </c>
      <c r="DJ21" s="39">
        <v>46221</v>
      </c>
      <c r="DK21" s="23">
        <v>1775</v>
      </c>
      <c r="DL21" s="23">
        <f>10+50</f>
        <v>60</v>
      </c>
      <c r="DM21" s="110" t="s">
        <v>673</v>
      </c>
      <c r="DY21" s="14"/>
      <c r="EK21" s="23" t="s">
        <v>302</v>
      </c>
      <c r="EL21" s="23">
        <v>10</v>
      </c>
      <c r="EM21" s="39">
        <v>46209</v>
      </c>
    </row>
    <row r="22" spans="3:143" x14ac:dyDescent="0.25">
      <c r="C22" s="7"/>
      <c r="D22" s="7"/>
      <c r="E22" s="23">
        <v>50</v>
      </c>
      <c r="F22" s="39">
        <v>46222</v>
      </c>
      <c r="I22" s="7"/>
      <c r="J22" s="7"/>
      <c r="K22" s="23">
        <v>410</v>
      </c>
      <c r="L22" s="39">
        <v>46223</v>
      </c>
      <c r="T22" s="4"/>
      <c r="U22" s="4"/>
      <c r="V22" s="4"/>
      <c r="W22" s="4"/>
      <c r="Z22" s="7" t="s">
        <v>526</v>
      </c>
      <c r="AA22" s="23">
        <v>100</v>
      </c>
      <c r="AB22" s="39">
        <v>46218</v>
      </c>
      <c r="AV22" s="4"/>
      <c r="AW22" s="4"/>
      <c r="AX22" s="4"/>
      <c r="AY22" s="4"/>
      <c r="DG22" s="7">
        <f>SUM(DL4:DL49)</f>
        <v>1405</v>
      </c>
      <c r="DH22" s="23" t="s">
        <v>667</v>
      </c>
      <c r="DJ22" s="39">
        <v>46222</v>
      </c>
      <c r="DK22" s="23">
        <v>170</v>
      </c>
      <c r="DL22" s="23">
        <v>50</v>
      </c>
      <c r="DM22" s="110" t="s">
        <v>526</v>
      </c>
      <c r="DY22" s="14"/>
      <c r="EK22" s="23" t="s">
        <v>302</v>
      </c>
      <c r="EL22" s="23">
        <v>15</v>
      </c>
      <c r="EM22" s="39">
        <v>46215</v>
      </c>
    </row>
    <row r="23" spans="3:143" x14ac:dyDescent="0.25">
      <c r="C23" s="7"/>
      <c r="D23" s="7"/>
      <c r="E23" s="23">
        <v>50</v>
      </c>
      <c r="F23" s="39">
        <v>46223</v>
      </c>
      <c r="I23" s="7"/>
      <c r="J23" s="7"/>
      <c r="K23" s="23"/>
      <c r="L23" s="39"/>
      <c r="T23" s="4"/>
      <c r="U23" s="4"/>
      <c r="V23" s="4"/>
      <c r="W23" s="4"/>
      <c r="Z23" s="7" t="s">
        <v>526</v>
      </c>
      <c r="AA23" s="23">
        <v>100</v>
      </c>
      <c r="AB23" s="39">
        <v>46219</v>
      </c>
      <c r="AV23" s="4"/>
      <c r="AW23" s="4"/>
      <c r="AX23" s="4"/>
      <c r="AY23" s="4"/>
      <c r="DH23" s="193">
        <f>SUM(DG21+DG22)</f>
        <v>16959</v>
      </c>
      <c r="DJ23" s="39">
        <v>46223</v>
      </c>
      <c r="DK23" s="23">
        <v>765</v>
      </c>
      <c r="DL23" s="23">
        <v>50</v>
      </c>
      <c r="DM23" s="110" t="s">
        <v>526</v>
      </c>
      <c r="DY23" s="14"/>
      <c r="EK23" s="23" t="s">
        <v>302</v>
      </c>
      <c r="EL23" s="23">
        <v>261</v>
      </c>
      <c r="EM23" s="39">
        <v>46219</v>
      </c>
    </row>
    <row r="24" spans="3:143" x14ac:dyDescent="0.25">
      <c r="C24" s="7"/>
      <c r="D24" s="7"/>
      <c r="E24" s="23">
        <v>30</v>
      </c>
      <c r="F24" s="39">
        <v>46223</v>
      </c>
      <c r="I24" s="7"/>
      <c r="J24" s="7"/>
      <c r="K24" s="23"/>
      <c r="L24" s="39"/>
      <c r="T24" s="4"/>
      <c r="U24" s="4"/>
      <c r="V24" s="4"/>
      <c r="W24" s="4"/>
      <c r="Z24" s="7" t="s">
        <v>526</v>
      </c>
      <c r="AA24" s="23">
        <v>100</v>
      </c>
      <c r="AB24" s="39">
        <v>46221</v>
      </c>
      <c r="DH24" s="193"/>
      <c r="DJ24" s="39">
        <v>46224</v>
      </c>
      <c r="DK24" s="23">
        <v>830</v>
      </c>
      <c r="DL24" s="4"/>
      <c r="DM24" s="110"/>
      <c r="DY24" s="14"/>
      <c r="EK24" s="23" t="s">
        <v>302</v>
      </c>
      <c r="EL24" s="23">
        <v>75</v>
      </c>
      <c r="EM24" s="39">
        <v>46222</v>
      </c>
    </row>
    <row r="25" spans="3:143" x14ac:dyDescent="0.25">
      <c r="C25" s="4"/>
      <c r="D25" s="4"/>
      <c r="E25" s="23">
        <v>100</v>
      </c>
      <c r="F25" s="39">
        <v>21</v>
      </c>
      <c r="I25" s="4"/>
      <c r="J25" s="4"/>
      <c r="K25" s="4"/>
      <c r="L25" s="4"/>
      <c r="T25" s="4"/>
      <c r="U25" s="4"/>
      <c r="V25" s="4"/>
      <c r="W25" s="4"/>
      <c r="Z25" s="7" t="s">
        <v>526</v>
      </c>
      <c r="AA25" s="23">
        <v>100</v>
      </c>
      <c r="AB25" s="39">
        <v>46220</v>
      </c>
      <c r="DJ25" s="39">
        <v>46225</v>
      </c>
      <c r="DK25" s="23">
        <v>1206</v>
      </c>
      <c r="DL25" s="23">
        <v>50</v>
      </c>
      <c r="DM25" s="23" t="s">
        <v>526</v>
      </c>
      <c r="DY25" s="14"/>
      <c r="EK25" s="23" t="s">
        <v>302</v>
      </c>
      <c r="EL25" s="23">
        <v>15</v>
      </c>
      <c r="EM25" s="39">
        <v>46223</v>
      </c>
    </row>
    <row r="26" spans="3:143" x14ac:dyDescent="0.25">
      <c r="C26" s="4"/>
      <c r="D26" s="4"/>
      <c r="E26" s="4"/>
      <c r="F26" s="4"/>
      <c r="I26" s="4"/>
      <c r="J26" s="4"/>
      <c r="K26" s="4"/>
      <c r="L26" s="4"/>
      <c r="T26" s="4"/>
      <c r="U26" s="4"/>
      <c r="V26" s="4"/>
      <c r="W26" s="4"/>
      <c r="Z26" s="7" t="s">
        <v>526</v>
      </c>
      <c r="AA26" s="23">
        <v>100</v>
      </c>
      <c r="AB26" s="39">
        <v>46222</v>
      </c>
      <c r="DJ26" s="39">
        <v>46226</v>
      </c>
      <c r="DK26" s="23"/>
      <c r="DL26" s="23">
        <v>50</v>
      </c>
      <c r="DM26" s="23" t="s">
        <v>526</v>
      </c>
      <c r="DY26" s="14"/>
      <c r="EK26" s="23" t="s">
        <v>302</v>
      </c>
      <c r="EL26" s="23">
        <v>500</v>
      </c>
      <c r="EM26" s="39">
        <v>46224</v>
      </c>
    </row>
    <row r="27" spans="3:143" x14ac:dyDescent="0.25">
      <c r="C27" s="4"/>
      <c r="D27" s="4"/>
      <c r="E27" s="4"/>
      <c r="F27" s="4"/>
      <c r="I27" s="4"/>
      <c r="J27" s="4"/>
      <c r="K27" s="4"/>
      <c r="L27" s="4"/>
      <c r="T27" s="4"/>
      <c r="U27" s="4"/>
      <c r="V27" s="4"/>
      <c r="W27" s="4"/>
      <c r="Z27" s="7" t="s">
        <v>526</v>
      </c>
      <c r="AA27" s="23">
        <v>100</v>
      </c>
      <c r="AB27" s="39">
        <v>46223</v>
      </c>
      <c r="DJ27" s="39"/>
      <c r="DK27" s="23"/>
      <c r="DL27" s="23"/>
      <c r="DM27" s="23"/>
      <c r="DY27" s="14"/>
      <c r="EK27" s="23" t="s">
        <v>302</v>
      </c>
      <c r="EL27" s="23">
        <v>65</v>
      </c>
      <c r="EM27" s="39">
        <v>46225</v>
      </c>
    </row>
    <row r="28" spans="3:143" ht="15.75" x14ac:dyDescent="0.25">
      <c r="C28" s="4"/>
      <c r="D28" s="4"/>
      <c r="E28" s="4"/>
      <c r="F28" s="4"/>
      <c r="Z28" s="4" t="s">
        <v>526</v>
      </c>
      <c r="AA28" s="23">
        <v>100</v>
      </c>
      <c r="AB28" s="39">
        <v>46224</v>
      </c>
      <c r="DJ28" s="39"/>
      <c r="DK28" s="23"/>
      <c r="DL28" s="23"/>
      <c r="DM28" s="23"/>
      <c r="DY28" s="14"/>
      <c r="EL28" s="23">
        <f>SUM(EL6:EL27)</f>
        <v>1911</v>
      </c>
      <c r="EM28" s="25" t="s">
        <v>47</v>
      </c>
    </row>
    <row r="29" spans="3:143" x14ac:dyDescent="0.25">
      <c r="Z29" s="4" t="s">
        <v>370</v>
      </c>
      <c r="AA29" s="23">
        <v>200</v>
      </c>
      <c r="AB29" s="39">
        <v>46225</v>
      </c>
      <c r="DJ29" s="39"/>
      <c r="DK29" s="23"/>
      <c r="DL29" s="23"/>
      <c r="DM29" s="23"/>
    </row>
    <row r="30" spans="3:143" x14ac:dyDescent="0.25">
      <c r="Z30" s="4" t="s">
        <v>526</v>
      </c>
      <c r="AA30" s="23">
        <v>100</v>
      </c>
      <c r="AB30" s="39">
        <v>46225</v>
      </c>
      <c r="DJ30" s="39"/>
      <c r="DK30" s="23"/>
      <c r="DL30" s="23"/>
      <c r="DM30" s="23"/>
    </row>
    <row r="31" spans="3:143" x14ac:dyDescent="0.25">
      <c r="Z31" s="4" t="s">
        <v>370</v>
      </c>
      <c r="AA31" s="4">
        <v>200</v>
      </c>
      <c r="AB31" s="16">
        <v>46226</v>
      </c>
      <c r="DJ31" s="16"/>
      <c r="DK31" s="4"/>
      <c r="DL31" s="4"/>
      <c r="DM31" s="4"/>
    </row>
    <row r="32" spans="3:143" x14ac:dyDescent="0.25">
      <c r="Z32" s="4" t="s">
        <v>526</v>
      </c>
      <c r="AA32" s="4">
        <v>100</v>
      </c>
      <c r="AB32" s="16">
        <v>46226</v>
      </c>
    </row>
    <row r="33" spans="26:28" x14ac:dyDescent="0.25">
      <c r="Z33" s="4"/>
      <c r="AA33" s="4"/>
      <c r="AB33" s="16"/>
    </row>
    <row r="34" spans="26:28" x14ac:dyDescent="0.25">
      <c r="Z34" s="4"/>
      <c r="AA34" s="4"/>
      <c r="AB34" s="16"/>
    </row>
    <row r="35" spans="26:28" x14ac:dyDescent="0.25">
      <c r="Z35" s="4"/>
      <c r="AA35" s="4"/>
      <c r="AB35" s="16"/>
    </row>
    <row r="36" spans="26:28" x14ac:dyDescent="0.25">
      <c r="Z36" s="4"/>
      <c r="AA36" s="4"/>
      <c r="AB36" s="16"/>
    </row>
  </sheetData>
  <mergeCells count="27">
    <mergeCell ref="AE4:AG4"/>
    <mergeCell ref="C4:F4"/>
    <mergeCell ref="I4:L4"/>
    <mergeCell ref="O4:Q4"/>
    <mergeCell ref="T4:W4"/>
    <mergeCell ref="Z4:AB4"/>
    <mergeCell ref="DJ2:DL2"/>
    <mergeCell ref="DP3:DR3"/>
    <mergeCell ref="DV4:DY4"/>
    <mergeCell ref="CT4:CV4"/>
    <mergeCell ref="AJ4:AM4"/>
    <mergeCell ref="AP4:AS4"/>
    <mergeCell ref="AV4:AY4"/>
    <mergeCell ref="BB4:BE4"/>
    <mergeCell ref="BH4:BJ4"/>
    <mergeCell ref="BM4:BP4"/>
    <mergeCell ref="BS4:BU4"/>
    <mergeCell ref="BX4:CA4"/>
    <mergeCell ref="CD4:CG4"/>
    <mergeCell ref="CJ4:CL4"/>
    <mergeCell ref="CO4:CQ4"/>
    <mergeCell ref="EK4:EM4"/>
    <mergeCell ref="EK3:EM3"/>
    <mergeCell ref="DH23:DH24"/>
    <mergeCell ref="EC5:EE5"/>
    <mergeCell ref="CY4:DA4"/>
    <mergeCell ref="DD4:DF4"/>
  </mergeCells>
  <pageMargins left="0.7" right="0.7" top="0.75" bottom="0.75" header="0.3" footer="0.3"/>
  <pageSetup scale="10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  <pageSetUpPr fitToPage="1"/>
  </sheetPr>
  <dimension ref="A1:K29"/>
  <sheetViews>
    <sheetView zoomScale="131" zoomScaleNormal="100" workbookViewId="0">
      <selection activeCell="E12" sqref="E12"/>
    </sheetView>
  </sheetViews>
  <sheetFormatPr defaultColWidth="8.5703125" defaultRowHeight="15" x14ac:dyDescent="0.25"/>
  <cols>
    <col min="1" max="1" width="19" customWidth="1"/>
    <col min="2" max="2" width="21" customWidth="1"/>
    <col min="3" max="3" width="22.42578125" customWidth="1"/>
    <col min="4" max="4" width="20.42578125" bestFit="1" customWidth="1"/>
    <col min="5" max="5" width="18" customWidth="1"/>
    <col min="6" max="6" width="22" customWidth="1"/>
    <col min="7" max="7" width="20" customWidth="1"/>
  </cols>
  <sheetData>
    <row r="1" spans="1:11" ht="24" customHeight="1" x14ac:dyDescent="0.25">
      <c r="A1" s="264" t="s">
        <v>93</v>
      </c>
      <c r="B1" s="264"/>
      <c r="C1" s="264"/>
      <c r="D1" s="264"/>
      <c r="E1" s="264"/>
      <c r="F1" s="264"/>
      <c r="G1" s="264"/>
    </row>
    <row r="3" spans="1:11" ht="15" customHeight="1" x14ac:dyDescent="0.25">
      <c r="A3" t="s">
        <v>94</v>
      </c>
      <c r="B3" t="s">
        <v>95</v>
      </c>
      <c r="C3" t="s">
        <v>96</v>
      </c>
      <c r="D3" t="s">
        <v>97</v>
      </c>
      <c r="E3" t="s">
        <v>98</v>
      </c>
      <c r="F3" t="s">
        <v>99</v>
      </c>
      <c r="G3" t="s">
        <v>100</v>
      </c>
    </row>
    <row r="4" spans="1:11" ht="15" customHeight="1" x14ac:dyDescent="0.25">
      <c r="A4" s="3" t="s">
        <v>49</v>
      </c>
      <c r="B4" s="3" t="s">
        <v>101</v>
      </c>
      <c r="C4" s="3" t="s">
        <v>91</v>
      </c>
      <c r="D4" s="3" t="s">
        <v>350</v>
      </c>
      <c r="E4" s="3" t="s">
        <v>305</v>
      </c>
      <c r="F4" s="3" t="s">
        <v>102</v>
      </c>
      <c r="G4" s="3" t="s">
        <v>31</v>
      </c>
    </row>
    <row r="5" spans="1:11" ht="42" customHeight="1" x14ac:dyDescent="0.25">
      <c r="A5" s="115">
        <v>7</v>
      </c>
      <c r="B5" s="116">
        <f>SUM('تقفيلة اليوم'!N37)</f>
        <v>409126.83999999997</v>
      </c>
      <c r="C5" s="116">
        <f>SUM('المشتريات اليومية'!L29)</f>
        <v>226013.24000000002</v>
      </c>
      <c r="D5" s="116">
        <f>SUM('المصروفات النثرية'!C5:C270)</f>
        <v>41719</v>
      </c>
      <c r="E5" s="116">
        <v>53911</v>
      </c>
      <c r="F5" s="116">
        <f>SUM(Table2[[#This Row],[Column2]]-K5)</f>
        <v>87483.599999999977</v>
      </c>
      <c r="G5" s="162" t="s">
        <v>637</v>
      </c>
      <c r="K5">
        <f>SUM(Table2[[#This Row],[Column3]:[Column5]])</f>
        <v>321643.24</v>
      </c>
    </row>
    <row r="6" spans="1:11" ht="15" customHeight="1" x14ac:dyDescent="0.25">
      <c r="B6" s="1"/>
      <c r="C6" s="1"/>
      <c r="D6" s="1"/>
      <c r="E6" s="1"/>
      <c r="F6" s="1"/>
    </row>
    <row r="7" spans="1:11" ht="15" customHeight="1" x14ac:dyDescent="0.25">
      <c r="B7" s="1"/>
      <c r="C7" s="1"/>
      <c r="D7" s="1"/>
      <c r="E7" s="1"/>
      <c r="F7" s="1"/>
    </row>
    <row r="8" spans="1:11" ht="15" customHeight="1" x14ac:dyDescent="0.25">
      <c r="B8" s="1"/>
      <c r="C8" s="1"/>
      <c r="D8" s="1"/>
      <c r="E8" s="1">
        <f>40393+13518</f>
        <v>53911</v>
      </c>
      <c r="F8" s="1"/>
    </row>
    <row r="9" spans="1:11" ht="15" customHeight="1" x14ac:dyDescent="0.25">
      <c r="B9" s="1"/>
      <c r="C9" s="1"/>
      <c r="D9" s="1"/>
      <c r="E9" s="1"/>
      <c r="F9" s="1"/>
    </row>
    <row r="10" spans="1:11" ht="15" customHeight="1" x14ac:dyDescent="0.25">
      <c r="B10" s="1"/>
      <c r="C10" s="1"/>
      <c r="D10" s="1"/>
      <c r="E10" s="1"/>
      <c r="F10" s="1"/>
    </row>
    <row r="11" spans="1:11" ht="15" customHeight="1" x14ac:dyDescent="0.25">
      <c r="B11" s="1"/>
      <c r="C11" s="1"/>
      <c r="D11" s="1"/>
      <c r="E11" s="1"/>
      <c r="F11" s="1"/>
    </row>
    <row r="12" spans="1:11" ht="15" customHeight="1" x14ac:dyDescent="0.25">
      <c r="B12" s="1"/>
      <c r="C12" s="1"/>
      <c r="D12" s="1"/>
      <c r="E12" s="1"/>
      <c r="F12" s="1"/>
    </row>
    <row r="13" spans="1:11" ht="15" customHeight="1" x14ac:dyDescent="0.25">
      <c r="B13" s="1"/>
      <c r="C13" s="1"/>
      <c r="D13" s="1"/>
      <c r="E13" s="1"/>
      <c r="F13" s="1"/>
    </row>
    <row r="14" spans="1:11" ht="15" customHeight="1" x14ac:dyDescent="0.25">
      <c r="B14" s="1"/>
      <c r="C14" s="1">
        <f>SUM(C5:E5)</f>
        <v>321643.24</v>
      </c>
      <c r="D14" s="1"/>
      <c r="E14" s="1"/>
      <c r="F14" s="1"/>
    </row>
    <row r="15" spans="1:11" ht="15" customHeight="1" x14ac:dyDescent="0.25">
      <c r="B15" s="1"/>
      <c r="C15" s="1"/>
      <c r="D15" s="1"/>
      <c r="E15" s="1"/>
      <c r="F15" s="1"/>
    </row>
    <row r="16" spans="1:11" x14ac:dyDescent="0.25">
      <c r="C16" s="1"/>
    </row>
    <row r="17" spans="1:5" x14ac:dyDescent="0.25">
      <c r="C17" s="1">
        <f>B5-C14</f>
        <v>87483.599999999977</v>
      </c>
      <c r="D17" s="1"/>
    </row>
    <row r="19" spans="1:5" ht="15.75" x14ac:dyDescent="0.25">
      <c r="C19" s="164" t="s">
        <v>635</v>
      </c>
    </row>
    <row r="21" spans="1:5" x14ac:dyDescent="0.25">
      <c r="A21" s="23" t="s">
        <v>633</v>
      </c>
      <c r="B21" s="23" t="s">
        <v>632</v>
      </c>
      <c r="C21" s="62" t="s">
        <v>127</v>
      </c>
      <c r="D21" s="23" t="s">
        <v>305</v>
      </c>
      <c r="E21" s="23" t="s">
        <v>634</v>
      </c>
    </row>
    <row r="22" spans="1:5" ht="25.5" customHeight="1" x14ac:dyDescent="0.25">
      <c r="A22" s="62">
        <f>SUM('تقفيلة اليوم'!N6:N18)</f>
        <v>248671.74</v>
      </c>
      <c r="B22" s="23">
        <f>SUM('المصروفات النثرية'!C5:C40)</f>
        <v>36430</v>
      </c>
      <c r="C22" s="62">
        <f>SUM('المشتريات اليومية'!G5:G47)</f>
        <v>149643.44</v>
      </c>
      <c r="D22" s="23">
        <f>SUM('سلف الموظفين'!C6:C114)</f>
        <v>16913</v>
      </c>
      <c r="E22" s="62">
        <f>SUM(A22-B29)</f>
        <v>45685.299999999988</v>
      </c>
    </row>
    <row r="29" spans="1:5" x14ac:dyDescent="0.25">
      <c r="B29">
        <f>SUM(B22:D22)</f>
        <v>202986.44</v>
      </c>
    </row>
  </sheetData>
  <mergeCells count="1">
    <mergeCell ref="A1:G1"/>
  </mergeCells>
  <pageMargins left="0.75" right="0.75" top="1" bottom="1" header="0.511811023622047" footer="0.511811023622047"/>
  <pageSetup paperSize="9" scale="85" fitToHeight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  <pageSetUpPr fitToPage="1"/>
  </sheetPr>
  <dimension ref="A1:AH39"/>
  <sheetViews>
    <sheetView tabSelected="1" topLeftCell="A8" zoomScale="80" zoomScaleNormal="100" workbookViewId="0">
      <selection activeCell="E28" sqref="E28"/>
    </sheetView>
  </sheetViews>
  <sheetFormatPr defaultColWidth="8.5703125" defaultRowHeight="15" x14ac:dyDescent="0.25"/>
  <cols>
    <col min="1" max="1" width="14.42578125" customWidth="1"/>
    <col min="2" max="4" width="12" customWidth="1"/>
    <col min="5" max="5" width="15.140625" customWidth="1"/>
    <col min="6" max="6" width="20.140625" customWidth="1"/>
    <col min="7" max="7" width="25" customWidth="1"/>
    <col min="8" max="8" width="20" customWidth="1"/>
    <col min="9" max="9" width="28.140625" customWidth="1"/>
    <col min="10" max="10" width="16" customWidth="1"/>
    <col min="11" max="11" width="19.85546875" customWidth="1"/>
    <col min="12" max="13" width="16" customWidth="1"/>
    <col min="14" max="14" width="15.42578125" customWidth="1"/>
    <col min="15" max="15" width="68.7109375" bestFit="1" customWidth="1"/>
    <col min="17" max="17" width="11.42578125" bestFit="1" customWidth="1"/>
    <col min="20" max="20" width="30.5703125" customWidth="1"/>
    <col min="21" max="21" width="21.28515625" customWidth="1"/>
    <col min="22" max="22" width="23.85546875" customWidth="1"/>
    <col min="23" max="23" width="27.5703125" customWidth="1"/>
    <col min="31" max="31" width="14.7109375" customWidth="1"/>
    <col min="32" max="32" width="11.140625" customWidth="1"/>
    <col min="33" max="33" width="11.5703125" customWidth="1"/>
    <col min="34" max="34" width="14.28515625" customWidth="1"/>
  </cols>
  <sheetData>
    <row r="1" spans="1:34" ht="18.75" customHeight="1" x14ac:dyDescent="0.3">
      <c r="A1" s="2"/>
      <c r="B1" s="15"/>
      <c r="C1" s="15"/>
      <c r="D1" s="15"/>
      <c r="E1" s="15"/>
    </row>
    <row r="2" spans="1:34" x14ac:dyDescent="0.25">
      <c r="A2" s="233" t="s">
        <v>379</v>
      </c>
      <c r="B2" s="233"/>
      <c r="C2" s="233"/>
      <c r="D2" s="233"/>
      <c r="E2" s="233"/>
      <c r="F2" s="233"/>
      <c r="G2" s="233"/>
      <c r="H2" s="233"/>
      <c r="I2" s="233"/>
      <c r="J2" s="233"/>
      <c r="K2" s="233"/>
      <c r="L2" s="233"/>
      <c r="M2" s="233"/>
      <c r="N2" s="233"/>
    </row>
    <row r="3" spans="1:34" ht="18.75" customHeight="1" x14ac:dyDescent="0.25">
      <c r="A3" s="233"/>
      <c r="B3" s="233"/>
      <c r="C3" s="233"/>
      <c r="D3" s="233"/>
      <c r="E3" s="233"/>
      <c r="F3" s="233"/>
      <c r="G3" s="233"/>
      <c r="H3" s="233"/>
      <c r="I3" s="233"/>
      <c r="J3" s="233"/>
      <c r="K3" s="233"/>
      <c r="L3" s="233"/>
      <c r="M3" s="233"/>
      <c r="N3" s="233"/>
      <c r="T3" s="265" t="s">
        <v>564</v>
      </c>
      <c r="U3" s="266"/>
      <c r="V3" s="266"/>
      <c r="W3" s="267"/>
    </row>
    <row r="4" spans="1:34" ht="18.75" customHeight="1" x14ac:dyDescent="0.25">
      <c r="A4" s="55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T4" s="268"/>
      <c r="U4" s="269"/>
      <c r="V4" s="269"/>
      <c r="W4" s="270"/>
    </row>
    <row r="5" spans="1:34" ht="31.5" customHeight="1" x14ac:dyDescent="0.25">
      <c r="A5" s="68" t="s">
        <v>26</v>
      </c>
      <c r="B5" s="69" t="s">
        <v>27</v>
      </c>
      <c r="C5" s="69" t="s">
        <v>28</v>
      </c>
      <c r="D5" s="69" t="s">
        <v>44</v>
      </c>
      <c r="E5" s="69" t="s">
        <v>29</v>
      </c>
      <c r="F5" s="69" t="s">
        <v>45</v>
      </c>
      <c r="G5" s="69" t="s">
        <v>380</v>
      </c>
      <c r="H5" s="69" t="s">
        <v>46</v>
      </c>
      <c r="I5" s="69" t="s">
        <v>561</v>
      </c>
      <c r="J5" s="69" t="s">
        <v>559</v>
      </c>
      <c r="K5" s="69" t="s">
        <v>560</v>
      </c>
      <c r="L5" s="69" t="s">
        <v>115</v>
      </c>
      <c r="M5" s="69" t="s">
        <v>116</v>
      </c>
      <c r="N5" s="69" t="s">
        <v>47</v>
      </c>
      <c r="O5" s="69" t="s">
        <v>31</v>
      </c>
      <c r="T5" s="136" t="s">
        <v>31</v>
      </c>
      <c r="U5" s="136" t="s">
        <v>563</v>
      </c>
      <c r="V5" s="136" t="s">
        <v>207</v>
      </c>
      <c r="W5" s="136" t="s">
        <v>562</v>
      </c>
    </row>
    <row r="6" spans="1:34" ht="25.5" customHeight="1" x14ac:dyDescent="0.25">
      <c r="A6" s="39">
        <v>46204</v>
      </c>
      <c r="B6" s="23" t="str">
        <f t="shared" ref="B6:B36" si="0">CHOOSE(WEEKDAY(A6,2),"الاثنين","الثلاثاء","الأربعاء","الخميس","الجمعة","السبت","الأحد")</f>
        <v>الأربعاء</v>
      </c>
      <c r="C6" s="23">
        <f>4700+2927</f>
        <v>7627</v>
      </c>
      <c r="D6" s="23">
        <f>65+80+315+775+180+295+65+425</f>
        <v>2200</v>
      </c>
      <c r="E6" s="23"/>
      <c r="F6" s="62">
        <v>1481.74</v>
      </c>
      <c r="G6" s="62">
        <f>1910+50</f>
        <v>1960</v>
      </c>
      <c r="H6" s="62">
        <v>1110</v>
      </c>
      <c r="I6" s="62"/>
      <c r="J6" s="62">
        <v>3000</v>
      </c>
      <c r="K6" s="62"/>
      <c r="L6" s="62">
        <v>200</v>
      </c>
      <c r="M6" s="62">
        <v>1220</v>
      </c>
      <c r="N6" s="62">
        <f>SUM(C6:M6)</f>
        <v>18798.739999999998</v>
      </c>
      <c r="O6" s="23" t="s">
        <v>568</v>
      </c>
      <c r="T6" s="7"/>
      <c r="U6" s="43"/>
      <c r="V6" s="43"/>
      <c r="W6" s="39"/>
      <c r="AH6" s="14"/>
    </row>
    <row r="7" spans="1:34" ht="25.5" customHeight="1" x14ac:dyDescent="0.25">
      <c r="A7" s="73">
        <v>46205</v>
      </c>
      <c r="B7" s="70" t="str">
        <f t="shared" si="0"/>
        <v>الخميس</v>
      </c>
      <c r="C7" s="70">
        <f>1175+1173</f>
        <v>2348</v>
      </c>
      <c r="D7" s="70">
        <f>100+175+60+100+100</f>
        <v>535</v>
      </c>
      <c r="E7" s="70"/>
      <c r="F7" s="76">
        <f>1220+315+1065+50</f>
        <v>2650</v>
      </c>
      <c r="G7" s="76">
        <f>800+40+200+150+2250</f>
        <v>3440</v>
      </c>
      <c r="H7" s="76">
        <f>600+25+50+10+100+100+20+10+200</f>
        <v>1115</v>
      </c>
      <c r="I7" s="76">
        <v>10000</v>
      </c>
      <c r="J7" s="76"/>
      <c r="K7" s="76"/>
      <c r="L7" s="76"/>
      <c r="M7" s="76"/>
      <c r="N7" s="76">
        <f>SUM(C7:M7)</f>
        <v>20088</v>
      </c>
      <c r="O7" s="70" t="s">
        <v>565</v>
      </c>
      <c r="T7" s="7"/>
      <c r="U7" s="43"/>
      <c r="V7" s="43"/>
      <c r="W7" s="39"/>
      <c r="AH7" s="14"/>
    </row>
    <row r="8" spans="1:34" ht="26.25" customHeight="1" x14ac:dyDescent="0.25">
      <c r="A8" s="39">
        <v>46206</v>
      </c>
      <c r="B8" s="23" t="str">
        <f t="shared" si="0"/>
        <v>الجمعة</v>
      </c>
      <c r="C8" s="23">
        <v>3000</v>
      </c>
      <c r="D8" s="23">
        <v>145</v>
      </c>
      <c r="E8" s="23">
        <v>220</v>
      </c>
      <c r="F8" s="62">
        <f>1360</f>
        <v>1360</v>
      </c>
      <c r="G8" s="62">
        <f>8000+570+2000+750</f>
        <v>11320</v>
      </c>
      <c r="H8" s="62">
        <f>30+200+100+200+50+10+200+10+10+30+30</f>
        <v>870</v>
      </c>
      <c r="I8" s="62">
        <v>10000</v>
      </c>
      <c r="J8" s="62"/>
      <c r="K8" s="62"/>
      <c r="L8" s="62"/>
      <c r="M8" s="62"/>
      <c r="N8" s="62">
        <f>SUM(C8:M8)</f>
        <v>26915</v>
      </c>
      <c r="O8" s="23" t="s">
        <v>566</v>
      </c>
      <c r="T8" s="7"/>
      <c r="U8" s="43"/>
      <c r="V8" s="43"/>
      <c r="W8" s="39"/>
      <c r="AH8" s="14"/>
    </row>
    <row r="9" spans="1:34" ht="27" customHeight="1" x14ac:dyDescent="0.25">
      <c r="A9" s="73">
        <v>46207</v>
      </c>
      <c r="B9" s="70" t="str">
        <f t="shared" si="0"/>
        <v>السبت</v>
      </c>
      <c r="C9" s="70">
        <v>1955</v>
      </c>
      <c r="D9" s="70">
        <v>125</v>
      </c>
      <c r="E9" s="70">
        <f>180+915+395</f>
        <v>1490</v>
      </c>
      <c r="F9" s="76">
        <f>950+1570+1425</f>
        <v>3945</v>
      </c>
      <c r="G9" s="76">
        <v>150</v>
      </c>
      <c r="H9" s="76">
        <f>25+25+100+125+125+125+100+300+350+200+125+150</f>
        <v>1750</v>
      </c>
      <c r="I9" s="76">
        <v>5000</v>
      </c>
      <c r="J9" s="76">
        <v>800</v>
      </c>
      <c r="K9" s="76"/>
      <c r="L9" s="76"/>
      <c r="M9" s="76"/>
      <c r="N9" s="76">
        <f>SUM(C9:J9)</f>
        <v>15215</v>
      </c>
      <c r="O9" s="70" t="s">
        <v>567</v>
      </c>
      <c r="T9" s="7"/>
      <c r="U9" s="43"/>
      <c r="V9" s="43"/>
      <c r="W9" s="39"/>
      <c r="AH9" s="14"/>
    </row>
    <row r="10" spans="1:34" ht="24.75" customHeight="1" x14ac:dyDescent="0.25">
      <c r="A10" s="39">
        <v>46208</v>
      </c>
      <c r="B10" s="23" t="str">
        <f t="shared" si="0"/>
        <v>الأحد</v>
      </c>
      <c r="C10" s="23">
        <v>1275</v>
      </c>
      <c r="D10" s="23">
        <v>280</v>
      </c>
      <c r="E10" s="23">
        <v>430</v>
      </c>
      <c r="F10" s="62">
        <f>515+2350</f>
        <v>2865</v>
      </c>
      <c r="G10" s="62"/>
      <c r="H10" s="62">
        <v>1110</v>
      </c>
      <c r="I10" s="62"/>
      <c r="J10" s="62">
        <v>12370</v>
      </c>
      <c r="K10" s="62"/>
      <c r="L10" s="62"/>
      <c r="M10" s="62"/>
      <c r="N10" s="62">
        <f>SUM(C10:J10)</f>
        <v>18330</v>
      </c>
      <c r="O10" s="85"/>
      <c r="T10" s="7"/>
      <c r="U10" s="43"/>
      <c r="V10" s="43"/>
      <c r="W10" s="39"/>
      <c r="AH10" s="14"/>
    </row>
    <row r="11" spans="1:34" ht="24" customHeight="1" x14ac:dyDescent="0.25">
      <c r="A11" s="73">
        <v>46209</v>
      </c>
      <c r="B11" s="70" t="str">
        <f t="shared" si="0"/>
        <v>الاثنين</v>
      </c>
      <c r="C11" s="70">
        <f>2200+9000</f>
        <v>11200</v>
      </c>
      <c r="D11" s="70">
        <v>625</v>
      </c>
      <c r="E11" s="70"/>
      <c r="F11" s="76">
        <f>2940+400</f>
        <v>3340</v>
      </c>
      <c r="G11" s="76">
        <f>175+150</f>
        <v>325</v>
      </c>
      <c r="H11" s="76">
        <f>960+195</f>
        <v>1155</v>
      </c>
      <c r="I11" s="76"/>
      <c r="J11" s="76">
        <v>3000</v>
      </c>
      <c r="K11" s="76"/>
      <c r="L11" s="76"/>
      <c r="M11" s="76"/>
      <c r="N11" s="76">
        <f>SUM(C11:J11)</f>
        <v>19645</v>
      </c>
      <c r="O11" s="84"/>
      <c r="T11" s="7"/>
      <c r="U11" s="43"/>
      <c r="V11" s="43"/>
      <c r="W11" s="39"/>
      <c r="AH11" s="14"/>
    </row>
    <row r="12" spans="1:34" ht="27" customHeight="1" x14ac:dyDescent="0.25">
      <c r="A12" s="39">
        <v>46210</v>
      </c>
      <c r="B12" s="23" t="str">
        <f t="shared" si="0"/>
        <v>الثلاثاء</v>
      </c>
      <c r="C12" s="23">
        <v>9863</v>
      </c>
      <c r="D12" s="23">
        <v>705</v>
      </c>
      <c r="E12" s="23">
        <v>475</v>
      </c>
      <c r="F12" s="62">
        <v>350</v>
      </c>
      <c r="G12" s="62">
        <v>14695</v>
      </c>
      <c r="H12" s="62">
        <v>200</v>
      </c>
      <c r="I12" s="62"/>
      <c r="J12" s="62">
        <v>3000</v>
      </c>
      <c r="K12" s="62"/>
      <c r="L12" s="62"/>
      <c r="M12" s="62"/>
      <c r="N12" s="62">
        <f>SUM(C12:J12)</f>
        <v>29288</v>
      </c>
      <c r="O12" s="82" t="s">
        <v>570</v>
      </c>
      <c r="Q12" s="1">
        <f>SUM(J6:J31)</f>
        <v>40050</v>
      </c>
      <c r="T12" s="7"/>
      <c r="U12" s="43"/>
      <c r="V12" s="43"/>
      <c r="W12" s="39"/>
      <c r="AH12" s="14"/>
    </row>
    <row r="13" spans="1:34" ht="28.5" customHeight="1" x14ac:dyDescent="0.25">
      <c r="A13" s="73">
        <v>46211</v>
      </c>
      <c r="B13" s="70" t="str">
        <f t="shared" si="0"/>
        <v>الأربعاء</v>
      </c>
      <c r="C13" s="70">
        <v>3253</v>
      </c>
      <c r="D13" s="70">
        <v>550</v>
      </c>
      <c r="E13" s="70">
        <v>50</v>
      </c>
      <c r="F13" s="76">
        <v>5605</v>
      </c>
      <c r="G13" s="76">
        <v>280</v>
      </c>
      <c r="H13" s="76">
        <f>5800-5470</f>
        <v>330</v>
      </c>
      <c r="I13" s="76"/>
      <c r="J13" s="76">
        <f>4470+1000</f>
        <v>5470</v>
      </c>
      <c r="K13" s="76"/>
      <c r="L13" s="76"/>
      <c r="M13" s="76"/>
      <c r="N13" s="76">
        <f>SUM(C13:J13)</f>
        <v>15538</v>
      </c>
      <c r="O13" s="86"/>
      <c r="T13" s="7"/>
      <c r="U13" s="43"/>
      <c r="V13" s="43"/>
      <c r="W13" s="39"/>
      <c r="AH13" s="14"/>
    </row>
    <row r="14" spans="1:34" ht="27.75" customHeight="1" x14ac:dyDescent="0.25">
      <c r="A14" s="39">
        <v>46212</v>
      </c>
      <c r="B14" s="23" t="str">
        <f t="shared" si="0"/>
        <v>الخميس</v>
      </c>
      <c r="C14" s="23">
        <v>1540</v>
      </c>
      <c r="D14" s="23">
        <v>985</v>
      </c>
      <c r="E14" s="23">
        <v>690</v>
      </c>
      <c r="F14" s="62">
        <v>10785</v>
      </c>
      <c r="G14" s="62">
        <v>220</v>
      </c>
      <c r="H14" s="62">
        <v>2240</v>
      </c>
      <c r="I14" s="62"/>
      <c r="J14" s="62"/>
      <c r="K14" s="62"/>
      <c r="L14" s="62"/>
      <c r="M14" s="62"/>
      <c r="N14" s="62">
        <f t="shared" ref="N14:N36" si="1">SUM(C14:H14)</f>
        <v>16460</v>
      </c>
      <c r="O14" s="82" t="s">
        <v>398</v>
      </c>
      <c r="Q14" s="1"/>
      <c r="T14" s="7"/>
      <c r="U14" s="43"/>
      <c r="V14" s="43"/>
      <c r="W14" s="39"/>
      <c r="AH14" s="14"/>
    </row>
    <row r="15" spans="1:34" ht="29.25" customHeight="1" x14ac:dyDescent="0.25">
      <c r="A15" s="73">
        <v>46213</v>
      </c>
      <c r="B15" s="70" t="str">
        <f t="shared" si="0"/>
        <v>الجمعة</v>
      </c>
      <c r="C15" s="70">
        <v>190</v>
      </c>
      <c r="D15" s="70"/>
      <c r="E15" s="70">
        <f>40+335</f>
        <v>375</v>
      </c>
      <c r="F15" s="76">
        <f>550</f>
        <v>550</v>
      </c>
      <c r="G15" s="76">
        <v>80</v>
      </c>
      <c r="H15" s="76">
        <v>95</v>
      </c>
      <c r="I15" s="76">
        <v>10000</v>
      </c>
      <c r="J15" s="76"/>
      <c r="K15" s="76"/>
      <c r="L15" s="76"/>
      <c r="M15" s="76"/>
      <c r="N15" s="76">
        <f>SUM(C15:I15)</f>
        <v>11290</v>
      </c>
      <c r="O15" s="83" t="s">
        <v>571</v>
      </c>
      <c r="T15" s="7"/>
      <c r="U15" s="43"/>
      <c r="V15" s="43"/>
      <c r="W15" s="39"/>
      <c r="AH15" s="14"/>
    </row>
    <row r="16" spans="1:34" ht="30.75" customHeight="1" x14ac:dyDescent="0.25">
      <c r="A16" s="39">
        <v>46214</v>
      </c>
      <c r="B16" s="23" t="str">
        <f t="shared" si="0"/>
        <v>السبت</v>
      </c>
      <c r="C16" s="23">
        <v>4650</v>
      </c>
      <c r="D16" s="23">
        <v>150</v>
      </c>
      <c r="E16" s="23">
        <v>580</v>
      </c>
      <c r="F16" s="62">
        <f>630</f>
        <v>630</v>
      </c>
      <c r="G16" s="62">
        <v>150</v>
      </c>
      <c r="H16" s="62">
        <f>850</f>
        <v>850</v>
      </c>
      <c r="I16" s="62">
        <v>6935</v>
      </c>
      <c r="J16" s="62">
        <v>2750</v>
      </c>
      <c r="K16" s="62"/>
      <c r="L16" s="62"/>
      <c r="M16" s="62"/>
      <c r="N16" s="62">
        <f>SUM(C16:J16)</f>
        <v>16695</v>
      </c>
      <c r="O16" s="87"/>
      <c r="S16" s="13"/>
      <c r="T16" s="7"/>
      <c r="U16" s="43"/>
      <c r="V16" s="43"/>
      <c r="W16" s="39"/>
      <c r="AH16" s="14"/>
    </row>
    <row r="17" spans="1:34" ht="26.25" customHeight="1" x14ac:dyDescent="0.25">
      <c r="A17" s="73">
        <v>46215</v>
      </c>
      <c r="B17" s="70" t="str">
        <f t="shared" si="0"/>
        <v>الأحد</v>
      </c>
      <c r="C17" s="70">
        <v>4201</v>
      </c>
      <c r="D17" s="70">
        <v>205</v>
      </c>
      <c r="E17" s="70">
        <v>400</v>
      </c>
      <c r="F17" s="76">
        <f>900</f>
        <v>900</v>
      </c>
      <c r="G17" s="76">
        <f>70+500</f>
        <v>570</v>
      </c>
      <c r="H17" s="76">
        <f>3968-1500</f>
        <v>2468</v>
      </c>
      <c r="I17" s="76">
        <v>7000</v>
      </c>
      <c r="J17" s="76">
        <v>1500</v>
      </c>
      <c r="K17" s="76"/>
      <c r="L17" s="76"/>
      <c r="M17" s="76"/>
      <c r="N17" s="76">
        <f>SUM(C17:L17)</f>
        <v>17244</v>
      </c>
      <c r="O17" s="114"/>
      <c r="T17" s="7"/>
      <c r="U17" s="43"/>
      <c r="V17" s="43"/>
      <c r="W17" s="39"/>
      <c r="AH17" s="14"/>
    </row>
    <row r="18" spans="1:34" ht="25.5" customHeight="1" x14ac:dyDescent="0.25">
      <c r="A18" s="39">
        <v>46216</v>
      </c>
      <c r="B18" s="23" t="str">
        <f t="shared" si="0"/>
        <v>الاثنين</v>
      </c>
      <c r="C18" s="23">
        <v>5405</v>
      </c>
      <c r="D18" s="23">
        <v>300</v>
      </c>
      <c r="E18" s="23">
        <v>955</v>
      </c>
      <c r="F18" s="62">
        <f>7225-40</f>
        <v>7185</v>
      </c>
      <c r="G18" s="62">
        <f>500+40</f>
        <v>540</v>
      </c>
      <c r="H18" s="62">
        <v>3620</v>
      </c>
      <c r="I18" s="62"/>
      <c r="J18" s="62">
        <f>1660+3000+500</f>
        <v>5160</v>
      </c>
      <c r="K18" s="62"/>
      <c r="L18" s="62"/>
      <c r="M18" s="62"/>
      <c r="N18" s="173">
        <f>SUM(C18:J18)</f>
        <v>23165</v>
      </c>
      <c r="O18" s="82"/>
      <c r="T18" s="7"/>
      <c r="U18" s="43"/>
      <c r="V18" s="43"/>
      <c r="W18" s="39"/>
      <c r="AH18" s="14"/>
    </row>
    <row r="19" spans="1:34" ht="27.75" customHeight="1" x14ac:dyDescent="0.25">
      <c r="A19" s="73">
        <v>46217</v>
      </c>
      <c r="B19" s="70" t="str">
        <f t="shared" si="0"/>
        <v>الثلاثاء</v>
      </c>
      <c r="C19" s="70">
        <v>7164</v>
      </c>
      <c r="D19" s="70">
        <v>270</v>
      </c>
      <c r="E19" s="70">
        <v>780</v>
      </c>
      <c r="F19" s="76">
        <v>3700</v>
      </c>
      <c r="G19" s="76">
        <v>150</v>
      </c>
      <c r="H19" s="76">
        <f>5172-3792</f>
        <v>1380</v>
      </c>
      <c r="I19" s="76"/>
      <c r="J19" s="76">
        <v>3000</v>
      </c>
      <c r="K19" s="76">
        <f>360+432</f>
        <v>792</v>
      </c>
      <c r="L19" s="76"/>
      <c r="M19" s="76"/>
      <c r="N19" s="76">
        <f>SUM(C19:K19)</f>
        <v>17236</v>
      </c>
      <c r="O19" s="86" t="s">
        <v>572</v>
      </c>
      <c r="T19" s="7"/>
      <c r="U19" s="43"/>
      <c r="V19" s="43"/>
      <c r="W19" s="39"/>
      <c r="AH19" s="14"/>
    </row>
    <row r="20" spans="1:34" ht="27.75" customHeight="1" x14ac:dyDescent="0.25">
      <c r="A20" s="39">
        <v>46218</v>
      </c>
      <c r="B20" s="23" t="str">
        <f t="shared" si="0"/>
        <v>الأربعاء</v>
      </c>
      <c r="C20" s="23">
        <v>4255</v>
      </c>
      <c r="D20" s="23">
        <v>585</v>
      </c>
      <c r="E20" s="23">
        <v>1020</v>
      </c>
      <c r="F20" s="62">
        <v>8197</v>
      </c>
      <c r="G20" s="62">
        <f>200+30+50+70</f>
        <v>350</v>
      </c>
      <c r="H20" s="62">
        <f>5857-100</f>
        <v>5757</v>
      </c>
      <c r="I20" s="62"/>
      <c r="J20" s="62"/>
      <c r="K20" s="62"/>
      <c r="L20" s="62">
        <v>100</v>
      </c>
      <c r="M20" s="62"/>
      <c r="N20" s="62">
        <f>SUM(C20:L20)</f>
        <v>20264</v>
      </c>
      <c r="O20" s="127" t="s">
        <v>530</v>
      </c>
      <c r="T20" s="7"/>
      <c r="U20" s="43"/>
      <c r="V20" s="43"/>
      <c r="W20" s="39"/>
      <c r="AH20" s="14"/>
    </row>
    <row r="21" spans="1:34" ht="27" customHeight="1" x14ac:dyDescent="0.25">
      <c r="A21" s="73">
        <v>46219</v>
      </c>
      <c r="B21" s="70" t="str">
        <f t="shared" si="0"/>
        <v>الخميس</v>
      </c>
      <c r="C21" s="70">
        <v>4120</v>
      </c>
      <c r="D21" s="70">
        <v>170</v>
      </c>
      <c r="E21" s="70">
        <v>345</v>
      </c>
      <c r="F21" s="76">
        <f>SUM('المشتريات اليومية'!G55:G58)</f>
        <v>12650</v>
      </c>
      <c r="G21" s="76">
        <f>SUM('المصروفات النثرية'!D47:D48)</f>
        <v>250</v>
      </c>
      <c r="H21" s="76">
        <f>SUM('سلف الموظفين'!C144:C155)</f>
        <v>3880</v>
      </c>
      <c r="I21" s="76"/>
      <c r="J21" s="76"/>
      <c r="K21" s="76"/>
      <c r="L21" s="76"/>
      <c r="M21" s="76"/>
      <c r="N21" s="76">
        <f t="shared" si="1"/>
        <v>21415</v>
      </c>
      <c r="O21" s="77"/>
      <c r="T21" s="7"/>
      <c r="U21" s="43"/>
      <c r="V21" s="43"/>
      <c r="W21" s="39"/>
      <c r="AH21" s="14"/>
    </row>
    <row r="22" spans="1:34" ht="27" customHeight="1" x14ac:dyDescent="0.25">
      <c r="A22" s="39">
        <v>46220</v>
      </c>
      <c r="B22" s="23" t="str">
        <f t="shared" si="0"/>
        <v>الجمعة</v>
      </c>
      <c r="C22" s="23">
        <v>0</v>
      </c>
      <c r="D22" s="23">
        <v>658</v>
      </c>
      <c r="E22" s="23">
        <v>100</v>
      </c>
      <c r="F22" s="62">
        <f>3310-30</f>
        <v>3280</v>
      </c>
      <c r="G22" s="62">
        <v>30</v>
      </c>
      <c r="H22" s="62">
        <v>2912</v>
      </c>
      <c r="I22" s="62">
        <v>6832</v>
      </c>
      <c r="J22" s="62"/>
      <c r="K22" s="62">
        <f>48+576</f>
        <v>624</v>
      </c>
      <c r="L22" s="62"/>
      <c r="M22" s="62"/>
      <c r="N22" s="62">
        <f>SUM(C22:K22)</f>
        <v>14436</v>
      </c>
      <c r="O22" s="87" t="s">
        <v>573</v>
      </c>
      <c r="T22" s="7"/>
      <c r="U22" s="43"/>
      <c r="V22" s="43"/>
      <c r="W22" s="39"/>
      <c r="AH22" s="14"/>
    </row>
    <row r="23" spans="1:34" ht="25.5" customHeight="1" x14ac:dyDescent="0.25">
      <c r="A23" s="73">
        <v>46221</v>
      </c>
      <c r="B23" s="70" t="str">
        <f t="shared" si="0"/>
        <v>السبت</v>
      </c>
      <c r="C23" s="70">
        <v>3183</v>
      </c>
      <c r="D23" s="70">
        <v>250</v>
      </c>
      <c r="E23" s="70">
        <v>1775</v>
      </c>
      <c r="F23" s="76">
        <f>5055+210</f>
        <v>5265</v>
      </c>
      <c r="G23" s="76"/>
      <c r="H23" s="76">
        <v>5460</v>
      </c>
      <c r="I23" s="76"/>
      <c r="J23" s="76"/>
      <c r="K23" s="76"/>
      <c r="L23" s="76"/>
      <c r="M23" s="76"/>
      <c r="N23" s="76">
        <f t="shared" si="1"/>
        <v>15933</v>
      </c>
      <c r="O23" s="77"/>
      <c r="T23" s="7"/>
      <c r="U23" s="43"/>
      <c r="V23" s="43"/>
      <c r="W23" s="39"/>
      <c r="AH23" s="14"/>
    </row>
    <row r="24" spans="1:34" ht="27" customHeight="1" x14ac:dyDescent="0.25">
      <c r="A24" s="39">
        <v>46222</v>
      </c>
      <c r="B24" s="23" t="str">
        <f t="shared" si="0"/>
        <v>الأحد</v>
      </c>
      <c r="C24" s="23">
        <v>20782</v>
      </c>
      <c r="D24" s="23">
        <v>590</v>
      </c>
      <c r="E24" s="23">
        <v>170</v>
      </c>
      <c r="F24" s="62">
        <v>90</v>
      </c>
      <c r="G24" s="62">
        <f>150+200+120</f>
        <v>470</v>
      </c>
      <c r="H24" s="62">
        <v>1306</v>
      </c>
      <c r="I24" s="62"/>
      <c r="J24" s="62"/>
      <c r="K24" s="62"/>
      <c r="L24" s="62"/>
      <c r="M24" s="62"/>
      <c r="N24" s="62">
        <f t="shared" si="1"/>
        <v>23408</v>
      </c>
      <c r="O24" s="12" t="s">
        <v>588</v>
      </c>
      <c r="T24" s="7"/>
      <c r="U24" s="43"/>
      <c r="V24" s="43"/>
      <c r="W24" s="39"/>
      <c r="AH24" s="14"/>
    </row>
    <row r="25" spans="1:34" ht="26.25" customHeight="1" x14ac:dyDescent="0.25">
      <c r="A25" s="73">
        <v>46223</v>
      </c>
      <c r="B25" s="70" t="str">
        <f t="shared" si="0"/>
        <v>الاثنين</v>
      </c>
      <c r="C25" s="25">
        <v>1522</v>
      </c>
      <c r="D25" s="149">
        <f>80+60+140+90</f>
        <v>370</v>
      </c>
      <c r="E25" s="149">
        <f>110+90+110+265+90+100</f>
        <v>765</v>
      </c>
      <c r="F25" s="76">
        <v>2215</v>
      </c>
      <c r="G25" s="76">
        <v>800</v>
      </c>
      <c r="H25" s="76">
        <v>2785</v>
      </c>
      <c r="I25" s="25">
        <v>6900</v>
      </c>
      <c r="J25" s="76"/>
      <c r="K25" s="76"/>
      <c r="L25" s="76"/>
      <c r="M25" s="76"/>
      <c r="N25" s="76">
        <f>SUM(C25:I25)</f>
        <v>15357</v>
      </c>
      <c r="O25" s="86"/>
      <c r="S25" s="13"/>
      <c r="T25" s="7"/>
      <c r="U25" s="43"/>
      <c r="V25" s="43"/>
      <c r="W25" s="39"/>
      <c r="AH25" s="14"/>
    </row>
    <row r="26" spans="1:34" ht="28.5" customHeight="1" x14ac:dyDescent="0.25">
      <c r="A26" s="39">
        <v>46224</v>
      </c>
      <c r="B26" s="23" t="str">
        <f t="shared" si="0"/>
        <v>الثلاثاء</v>
      </c>
      <c r="C26" s="23">
        <v>877</v>
      </c>
      <c r="D26" s="23">
        <f>85+85+90+130</f>
        <v>390</v>
      </c>
      <c r="E26" s="23">
        <f>200+60+70+155+40+305</f>
        <v>830</v>
      </c>
      <c r="F26" s="62">
        <v>801.1</v>
      </c>
      <c r="G26" s="62">
        <v>279</v>
      </c>
      <c r="H26" s="62">
        <v>2370</v>
      </c>
      <c r="I26" s="62">
        <f>2000+8080</f>
        <v>10080</v>
      </c>
      <c r="J26" s="62"/>
      <c r="K26" s="62"/>
      <c r="L26" s="62"/>
      <c r="M26" s="62"/>
      <c r="N26" s="62">
        <f>SUM(C26:I26)</f>
        <v>15627.1</v>
      </c>
      <c r="O26" s="12" t="s">
        <v>654</v>
      </c>
      <c r="T26" s="51"/>
      <c r="U26" s="51"/>
      <c r="V26" s="51"/>
      <c r="W26" s="51"/>
      <c r="AH26" s="14"/>
    </row>
    <row r="27" spans="1:34" ht="26.25" customHeight="1" x14ac:dyDescent="0.25">
      <c r="A27" s="73">
        <v>46225</v>
      </c>
      <c r="B27" s="74" t="str">
        <f t="shared" si="0"/>
        <v>الأربعاء</v>
      </c>
      <c r="C27" s="74">
        <v>3118</v>
      </c>
      <c r="D27" s="74">
        <v>1955</v>
      </c>
      <c r="E27" s="74">
        <v>1206</v>
      </c>
      <c r="F27" s="75">
        <f>500+350+880+465</f>
        <v>2195</v>
      </c>
      <c r="G27" s="75">
        <f>200+80</f>
        <v>280</v>
      </c>
      <c r="H27" s="75">
        <f>SUM('تفصيلة اليوم'!D129:D138)</f>
        <v>6390</v>
      </c>
      <c r="I27" s="75">
        <v>1635</v>
      </c>
      <c r="J27" s="75"/>
      <c r="K27" s="75"/>
      <c r="L27" s="75"/>
      <c r="M27" s="75"/>
      <c r="N27" s="76">
        <f>SUM(C27:I27)</f>
        <v>16779</v>
      </c>
      <c r="O27" s="77" t="s">
        <v>644</v>
      </c>
      <c r="AH27" s="14"/>
    </row>
    <row r="28" spans="1:34" ht="24.75" customHeight="1" x14ac:dyDescent="0.25">
      <c r="A28" s="39">
        <v>46226</v>
      </c>
      <c r="B28" s="7" t="str">
        <f t="shared" si="0"/>
        <v>الخميس</v>
      </c>
      <c r="C28" s="7"/>
      <c r="D28" s="7"/>
      <c r="E28" s="7"/>
      <c r="F28" s="11"/>
      <c r="G28" s="11"/>
      <c r="H28" s="11"/>
      <c r="I28" s="11"/>
      <c r="J28" s="11"/>
      <c r="K28" s="11"/>
      <c r="L28" s="11"/>
      <c r="M28" s="11"/>
      <c r="N28" s="62">
        <f t="shared" si="1"/>
        <v>0</v>
      </c>
      <c r="O28" s="12"/>
      <c r="AH28" s="14"/>
    </row>
    <row r="29" spans="1:34" ht="27.75" customHeight="1" x14ac:dyDescent="0.25">
      <c r="A29" s="73">
        <v>46227</v>
      </c>
      <c r="B29" s="74" t="str">
        <f t="shared" si="0"/>
        <v>الجمعة</v>
      </c>
      <c r="C29" s="74"/>
      <c r="D29" s="74"/>
      <c r="E29" s="74"/>
      <c r="F29" s="75"/>
      <c r="G29" s="75"/>
      <c r="H29" s="75"/>
      <c r="I29" s="75"/>
      <c r="J29" s="75"/>
      <c r="K29" s="75"/>
      <c r="L29" s="75"/>
      <c r="M29" s="75"/>
      <c r="N29" s="76">
        <f t="shared" si="1"/>
        <v>0</v>
      </c>
      <c r="O29" s="77"/>
      <c r="AH29" s="14"/>
    </row>
    <row r="30" spans="1:34" ht="27" customHeight="1" x14ac:dyDescent="0.25">
      <c r="A30" s="39">
        <v>46228</v>
      </c>
      <c r="B30" s="7" t="str">
        <f t="shared" si="0"/>
        <v>السبت</v>
      </c>
      <c r="C30" s="7"/>
      <c r="D30" s="7"/>
      <c r="E30" s="7"/>
      <c r="F30" s="11"/>
      <c r="G30" s="11"/>
      <c r="H30" s="11"/>
      <c r="I30" s="11"/>
      <c r="J30" s="11"/>
      <c r="K30" s="11"/>
      <c r="L30" s="11"/>
      <c r="M30" s="11"/>
      <c r="N30" s="62">
        <f t="shared" si="1"/>
        <v>0</v>
      </c>
      <c r="O30" s="12"/>
      <c r="AH30" s="14"/>
    </row>
    <row r="31" spans="1:34" ht="30" customHeight="1" x14ac:dyDescent="0.25">
      <c r="A31" s="73">
        <v>46229</v>
      </c>
      <c r="B31" s="74" t="str">
        <f t="shared" si="0"/>
        <v>الأحد</v>
      </c>
      <c r="C31" s="74"/>
      <c r="D31" s="74"/>
      <c r="E31" s="74"/>
      <c r="F31" s="75"/>
      <c r="G31" s="75"/>
      <c r="H31" s="75"/>
      <c r="I31" s="75"/>
      <c r="J31" s="75"/>
      <c r="K31" s="75"/>
      <c r="L31" s="75"/>
      <c r="M31" s="75"/>
      <c r="N31" s="76">
        <f t="shared" si="1"/>
        <v>0</v>
      </c>
      <c r="O31" s="77"/>
      <c r="AH31" s="14"/>
    </row>
    <row r="32" spans="1:34" ht="27" customHeight="1" x14ac:dyDescent="0.25">
      <c r="A32" s="39">
        <v>46230</v>
      </c>
      <c r="B32" s="7" t="str">
        <f t="shared" si="0"/>
        <v>الاثنين</v>
      </c>
      <c r="C32" s="7"/>
      <c r="D32" s="7"/>
      <c r="E32" s="7"/>
      <c r="F32" s="11"/>
      <c r="G32" s="11"/>
      <c r="H32" s="11"/>
      <c r="I32" s="11"/>
      <c r="J32" s="11"/>
      <c r="K32" s="11"/>
      <c r="L32" s="11"/>
      <c r="M32" s="11"/>
      <c r="N32" s="62">
        <f t="shared" si="1"/>
        <v>0</v>
      </c>
      <c r="O32" s="4"/>
      <c r="AH32" s="14"/>
    </row>
    <row r="33" spans="1:34" ht="27" customHeight="1" x14ac:dyDescent="0.25">
      <c r="A33" s="73">
        <v>46231</v>
      </c>
      <c r="B33" s="74" t="str">
        <f t="shared" si="0"/>
        <v>الثلاثاء</v>
      </c>
      <c r="C33" s="74"/>
      <c r="D33" s="74"/>
      <c r="E33" s="74"/>
      <c r="F33" s="75"/>
      <c r="G33" s="75"/>
      <c r="H33" s="75"/>
      <c r="I33" s="75"/>
      <c r="J33" s="75"/>
      <c r="K33" s="75"/>
      <c r="L33" s="75"/>
      <c r="M33" s="75"/>
      <c r="N33" s="76">
        <f t="shared" si="1"/>
        <v>0</v>
      </c>
      <c r="O33" s="78"/>
      <c r="AH33" s="14"/>
    </row>
    <row r="34" spans="1:34" ht="26.25" customHeight="1" x14ac:dyDescent="0.25">
      <c r="A34" s="39">
        <v>46232</v>
      </c>
      <c r="B34" s="7" t="str">
        <f t="shared" si="0"/>
        <v>الأربعاء</v>
      </c>
      <c r="C34" s="7"/>
      <c r="D34" s="7"/>
      <c r="E34" s="7"/>
      <c r="F34" s="11"/>
      <c r="G34" s="11"/>
      <c r="H34" s="11"/>
      <c r="I34" s="11"/>
      <c r="J34" s="11"/>
      <c r="K34" s="11"/>
      <c r="L34" s="11"/>
      <c r="M34" s="11"/>
      <c r="N34" s="62">
        <f t="shared" si="1"/>
        <v>0</v>
      </c>
      <c r="O34" s="4"/>
      <c r="AH34" s="14"/>
    </row>
    <row r="35" spans="1:34" ht="30.75" customHeight="1" x14ac:dyDescent="0.25">
      <c r="A35" s="73">
        <v>46233</v>
      </c>
      <c r="B35" s="74" t="str">
        <f t="shared" si="0"/>
        <v>الخميس</v>
      </c>
      <c r="C35" s="74"/>
      <c r="D35" s="74"/>
      <c r="E35" s="74"/>
      <c r="F35" s="75"/>
      <c r="G35" s="75"/>
      <c r="H35" s="75"/>
      <c r="I35" s="75"/>
      <c r="J35" s="75"/>
      <c r="K35" s="75"/>
      <c r="L35" s="75"/>
      <c r="M35" s="75"/>
      <c r="N35" s="76">
        <f t="shared" si="1"/>
        <v>0</v>
      </c>
      <c r="O35" s="78"/>
      <c r="AH35" s="14"/>
    </row>
    <row r="36" spans="1:34" ht="33.75" customHeight="1" x14ac:dyDescent="0.35">
      <c r="A36" s="39">
        <v>46234</v>
      </c>
      <c r="B36" s="7" t="str">
        <f t="shared" si="0"/>
        <v>الجمعة</v>
      </c>
      <c r="C36" s="7"/>
      <c r="D36" s="7"/>
      <c r="E36" s="7"/>
      <c r="F36" s="11"/>
      <c r="G36" s="11"/>
      <c r="H36" s="11"/>
      <c r="I36" s="11"/>
      <c r="J36" s="11"/>
      <c r="K36" s="11"/>
      <c r="L36" s="11"/>
      <c r="M36" s="11"/>
      <c r="N36" s="62">
        <f t="shared" si="1"/>
        <v>0</v>
      </c>
      <c r="O36" s="17"/>
    </row>
    <row r="37" spans="1:34" ht="31.5" customHeight="1" x14ac:dyDescent="0.25">
      <c r="A37" s="79" t="s">
        <v>47</v>
      </c>
      <c r="B37" s="80"/>
      <c r="C37" s="80"/>
      <c r="D37" s="80"/>
      <c r="E37" s="80"/>
      <c r="F37" s="81"/>
      <c r="G37" s="81"/>
      <c r="H37" s="81"/>
      <c r="I37" s="81"/>
      <c r="J37" s="81"/>
      <c r="K37" s="81"/>
      <c r="L37" s="81"/>
      <c r="M37" s="81"/>
      <c r="N37" s="81">
        <f>SUM(N6:N36)</f>
        <v>409126.83999999997</v>
      </c>
    </row>
    <row r="38" spans="1:34" x14ac:dyDescent="0.25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</row>
    <row r="39" spans="1:34" x14ac:dyDescent="0.25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</row>
  </sheetData>
  <mergeCells count="2">
    <mergeCell ref="A2:N3"/>
    <mergeCell ref="T3:W4"/>
  </mergeCells>
  <pageMargins left="0.75" right="0.75" top="1" bottom="1" header="0.511811023622047" footer="0.511811023622047"/>
  <pageSetup paperSize="9" scale="35" fitToHeight="2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  <pageSetUpPr fitToPage="1"/>
  </sheetPr>
  <dimension ref="A1:AS35"/>
  <sheetViews>
    <sheetView topLeftCell="AD1" zoomScale="131" zoomScaleNormal="100" workbookViewId="0">
      <selection activeCell="AK10" sqref="AK10"/>
    </sheetView>
  </sheetViews>
  <sheetFormatPr defaultColWidth="8.5703125"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customWidth="1"/>
    <col min="10" max="10" width="9.5703125" bestFit="1" customWidth="1"/>
    <col min="14" max="14" width="15.140625" bestFit="1" customWidth="1"/>
    <col min="16" max="16" width="14.42578125" customWidth="1"/>
    <col min="17" max="17" width="10.7109375" customWidth="1"/>
    <col min="18" max="18" width="13.28515625" customWidth="1"/>
    <col min="19" max="20" width="12.28515625" customWidth="1"/>
    <col min="31" max="31" width="15.85546875" customWidth="1"/>
    <col min="32" max="32" width="12.7109375" customWidth="1"/>
    <col min="33" max="34" width="14.140625" customWidth="1"/>
    <col min="42" max="42" width="14.140625" customWidth="1"/>
    <col min="43" max="43" width="11.42578125" customWidth="1"/>
    <col min="44" max="44" width="13.85546875" customWidth="1"/>
    <col min="45" max="45" width="11.85546875" customWidth="1"/>
  </cols>
  <sheetData>
    <row r="1" spans="1:45" ht="24" customHeight="1" x14ac:dyDescent="0.25">
      <c r="A1" s="264" t="s">
        <v>25</v>
      </c>
      <c r="B1" s="264"/>
      <c r="C1" s="264"/>
      <c r="D1" s="264"/>
      <c r="E1" s="264"/>
      <c r="F1" s="264"/>
      <c r="G1" s="264"/>
    </row>
    <row r="3" spans="1:45" ht="25.5" customHeight="1" x14ac:dyDescent="0.25">
      <c r="A3" s="122" t="s">
        <v>26</v>
      </c>
      <c r="B3" s="122" t="s">
        <v>27</v>
      </c>
      <c r="C3" s="122" t="s">
        <v>672</v>
      </c>
      <c r="D3" s="122" t="s">
        <v>29</v>
      </c>
      <c r="E3" s="122" t="s">
        <v>30</v>
      </c>
      <c r="F3" s="122" t="s">
        <v>0</v>
      </c>
      <c r="G3" s="122" t="s">
        <v>31</v>
      </c>
      <c r="P3" s="122" t="s">
        <v>26</v>
      </c>
      <c r="Q3" s="122" t="s">
        <v>27</v>
      </c>
      <c r="R3" s="122" t="s">
        <v>28</v>
      </c>
      <c r="S3" s="122" t="s">
        <v>30</v>
      </c>
      <c r="T3" s="122" t="s">
        <v>0</v>
      </c>
    </row>
    <row r="4" spans="1:45" ht="18" customHeight="1" x14ac:dyDescent="0.25">
      <c r="A4" s="6">
        <v>46204</v>
      </c>
      <c r="B4" s="23" t="str">
        <f t="shared" ref="B4:B34" si="0">CHOOSE(WEEKDAY(A4,2),"الاثنين","الثلاثاء","الأربعاء","الخميس","الجمعة","السبت","الأحد")</f>
        <v>الأربعاء</v>
      </c>
      <c r="C4" s="62">
        <f>4700+2927</f>
        <v>7627</v>
      </c>
      <c r="D4" s="62">
        <v>2200</v>
      </c>
      <c r="E4" s="62"/>
      <c r="F4" s="8">
        <f t="shared" ref="F4:F34" si="1">IF(SUM(C4:E4)=0,0,SUM(C4:E4))</f>
        <v>9827</v>
      </c>
      <c r="G4" s="4"/>
      <c r="P4" s="6">
        <v>46204</v>
      </c>
      <c r="Q4" s="23" t="str">
        <f t="shared" ref="Q4:Q16" si="2">CHOOSE(WEEKDAY(P4,2),"الاثنين","الثلاثاء","الأربعاء","الخميس","الجمعة","السبت","الأحد")</f>
        <v>الأربعاء</v>
      </c>
      <c r="R4" s="62">
        <f>4700+2927</f>
        <v>7627</v>
      </c>
      <c r="S4" s="62" t="s">
        <v>531</v>
      </c>
      <c r="T4" s="8">
        <f t="shared" ref="T4:T16" si="3">IF(SUM(R4:S4)=0,0,SUM(R4:S4))</f>
        <v>7627</v>
      </c>
      <c r="AE4" s="264"/>
      <c r="AF4" s="264"/>
      <c r="AG4" s="264"/>
      <c r="AH4" s="264"/>
    </row>
    <row r="5" spans="1:45" ht="18.75" customHeight="1" x14ac:dyDescent="0.25">
      <c r="A5" s="6">
        <v>46205</v>
      </c>
      <c r="B5" s="23" t="str">
        <f t="shared" si="0"/>
        <v>الخميس</v>
      </c>
      <c r="C5" s="62">
        <v>2348</v>
      </c>
      <c r="D5" s="62">
        <f>100+175+60+100</f>
        <v>435</v>
      </c>
      <c r="E5" s="62">
        <v>100</v>
      </c>
      <c r="F5" s="8">
        <f t="shared" si="1"/>
        <v>2883</v>
      </c>
      <c r="G5" s="4"/>
      <c r="P5" s="6">
        <v>46205</v>
      </c>
      <c r="Q5" s="23" t="str">
        <f t="shared" si="2"/>
        <v>الخميس</v>
      </c>
      <c r="R5" s="62">
        <v>2348</v>
      </c>
      <c r="S5" s="62">
        <v>100</v>
      </c>
      <c r="T5" s="8">
        <f t="shared" si="3"/>
        <v>2448</v>
      </c>
    </row>
    <row r="6" spans="1:45" ht="18" customHeight="1" x14ac:dyDescent="0.25">
      <c r="A6" s="6">
        <v>46206</v>
      </c>
      <c r="B6" s="23" t="str">
        <f t="shared" si="0"/>
        <v>الجمعة</v>
      </c>
      <c r="C6" s="62">
        <v>3000</v>
      </c>
      <c r="D6" s="62">
        <v>200</v>
      </c>
      <c r="E6" s="62">
        <v>145</v>
      </c>
      <c r="F6" s="8">
        <f t="shared" si="1"/>
        <v>3345</v>
      </c>
      <c r="G6" s="4"/>
      <c r="P6" s="6">
        <v>46206</v>
      </c>
      <c r="Q6" s="23" t="str">
        <f t="shared" si="2"/>
        <v>الجمعة</v>
      </c>
      <c r="R6" s="62">
        <v>3000</v>
      </c>
      <c r="S6" s="62">
        <v>145</v>
      </c>
      <c r="T6" s="8">
        <f t="shared" si="3"/>
        <v>3145</v>
      </c>
      <c r="AE6" s="122" t="s">
        <v>26</v>
      </c>
      <c r="AF6" s="122" t="s">
        <v>27</v>
      </c>
      <c r="AG6" s="122" t="s">
        <v>30</v>
      </c>
      <c r="AH6" s="122" t="s">
        <v>31</v>
      </c>
    </row>
    <row r="7" spans="1:45" ht="17.25" customHeight="1" x14ac:dyDescent="0.25">
      <c r="A7" s="6">
        <v>46207</v>
      </c>
      <c r="B7" s="23" t="str">
        <f t="shared" si="0"/>
        <v>السبت</v>
      </c>
      <c r="C7" s="62">
        <v>1955</v>
      </c>
      <c r="D7" s="62">
        <v>1490</v>
      </c>
      <c r="E7" s="62">
        <v>125</v>
      </c>
      <c r="F7" s="8">
        <f t="shared" si="1"/>
        <v>3570</v>
      </c>
      <c r="G7" s="4"/>
      <c r="P7" s="6">
        <v>46207</v>
      </c>
      <c r="Q7" s="23" t="str">
        <f t="shared" si="2"/>
        <v>السبت</v>
      </c>
      <c r="R7" s="62">
        <v>1955</v>
      </c>
      <c r="S7" s="62">
        <v>125</v>
      </c>
      <c r="T7" s="8">
        <f t="shared" si="3"/>
        <v>2080</v>
      </c>
      <c r="AE7" s="6">
        <v>46217</v>
      </c>
      <c r="AF7" s="23" t="str">
        <f t="shared" ref="AF7:AF15" si="4">CHOOSE(WEEKDAY(AE7,2),"الاثنين","الثلاثاء","الأربعاء","الخميس","الجمعة","السبت","الأحد")</f>
        <v>الثلاثاء</v>
      </c>
      <c r="AG7" s="62">
        <f>40+175+55</f>
        <v>270</v>
      </c>
      <c r="AH7" s="4"/>
      <c r="AP7" s="122" t="s">
        <v>26</v>
      </c>
      <c r="AQ7" s="122" t="s">
        <v>27</v>
      </c>
      <c r="AR7" s="122" t="s">
        <v>675</v>
      </c>
      <c r="AS7" s="122" t="s">
        <v>31</v>
      </c>
    </row>
    <row r="8" spans="1:45" ht="18" customHeight="1" x14ac:dyDescent="0.25">
      <c r="A8" s="6">
        <v>46208</v>
      </c>
      <c r="B8" s="23" t="str">
        <f t="shared" si="0"/>
        <v>الأحد</v>
      </c>
      <c r="C8" s="62">
        <v>1275</v>
      </c>
      <c r="D8" s="62">
        <v>430</v>
      </c>
      <c r="E8" s="62">
        <v>280</v>
      </c>
      <c r="F8" s="8">
        <f t="shared" si="1"/>
        <v>1985</v>
      </c>
      <c r="G8" s="4"/>
      <c r="P8" s="6">
        <v>46208</v>
      </c>
      <c r="Q8" s="23" t="str">
        <f t="shared" si="2"/>
        <v>الأحد</v>
      </c>
      <c r="R8" s="62">
        <v>1275</v>
      </c>
      <c r="S8" s="62">
        <v>280</v>
      </c>
      <c r="T8" s="8">
        <f t="shared" si="3"/>
        <v>1555</v>
      </c>
      <c r="AE8" s="6">
        <v>46218</v>
      </c>
      <c r="AF8" s="23" t="str">
        <f t="shared" si="4"/>
        <v>الأربعاء</v>
      </c>
      <c r="AG8" s="62">
        <v>585</v>
      </c>
      <c r="AH8" s="4"/>
      <c r="AP8" s="189">
        <v>46217</v>
      </c>
      <c r="AQ8" s="23" t="str">
        <f t="shared" ref="AQ8:AQ16" si="5">CHOOSE(WEEKDAY(AP8,2),"الاثنين","الثلاثاء","الأربعاء","الخميس","الجمعة","السبت","الأحد")</f>
        <v>الثلاثاء</v>
      </c>
      <c r="AR8" s="62">
        <v>7164</v>
      </c>
      <c r="AS8" s="4"/>
    </row>
    <row r="9" spans="1:45" ht="21" customHeight="1" x14ac:dyDescent="0.25">
      <c r="A9" s="6">
        <v>46209</v>
      </c>
      <c r="B9" s="23" t="str">
        <f t="shared" si="0"/>
        <v>الاثنين</v>
      </c>
      <c r="C9" s="23">
        <f>2200+9000</f>
        <v>11200</v>
      </c>
      <c r="D9" s="23"/>
      <c r="E9" s="62">
        <v>625</v>
      </c>
      <c r="F9" s="8">
        <f t="shared" si="1"/>
        <v>11825</v>
      </c>
      <c r="G9" s="4"/>
      <c r="P9" s="6">
        <v>46209</v>
      </c>
      <c r="Q9" s="23" t="str">
        <f t="shared" si="2"/>
        <v>الاثنين</v>
      </c>
      <c r="R9" s="23">
        <f>2200+9000</f>
        <v>11200</v>
      </c>
      <c r="S9" s="62">
        <v>625</v>
      </c>
      <c r="T9" s="8">
        <f t="shared" si="3"/>
        <v>11825</v>
      </c>
      <c r="AE9" s="6">
        <v>46219</v>
      </c>
      <c r="AF9" s="23" t="str">
        <f t="shared" si="4"/>
        <v>الخميس</v>
      </c>
      <c r="AG9" s="97">
        <v>170</v>
      </c>
      <c r="AH9" s="4"/>
      <c r="AP9" s="189">
        <v>46218</v>
      </c>
      <c r="AQ9" s="23" t="str">
        <f t="shared" si="5"/>
        <v>الأربعاء</v>
      </c>
      <c r="AR9" s="62">
        <v>4255</v>
      </c>
      <c r="AS9" s="4"/>
    </row>
    <row r="10" spans="1:45" ht="21" customHeight="1" x14ac:dyDescent="0.25">
      <c r="A10" s="6">
        <v>46210</v>
      </c>
      <c r="B10" s="23" t="str">
        <f t="shared" si="0"/>
        <v>الثلاثاء</v>
      </c>
      <c r="C10" s="62">
        <v>9863</v>
      </c>
      <c r="D10" s="62">
        <v>475</v>
      </c>
      <c r="E10" s="62">
        <v>705</v>
      </c>
      <c r="F10" s="8">
        <f t="shared" si="1"/>
        <v>11043</v>
      </c>
      <c r="G10" s="4"/>
      <c r="N10" s="111"/>
      <c r="P10" s="6">
        <v>46210</v>
      </c>
      <c r="Q10" s="23" t="str">
        <f t="shared" si="2"/>
        <v>الثلاثاء</v>
      </c>
      <c r="R10" s="62">
        <v>9863</v>
      </c>
      <c r="S10" s="62">
        <v>705</v>
      </c>
      <c r="T10" s="8">
        <f t="shared" si="3"/>
        <v>10568</v>
      </c>
      <c r="AE10" s="6">
        <v>46220</v>
      </c>
      <c r="AF10" s="23" t="str">
        <f t="shared" si="4"/>
        <v>الجمعة</v>
      </c>
      <c r="AG10" s="23">
        <v>445</v>
      </c>
      <c r="AH10" s="4"/>
      <c r="AP10" s="189">
        <v>46219</v>
      </c>
      <c r="AQ10" s="23" t="str">
        <f t="shared" si="5"/>
        <v>الخميس</v>
      </c>
      <c r="AR10" s="97">
        <v>4120</v>
      </c>
      <c r="AS10" s="4"/>
    </row>
    <row r="11" spans="1:45" ht="21" customHeight="1" x14ac:dyDescent="0.25">
      <c r="A11" s="6">
        <v>46211</v>
      </c>
      <c r="B11" s="23" t="str">
        <f t="shared" si="0"/>
        <v>الأربعاء</v>
      </c>
      <c r="C11" s="62">
        <v>3253</v>
      </c>
      <c r="D11" s="62">
        <v>50</v>
      </c>
      <c r="E11" s="62">
        <v>550</v>
      </c>
      <c r="F11" s="8">
        <f t="shared" si="1"/>
        <v>3853</v>
      </c>
      <c r="G11" s="4"/>
      <c r="P11" s="6">
        <v>46211</v>
      </c>
      <c r="Q11" s="23" t="str">
        <f t="shared" si="2"/>
        <v>الأربعاء</v>
      </c>
      <c r="R11" s="62">
        <v>3253</v>
      </c>
      <c r="S11" s="62">
        <v>550</v>
      </c>
      <c r="T11" s="8">
        <f t="shared" si="3"/>
        <v>3803</v>
      </c>
      <c r="AE11" s="6">
        <v>46221</v>
      </c>
      <c r="AF11" s="23" t="str">
        <f t="shared" si="4"/>
        <v>السبت</v>
      </c>
      <c r="AG11" s="97">
        <v>250</v>
      </c>
      <c r="AH11" s="4"/>
      <c r="AP11" s="189">
        <v>46220</v>
      </c>
      <c r="AQ11" s="23" t="str">
        <f t="shared" si="5"/>
        <v>الجمعة</v>
      </c>
      <c r="AR11" s="23">
        <v>0</v>
      </c>
      <c r="AS11" s="4"/>
    </row>
    <row r="12" spans="1:45" ht="18.75" customHeight="1" x14ac:dyDescent="0.25">
      <c r="A12" s="6">
        <v>46212</v>
      </c>
      <c r="B12" s="23" t="str">
        <f t="shared" si="0"/>
        <v>الخميس</v>
      </c>
      <c r="C12" s="62">
        <v>1540</v>
      </c>
      <c r="D12" s="62">
        <v>690</v>
      </c>
      <c r="E12" s="62">
        <v>985</v>
      </c>
      <c r="F12" s="8">
        <f t="shared" si="1"/>
        <v>3215</v>
      </c>
      <c r="G12" s="4"/>
      <c r="P12" s="6">
        <v>46212</v>
      </c>
      <c r="Q12" s="23" t="str">
        <f t="shared" si="2"/>
        <v>الخميس</v>
      </c>
      <c r="R12" s="62">
        <v>1540</v>
      </c>
      <c r="S12" s="62">
        <v>985</v>
      </c>
      <c r="T12" s="8">
        <f t="shared" si="3"/>
        <v>2525</v>
      </c>
      <c r="AE12" s="6">
        <v>46222</v>
      </c>
      <c r="AF12" s="23" t="str">
        <f t="shared" si="4"/>
        <v>الأحد</v>
      </c>
      <c r="AG12" s="23">
        <v>590</v>
      </c>
      <c r="AH12" s="4"/>
      <c r="AP12" s="189">
        <v>46221</v>
      </c>
      <c r="AQ12" s="23" t="str">
        <f t="shared" si="5"/>
        <v>السبت</v>
      </c>
      <c r="AR12" s="97">
        <v>3183</v>
      </c>
      <c r="AS12" s="4"/>
    </row>
    <row r="13" spans="1:45" ht="18.75" customHeight="1" x14ac:dyDescent="0.25">
      <c r="A13" s="6">
        <v>46213</v>
      </c>
      <c r="B13" s="23" t="str">
        <f t="shared" si="0"/>
        <v>الجمعة</v>
      </c>
      <c r="C13" s="62">
        <v>190</v>
      </c>
      <c r="D13" s="62">
        <v>375</v>
      </c>
      <c r="E13" s="62"/>
      <c r="F13" s="8">
        <f t="shared" si="1"/>
        <v>565</v>
      </c>
      <c r="G13" s="4"/>
      <c r="J13" s="1"/>
      <c r="P13" s="6">
        <v>46213</v>
      </c>
      <c r="Q13" s="23" t="str">
        <f t="shared" si="2"/>
        <v>الجمعة</v>
      </c>
      <c r="R13" s="62">
        <v>190</v>
      </c>
      <c r="S13" s="62"/>
      <c r="T13" s="8">
        <f t="shared" si="3"/>
        <v>190</v>
      </c>
      <c r="AE13" s="6">
        <v>46223</v>
      </c>
      <c r="AF13" s="23" t="str">
        <f t="shared" si="4"/>
        <v>الاثنين</v>
      </c>
      <c r="AG13" s="151">
        <v>370</v>
      </c>
      <c r="AH13" s="4"/>
      <c r="AP13" s="189">
        <v>46222</v>
      </c>
      <c r="AQ13" s="23" t="str">
        <f t="shared" si="5"/>
        <v>الأحد</v>
      </c>
      <c r="AR13" s="23">
        <v>20782</v>
      </c>
      <c r="AS13" s="4"/>
    </row>
    <row r="14" spans="1:45" ht="20.25" customHeight="1" x14ac:dyDescent="0.25">
      <c r="A14" s="6">
        <v>46214</v>
      </c>
      <c r="B14" s="23" t="str">
        <f t="shared" si="0"/>
        <v>السبت</v>
      </c>
      <c r="C14" s="62">
        <v>4650</v>
      </c>
      <c r="D14" s="62">
        <v>580</v>
      </c>
      <c r="E14" s="62">
        <v>150</v>
      </c>
      <c r="F14" s="8">
        <f t="shared" si="1"/>
        <v>5380</v>
      </c>
      <c r="G14" s="4"/>
      <c r="P14" s="6">
        <v>46214</v>
      </c>
      <c r="Q14" s="23" t="str">
        <f t="shared" si="2"/>
        <v>السبت</v>
      </c>
      <c r="R14" s="62">
        <v>4650</v>
      </c>
      <c r="S14" s="62">
        <v>150</v>
      </c>
      <c r="T14" s="8">
        <f t="shared" si="3"/>
        <v>4800</v>
      </c>
      <c r="AE14" s="6">
        <v>46224</v>
      </c>
      <c r="AF14" s="23" t="str">
        <f t="shared" si="4"/>
        <v>الثلاثاء</v>
      </c>
      <c r="AG14" s="100">
        <v>390</v>
      </c>
      <c r="AH14" s="4"/>
      <c r="AP14" s="189">
        <v>46223</v>
      </c>
      <c r="AQ14" s="23" t="str">
        <f t="shared" si="5"/>
        <v>الاثنين</v>
      </c>
      <c r="AR14" s="25">
        <v>1522</v>
      </c>
      <c r="AS14" s="4"/>
    </row>
    <row r="15" spans="1:45" ht="19.5" customHeight="1" x14ac:dyDescent="0.25">
      <c r="A15" s="6">
        <v>46215</v>
      </c>
      <c r="B15" s="23" t="str">
        <f t="shared" si="0"/>
        <v>الأحد</v>
      </c>
      <c r="C15" s="62">
        <v>4201</v>
      </c>
      <c r="D15" s="62">
        <v>400</v>
      </c>
      <c r="E15" s="62">
        <v>205</v>
      </c>
      <c r="F15" s="8">
        <f t="shared" si="1"/>
        <v>4806</v>
      </c>
      <c r="G15" s="4"/>
      <c r="P15" s="6">
        <v>46215</v>
      </c>
      <c r="Q15" s="23" t="str">
        <f t="shared" si="2"/>
        <v>الأحد</v>
      </c>
      <c r="R15" s="62">
        <v>4201</v>
      </c>
      <c r="S15" s="62">
        <v>205</v>
      </c>
      <c r="T15" s="8">
        <f t="shared" si="3"/>
        <v>4406</v>
      </c>
      <c r="AE15" s="6">
        <v>46225</v>
      </c>
      <c r="AF15" s="23" t="str">
        <f t="shared" si="4"/>
        <v>الأربعاء</v>
      </c>
      <c r="AG15" s="62">
        <v>1955</v>
      </c>
      <c r="AH15" s="4"/>
      <c r="AP15" s="189">
        <v>46224</v>
      </c>
      <c r="AQ15" s="23" t="str">
        <f t="shared" si="5"/>
        <v>الثلاثاء</v>
      </c>
      <c r="AR15" s="62">
        <v>877</v>
      </c>
      <c r="AS15" s="4"/>
    </row>
    <row r="16" spans="1:45" ht="19.5" customHeight="1" x14ac:dyDescent="0.25">
      <c r="A16" s="6">
        <v>46216</v>
      </c>
      <c r="B16" s="23" t="str">
        <f t="shared" si="0"/>
        <v>الاثنين</v>
      </c>
      <c r="C16" s="62">
        <v>5405</v>
      </c>
      <c r="D16" s="62">
        <v>955</v>
      </c>
      <c r="E16" s="62">
        <v>300</v>
      </c>
      <c r="F16" s="8">
        <f t="shared" si="1"/>
        <v>6660</v>
      </c>
      <c r="G16" s="4"/>
      <c r="P16" s="6">
        <v>46216</v>
      </c>
      <c r="Q16" s="23" t="str">
        <f t="shared" si="2"/>
        <v>الاثنين</v>
      </c>
      <c r="R16" s="62">
        <v>5405</v>
      </c>
      <c r="S16" s="62">
        <v>300</v>
      </c>
      <c r="T16" s="8">
        <f t="shared" si="3"/>
        <v>5705</v>
      </c>
      <c r="AE16" s="60" t="s">
        <v>32</v>
      </c>
      <c r="AG16" s="188">
        <f>SUM(AG7:AG15)</f>
        <v>5025</v>
      </c>
      <c r="AP16" s="189">
        <v>46225</v>
      </c>
      <c r="AQ16" s="23" t="str">
        <f t="shared" si="5"/>
        <v>الأربعاء</v>
      </c>
      <c r="AR16" s="62">
        <v>3118</v>
      </c>
      <c r="AS16" s="4"/>
    </row>
    <row r="17" spans="1:44" ht="24.75" customHeight="1" x14ac:dyDescent="0.25">
      <c r="A17" s="6">
        <v>46217</v>
      </c>
      <c r="B17" s="23" t="str">
        <f t="shared" si="0"/>
        <v>الثلاثاء</v>
      </c>
      <c r="C17" s="62">
        <v>7164</v>
      </c>
      <c r="D17" s="62">
        <f>150+630</f>
        <v>780</v>
      </c>
      <c r="E17" s="62">
        <f>40+175+55</f>
        <v>270</v>
      </c>
      <c r="F17" s="8">
        <f t="shared" si="1"/>
        <v>8214</v>
      </c>
      <c r="G17" s="4"/>
      <c r="P17" s="129" t="s">
        <v>47</v>
      </c>
      <c r="Q17" s="132" t="s">
        <v>531</v>
      </c>
      <c r="R17" s="133">
        <f>SUM(R4:R16)</f>
        <v>56507</v>
      </c>
      <c r="S17" s="134">
        <f>SUM(S5:S16)</f>
        <v>4170</v>
      </c>
      <c r="T17" s="133">
        <f>SUM(T4:T16)</f>
        <v>60677</v>
      </c>
      <c r="AP17" s="60" t="s">
        <v>32</v>
      </c>
      <c r="AR17" s="188">
        <f>SUM(AR8:AR16)</f>
        <v>45021</v>
      </c>
    </row>
    <row r="18" spans="1:44" ht="21" customHeight="1" x14ac:dyDescent="0.25">
      <c r="A18" s="6">
        <v>46218</v>
      </c>
      <c r="B18" s="23" t="str">
        <f t="shared" si="0"/>
        <v>الأربعاء</v>
      </c>
      <c r="C18" s="62">
        <v>4255</v>
      </c>
      <c r="D18" s="62">
        <v>1020</v>
      </c>
      <c r="E18" s="62">
        <v>585</v>
      </c>
      <c r="F18" s="8">
        <f t="shared" si="1"/>
        <v>5860</v>
      </c>
      <c r="G18" s="4"/>
    </row>
    <row r="19" spans="1:44" ht="19.5" customHeight="1" x14ac:dyDescent="0.25">
      <c r="A19" s="6">
        <v>46219</v>
      </c>
      <c r="B19" s="23" t="str">
        <f t="shared" si="0"/>
        <v>الخميس</v>
      </c>
      <c r="C19" s="97">
        <v>4120</v>
      </c>
      <c r="D19" s="97">
        <v>345</v>
      </c>
      <c r="E19" s="97">
        <v>170</v>
      </c>
      <c r="F19" s="8">
        <f t="shared" si="1"/>
        <v>4635</v>
      </c>
      <c r="G19" s="4"/>
    </row>
    <row r="20" spans="1:44" ht="19.5" customHeight="1" x14ac:dyDescent="0.25">
      <c r="A20" s="6">
        <v>46220</v>
      </c>
      <c r="B20" s="23" t="str">
        <f t="shared" si="0"/>
        <v>الجمعة</v>
      </c>
      <c r="C20" s="23">
        <v>0</v>
      </c>
      <c r="D20" s="23">
        <v>213</v>
      </c>
      <c r="E20" s="23">
        <v>445</v>
      </c>
      <c r="F20" s="8">
        <f t="shared" si="1"/>
        <v>658</v>
      </c>
      <c r="G20" s="4"/>
    </row>
    <row r="21" spans="1:44" ht="20.25" customHeight="1" x14ac:dyDescent="0.25">
      <c r="A21" s="6">
        <v>46221</v>
      </c>
      <c r="B21" s="23" t="str">
        <f t="shared" si="0"/>
        <v>السبت</v>
      </c>
      <c r="C21" s="97">
        <v>3183</v>
      </c>
      <c r="D21" s="97">
        <v>1775</v>
      </c>
      <c r="E21" s="97">
        <v>250</v>
      </c>
      <c r="F21" s="8">
        <f t="shared" si="1"/>
        <v>5208</v>
      </c>
      <c r="G21" s="4"/>
    </row>
    <row r="22" spans="1:44" ht="20.25" customHeight="1" x14ac:dyDescent="0.25">
      <c r="A22" s="6">
        <v>46222</v>
      </c>
      <c r="B22" s="23" t="str">
        <f t="shared" si="0"/>
        <v>الأحد</v>
      </c>
      <c r="C22" s="23">
        <v>20782</v>
      </c>
      <c r="D22" s="23">
        <v>170</v>
      </c>
      <c r="E22" s="23">
        <v>590</v>
      </c>
      <c r="F22" s="8">
        <f t="shared" si="1"/>
        <v>21542</v>
      </c>
      <c r="G22" s="4"/>
    </row>
    <row r="23" spans="1:44" ht="18.75" customHeight="1" x14ac:dyDescent="0.25">
      <c r="A23" s="6">
        <v>46223</v>
      </c>
      <c r="B23" s="23" t="str">
        <f t="shared" si="0"/>
        <v>الاثنين</v>
      </c>
      <c r="C23" s="25">
        <v>1522</v>
      </c>
      <c r="D23" s="151">
        <v>765</v>
      </c>
      <c r="E23" s="151">
        <v>370</v>
      </c>
      <c r="F23" s="8">
        <f t="shared" si="1"/>
        <v>2657</v>
      </c>
      <c r="G23" s="4"/>
    </row>
    <row r="24" spans="1:44" ht="18.75" customHeight="1" x14ac:dyDescent="0.25">
      <c r="A24" s="6">
        <v>46224</v>
      </c>
      <c r="B24" s="23" t="str">
        <f t="shared" si="0"/>
        <v>الثلاثاء</v>
      </c>
      <c r="C24" s="62">
        <v>877</v>
      </c>
      <c r="D24" s="100">
        <v>830</v>
      </c>
      <c r="E24" s="100">
        <v>390</v>
      </c>
      <c r="F24" s="8">
        <f t="shared" si="1"/>
        <v>2097</v>
      </c>
      <c r="G24" s="4"/>
      <c r="K24" s="1"/>
    </row>
    <row r="25" spans="1:44" ht="19.5" customHeight="1" x14ac:dyDescent="0.25">
      <c r="A25" s="6">
        <v>46225</v>
      </c>
      <c r="B25" s="23" t="str">
        <f t="shared" si="0"/>
        <v>الأربعاء</v>
      </c>
      <c r="C25" s="62">
        <v>3118</v>
      </c>
      <c r="D25" s="62">
        <v>1206</v>
      </c>
      <c r="E25" s="62">
        <v>1955</v>
      </c>
      <c r="F25" s="8">
        <f t="shared" si="1"/>
        <v>6279</v>
      </c>
      <c r="G25" s="4"/>
    </row>
    <row r="26" spans="1:44" ht="21" customHeight="1" x14ac:dyDescent="0.25">
      <c r="A26" s="6">
        <v>46226</v>
      </c>
      <c r="B26" s="23" t="str">
        <f t="shared" si="0"/>
        <v>الخميس</v>
      </c>
      <c r="C26" s="8"/>
      <c r="D26" s="8"/>
      <c r="E26" s="8"/>
      <c r="F26" s="8">
        <f t="shared" si="1"/>
        <v>0</v>
      </c>
      <c r="G26" s="4"/>
    </row>
    <row r="27" spans="1:44" ht="18.75" customHeight="1" x14ac:dyDescent="0.25">
      <c r="A27" s="6">
        <v>46227</v>
      </c>
      <c r="B27" s="23" t="str">
        <f t="shared" si="0"/>
        <v>الجمعة</v>
      </c>
      <c r="C27" s="8"/>
      <c r="D27" s="8"/>
      <c r="E27" s="8"/>
      <c r="F27" s="8">
        <f t="shared" si="1"/>
        <v>0</v>
      </c>
      <c r="G27" s="4"/>
    </row>
    <row r="28" spans="1:44" ht="15" customHeight="1" x14ac:dyDescent="0.25">
      <c r="A28" s="6">
        <v>46228</v>
      </c>
      <c r="B28" s="23" t="str">
        <f t="shared" si="0"/>
        <v>السبت</v>
      </c>
      <c r="C28" s="8"/>
      <c r="D28" s="8"/>
      <c r="E28" s="8"/>
      <c r="F28" s="8">
        <f t="shared" si="1"/>
        <v>0</v>
      </c>
      <c r="G28" s="4"/>
    </row>
    <row r="29" spans="1:44" ht="23.25" customHeight="1" x14ac:dyDescent="0.25">
      <c r="A29" s="6">
        <v>46229</v>
      </c>
      <c r="B29" s="23" t="str">
        <f t="shared" si="0"/>
        <v>الأحد</v>
      </c>
      <c r="C29" s="8"/>
      <c r="D29" s="8"/>
      <c r="E29" s="8"/>
      <c r="F29" s="8">
        <f t="shared" si="1"/>
        <v>0</v>
      </c>
      <c r="G29" s="4"/>
    </row>
    <row r="30" spans="1:44" ht="15" customHeight="1" x14ac:dyDescent="0.25">
      <c r="A30" s="6">
        <v>46230</v>
      </c>
      <c r="B30" s="23" t="str">
        <f t="shared" si="0"/>
        <v>الاثنين</v>
      </c>
      <c r="C30" s="8"/>
      <c r="D30" s="8"/>
      <c r="E30" s="8"/>
      <c r="F30" s="8">
        <f t="shared" si="1"/>
        <v>0</v>
      </c>
      <c r="G30" s="4"/>
    </row>
    <row r="31" spans="1:44" ht="15" customHeight="1" x14ac:dyDescent="0.25">
      <c r="A31" s="6">
        <v>46231</v>
      </c>
      <c r="B31" s="23" t="str">
        <f t="shared" si="0"/>
        <v>الثلاثاء</v>
      </c>
      <c r="C31" s="8"/>
      <c r="D31" s="8"/>
      <c r="E31" s="8"/>
      <c r="F31" s="8">
        <f t="shared" si="1"/>
        <v>0</v>
      </c>
      <c r="G31" s="4"/>
    </row>
    <row r="32" spans="1:44" ht="15" customHeight="1" x14ac:dyDescent="0.25">
      <c r="A32" s="6">
        <v>46232</v>
      </c>
      <c r="B32" s="23" t="str">
        <f t="shared" si="0"/>
        <v>الأربعاء</v>
      </c>
      <c r="C32" s="8"/>
      <c r="D32" s="8"/>
      <c r="E32" s="8"/>
      <c r="F32" s="8">
        <f t="shared" si="1"/>
        <v>0</v>
      </c>
      <c r="G32" s="4"/>
    </row>
    <row r="33" spans="1:7" ht="15" customHeight="1" x14ac:dyDescent="0.25">
      <c r="A33" s="6">
        <v>46233</v>
      </c>
      <c r="B33" s="23" t="str">
        <f t="shared" si="0"/>
        <v>الخميس</v>
      </c>
      <c r="C33" s="8"/>
      <c r="D33" s="8"/>
      <c r="E33" s="8"/>
      <c r="F33" s="8">
        <f t="shared" si="1"/>
        <v>0</v>
      </c>
      <c r="G33" s="4"/>
    </row>
    <row r="34" spans="1:7" ht="15" customHeight="1" x14ac:dyDescent="0.25">
      <c r="A34" s="6">
        <v>46234</v>
      </c>
      <c r="B34" s="23" t="str">
        <f t="shared" si="0"/>
        <v>الجمعة</v>
      </c>
      <c r="C34" s="8"/>
      <c r="D34" s="8"/>
      <c r="E34" s="8"/>
      <c r="F34" s="8">
        <f t="shared" si="1"/>
        <v>0</v>
      </c>
      <c r="G34" s="4"/>
    </row>
    <row r="35" spans="1:7" ht="35.25" customHeight="1" x14ac:dyDescent="0.25">
      <c r="A35" s="60" t="s">
        <v>32</v>
      </c>
      <c r="B35" s="7"/>
      <c r="C35" s="59">
        <f>SUM(C4:C34)</f>
        <v>101528</v>
      </c>
      <c r="D35" s="59">
        <f>SUM(D4:D34)</f>
        <v>15384</v>
      </c>
      <c r="E35" s="59">
        <f>SUM(E4:E34)</f>
        <v>9195</v>
      </c>
      <c r="F35" s="59">
        <f>SUM(F4:F34)</f>
        <v>126107</v>
      </c>
      <c r="G35" s="4"/>
    </row>
  </sheetData>
  <mergeCells count="2">
    <mergeCell ref="A1:G1"/>
    <mergeCell ref="AE4:AH4"/>
  </mergeCells>
  <pageMargins left="0.75" right="0.75" top="1" bottom="1" header="0.511811023622047" footer="0.511811023622047"/>
  <pageSetup paperSize="9" scale="17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E591-7E22-4D0F-96EC-10D72D5EFE08}">
  <dimension ref="L3:AX77"/>
  <sheetViews>
    <sheetView topLeftCell="AC1" zoomScale="99" workbookViewId="0">
      <selection activeCell="AH26" sqref="AH26"/>
    </sheetView>
  </sheetViews>
  <sheetFormatPr defaultRowHeight="15" x14ac:dyDescent="0.25"/>
  <cols>
    <col min="12" max="12" width="12.7109375" customWidth="1"/>
    <col min="14" max="14" width="13.7109375" bestFit="1" customWidth="1"/>
    <col min="19" max="19" width="21.42578125" bestFit="1" customWidth="1"/>
    <col min="25" max="25" width="14" customWidth="1"/>
    <col min="27" max="27" width="13.7109375" bestFit="1" customWidth="1"/>
    <col min="28" max="28" width="13.42578125" bestFit="1" customWidth="1"/>
    <col min="34" max="34" width="9.7109375" customWidth="1"/>
    <col min="35" max="35" width="13.5703125" customWidth="1"/>
    <col min="36" max="36" width="17.28515625" bestFit="1" customWidth="1"/>
    <col min="45" max="45" width="16.85546875" customWidth="1"/>
    <col min="46" max="46" width="21" customWidth="1"/>
    <col min="47" max="47" width="15.42578125" customWidth="1"/>
    <col min="48" max="48" width="11" bestFit="1" customWidth="1"/>
    <col min="50" max="50" width="11" bestFit="1" customWidth="1"/>
  </cols>
  <sheetData>
    <row r="3" spans="12:36" x14ac:dyDescent="0.25">
      <c r="L3" s="193" t="s">
        <v>307</v>
      </c>
      <c r="M3" s="193"/>
      <c r="N3" s="193"/>
      <c r="Y3" s="193" t="s">
        <v>307</v>
      </c>
      <c r="Z3" s="193"/>
      <c r="AA3" s="193"/>
    </row>
    <row r="4" spans="12:36" ht="18.75" customHeight="1" x14ac:dyDescent="0.25">
      <c r="L4" s="23" t="s">
        <v>26</v>
      </c>
      <c r="M4" s="23" t="s">
        <v>304</v>
      </c>
      <c r="N4" s="23" t="s">
        <v>302</v>
      </c>
      <c r="Y4" s="129" t="s">
        <v>26</v>
      </c>
      <c r="Z4" s="129" t="s">
        <v>304</v>
      </c>
      <c r="AA4" s="129" t="s">
        <v>302</v>
      </c>
      <c r="AB4" s="161" t="s">
        <v>31</v>
      </c>
    </row>
    <row r="5" spans="12:36" x14ac:dyDescent="0.25">
      <c r="L5" s="23"/>
      <c r="M5" s="23"/>
      <c r="N5" s="23"/>
      <c r="Y5" s="39">
        <v>46189</v>
      </c>
      <c r="Z5" s="23"/>
      <c r="AA5" s="23">
        <v>300</v>
      </c>
      <c r="AB5" s="4"/>
    </row>
    <row r="6" spans="12:36" x14ac:dyDescent="0.25">
      <c r="L6" s="39">
        <v>46189</v>
      </c>
      <c r="M6" s="23"/>
      <c r="N6" s="23">
        <v>300</v>
      </c>
      <c r="Y6" s="39">
        <v>46190</v>
      </c>
      <c r="Z6" s="23"/>
      <c r="AA6" s="23"/>
      <c r="AB6" s="4"/>
    </row>
    <row r="7" spans="12:36" x14ac:dyDescent="0.25">
      <c r="L7" s="39">
        <v>46190</v>
      </c>
      <c r="M7" s="23"/>
      <c r="N7" s="23"/>
      <c r="R7" s="205" t="s">
        <v>328</v>
      </c>
      <c r="S7" s="205"/>
      <c r="T7" s="205"/>
      <c r="Y7" s="39">
        <v>46191</v>
      </c>
      <c r="Z7" s="23">
        <v>810</v>
      </c>
      <c r="AA7" s="23"/>
      <c r="AB7" s="4"/>
    </row>
    <row r="8" spans="12:36" x14ac:dyDescent="0.25">
      <c r="L8" s="39">
        <v>46191</v>
      </c>
      <c r="M8" s="23">
        <f>370+275+140</f>
        <v>785</v>
      </c>
      <c r="N8" s="23"/>
      <c r="O8" s="56">
        <f>570+240</f>
        <v>810</v>
      </c>
      <c r="R8" s="23" t="s">
        <v>304</v>
      </c>
      <c r="S8" s="23" t="s">
        <v>302</v>
      </c>
      <c r="T8" s="23" t="s">
        <v>47</v>
      </c>
      <c r="Y8" s="39">
        <v>46192</v>
      </c>
      <c r="Z8" s="30">
        <v>20</v>
      </c>
      <c r="AA8" s="23"/>
      <c r="AB8" s="4"/>
    </row>
    <row r="9" spans="12:36" x14ac:dyDescent="0.25">
      <c r="L9" s="39">
        <v>46192</v>
      </c>
      <c r="N9" s="23"/>
      <c r="O9" s="56">
        <v>20</v>
      </c>
      <c r="R9" s="23">
        <v>8375</v>
      </c>
      <c r="S9" s="23">
        <f>300+100+10+10+125</f>
        <v>545</v>
      </c>
      <c r="T9" s="41">
        <f>SUM(Q15:S15)</f>
        <v>560</v>
      </c>
      <c r="Y9" s="39">
        <v>46193</v>
      </c>
      <c r="Z9" s="23">
        <v>500</v>
      </c>
      <c r="AA9" s="23"/>
      <c r="AB9" s="4"/>
    </row>
    <row r="10" spans="12:36" x14ac:dyDescent="0.25">
      <c r="L10" s="39">
        <v>46193</v>
      </c>
      <c r="M10" s="23">
        <v>370</v>
      </c>
      <c r="N10" s="23"/>
      <c r="O10" s="56">
        <f>440+60</f>
        <v>500</v>
      </c>
      <c r="Y10" s="39">
        <v>46194</v>
      </c>
      <c r="Z10" s="23"/>
      <c r="AA10" s="23"/>
      <c r="AB10" s="4"/>
      <c r="AI10" s="271" t="s">
        <v>509</v>
      </c>
      <c r="AJ10" s="271"/>
    </row>
    <row r="11" spans="12:36" x14ac:dyDescent="0.25">
      <c r="L11" s="39">
        <v>46194</v>
      </c>
      <c r="M11" s="23"/>
      <c r="N11" s="23"/>
      <c r="Y11" s="39">
        <v>46195</v>
      </c>
      <c r="Z11" s="23"/>
      <c r="AA11" s="23"/>
      <c r="AB11" s="4"/>
      <c r="AD11" s="7">
        <v>6</v>
      </c>
      <c r="AE11" s="7" t="s">
        <v>49</v>
      </c>
      <c r="AI11" s="271"/>
      <c r="AJ11" s="271"/>
    </row>
    <row r="12" spans="12:36" ht="20.25" customHeight="1" x14ac:dyDescent="0.25">
      <c r="L12" s="39">
        <v>46195</v>
      </c>
      <c r="M12" s="23"/>
      <c r="N12" s="23"/>
      <c r="R12" s="23" t="s">
        <v>329</v>
      </c>
      <c r="S12" s="23" t="s">
        <v>302</v>
      </c>
      <c r="T12" s="41" t="s">
        <v>330</v>
      </c>
      <c r="Y12" s="39">
        <v>46196</v>
      </c>
      <c r="Z12" s="23">
        <v>230</v>
      </c>
      <c r="AA12" s="23"/>
      <c r="AB12" s="4"/>
      <c r="AD12" s="70" t="s">
        <v>153</v>
      </c>
      <c r="AE12" s="70" t="s">
        <v>608</v>
      </c>
      <c r="AI12" s="43" t="s">
        <v>153</v>
      </c>
      <c r="AJ12" s="25" t="s">
        <v>2</v>
      </c>
    </row>
    <row r="13" spans="12:36" ht="19.5" customHeight="1" x14ac:dyDescent="0.25">
      <c r="L13" s="39">
        <v>46196</v>
      </c>
      <c r="M13" s="23">
        <v>230</v>
      </c>
      <c r="N13" s="23"/>
      <c r="R13" s="23">
        <f>SUM(M5:M29)</f>
        <v>8630</v>
      </c>
      <c r="S13" s="23">
        <v>665</v>
      </c>
      <c r="T13" s="23">
        <f>SUM(Q19:S19)</f>
        <v>560</v>
      </c>
      <c r="Y13" s="39">
        <v>46197</v>
      </c>
      <c r="Z13" s="65">
        <v>380</v>
      </c>
      <c r="AA13" s="4"/>
      <c r="AB13" s="4"/>
      <c r="AD13" s="23">
        <f>SUM(Z5:Z19)</f>
        <v>2865</v>
      </c>
      <c r="AE13" s="23" t="s">
        <v>304</v>
      </c>
      <c r="AI13" s="23">
        <f>SUM(Z5:Z33)</f>
        <v>12095</v>
      </c>
      <c r="AJ13" s="25" t="s">
        <v>504</v>
      </c>
    </row>
    <row r="14" spans="12:36" ht="18" customHeight="1" x14ac:dyDescent="0.25">
      <c r="L14" s="39">
        <v>46197</v>
      </c>
      <c r="M14" s="49">
        <f>130+345+140+205</f>
        <v>820</v>
      </c>
      <c r="N14" s="4"/>
      <c r="O14" s="56">
        <f>100+95+185</f>
        <v>380</v>
      </c>
      <c r="Q14" s="23" t="s">
        <v>315</v>
      </c>
      <c r="R14" s="55"/>
      <c r="S14" s="55"/>
      <c r="T14" s="55"/>
      <c r="Y14" s="39">
        <v>46198</v>
      </c>
      <c r="Z14" s="23">
        <f>160+35</f>
        <v>195</v>
      </c>
      <c r="AA14" s="23"/>
      <c r="AB14" s="4"/>
      <c r="AD14" s="23">
        <f>SUM(AA5:AA18)</f>
        <v>320</v>
      </c>
      <c r="AE14" s="23" t="s">
        <v>302</v>
      </c>
      <c r="AI14" s="23">
        <f>SUM(AA5:AA33)</f>
        <v>1385</v>
      </c>
      <c r="AJ14" s="25" t="s">
        <v>505</v>
      </c>
    </row>
    <row r="15" spans="12:36" ht="18" customHeight="1" x14ac:dyDescent="0.25">
      <c r="L15" s="39">
        <v>46198</v>
      </c>
      <c r="M15" s="23">
        <f>160+35</f>
        <v>195</v>
      </c>
      <c r="N15" s="23"/>
      <c r="Q15" s="23">
        <v>560</v>
      </c>
      <c r="U15" s="272" t="s">
        <v>331</v>
      </c>
      <c r="Y15" s="39">
        <v>46199</v>
      </c>
      <c r="Z15" s="23"/>
      <c r="AA15" s="23"/>
      <c r="AB15" s="4"/>
      <c r="AD15" s="23">
        <v>6020</v>
      </c>
      <c r="AE15" s="23" t="s">
        <v>503</v>
      </c>
      <c r="AI15" s="23">
        <f>SUM(Z40)</f>
        <v>560</v>
      </c>
      <c r="AJ15" s="25" t="s">
        <v>507</v>
      </c>
    </row>
    <row r="16" spans="12:36" ht="18.75" customHeight="1" x14ac:dyDescent="0.25">
      <c r="L16" s="39">
        <v>46199</v>
      </c>
      <c r="M16" s="23"/>
      <c r="N16" s="23"/>
      <c r="U16" s="272"/>
      <c r="V16" s="273">
        <v>375</v>
      </c>
      <c r="Y16" s="39">
        <v>46200</v>
      </c>
      <c r="Z16" s="23">
        <v>225</v>
      </c>
      <c r="AA16" s="23"/>
      <c r="AB16" s="4"/>
      <c r="AD16" s="23">
        <v>560</v>
      </c>
      <c r="AE16" s="23" t="s">
        <v>315</v>
      </c>
      <c r="AI16" s="23">
        <f>SUM(Z41)</f>
        <v>6020</v>
      </c>
      <c r="AJ16" s="25" t="s">
        <v>508</v>
      </c>
    </row>
    <row r="17" spans="12:36" ht="15.75" x14ac:dyDescent="0.25">
      <c r="L17" s="39">
        <v>46200</v>
      </c>
      <c r="M17" s="23">
        <f>260+100+65</f>
        <v>425</v>
      </c>
      <c r="N17" s="23"/>
      <c r="O17" s="56">
        <f>160+65</f>
        <v>225</v>
      </c>
      <c r="U17" s="272"/>
      <c r="V17" s="274"/>
      <c r="Y17" s="39">
        <v>46201</v>
      </c>
      <c r="Z17" s="23"/>
      <c r="AA17" s="65">
        <v>20</v>
      </c>
      <c r="AB17" s="4"/>
      <c r="AD17" s="23">
        <f>SUM(AD13:AD16)</f>
        <v>9765</v>
      </c>
      <c r="AE17" s="23" t="s">
        <v>47</v>
      </c>
      <c r="AI17" s="123">
        <f>SUM(AI13:AI16)</f>
        <v>20060</v>
      </c>
      <c r="AJ17" s="124" t="s">
        <v>506</v>
      </c>
    </row>
    <row r="18" spans="12:36" ht="17.25" customHeight="1" x14ac:dyDescent="0.25">
      <c r="L18" s="39">
        <v>46201</v>
      </c>
      <c r="M18" s="23"/>
      <c r="N18" s="49">
        <v>20</v>
      </c>
      <c r="Q18" s="23" t="s">
        <v>315</v>
      </c>
      <c r="U18" s="272"/>
      <c r="Y18" s="39">
        <v>46202</v>
      </c>
      <c r="Z18" s="23"/>
      <c r="AA18" s="119"/>
      <c r="AB18" s="4"/>
    </row>
    <row r="19" spans="12:36" x14ac:dyDescent="0.25">
      <c r="L19" s="39">
        <v>46202</v>
      </c>
      <c r="M19" s="23"/>
      <c r="N19" s="4"/>
      <c r="Q19" s="26">
        <v>560</v>
      </c>
      <c r="Y19" s="61">
        <v>46203</v>
      </c>
      <c r="Z19" s="23">
        <f>330+175</f>
        <v>505</v>
      </c>
      <c r="AA19" s="65">
        <v>100</v>
      </c>
      <c r="AB19" s="4"/>
    </row>
    <row r="20" spans="12:36" x14ac:dyDescent="0.25">
      <c r="L20" s="61">
        <v>46203</v>
      </c>
      <c r="M20" s="23">
        <f>330+175</f>
        <v>505</v>
      </c>
      <c r="N20" s="49">
        <v>100</v>
      </c>
      <c r="Q20" s="55"/>
      <c r="Y20" s="39">
        <v>46204</v>
      </c>
      <c r="Z20" s="23">
        <v>2200</v>
      </c>
      <c r="AA20" s="23">
        <v>100</v>
      </c>
      <c r="AB20" s="4"/>
      <c r="AD20" s="165" t="s">
        <v>153</v>
      </c>
      <c r="AE20" s="70" t="s">
        <v>608</v>
      </c>
    </row>
    <row r="21" spans="12:36" ht="18" customHeight="1" x14ac:dyDescent="0.25">
      <c r="L21" s="39">
        <v>46204</v>
      </c>
      <c r="M21" s="23">
        <v>2200</v>
      </c>
      <c r="N21" s="23">
        <v>100</v>
      </c>
      <c r="Y21" s="39">
        <v>46205</v>
      </c>
      <c r="Z21" s="23">
        <f>60+175+100+100</f>
        <v>435</v>
      </c>
      <c r="AA21" s="23">
        <v>10</v>
      </c>
      <c r="AB21" s="4"/>
      <c r="AD21" s="23">
        <v>7</v>
      </c>
      <c r="AE21" s="23" t="s">
        <v>49</v>
      </c>
    </row>
    <row r="22" spans="12:36" x14ac:dyDescent="0.25">
      <c r="L22" s="39">
        <v>46205</v>
      </c>
      <c r="M22" s="23">
        <f>60+175+100+100</f>
        <v>435</v>
      </c>
      <c r="N22" s="23">
        <v>10</v>
      </c>
      <c r="Y22" s="39">
        <v>46206</v>
      </c>
      <c r="Z22" s="23">
        <v>220</v>
      </c>
      <c r="AA22" s="23">
        <v>10</v>
      </c>
      <c r="AB22" s="4"/>
      <c r="AD22" s="23">
        <f>SUM(Z20:Z39)</f>
        <v>13518</v>
      </c>
      <c r="AE22" s="23" t="s">
        <v>304</v>
      </c>
    </row>
    <row r="23" spans="12:36" x14ac:dyDescent="0.25">
      <c r="L23" s="39">
        <v>46206</v>
      </c>
      <c r="M23" s="23">
        <v>220</v>
      </c>
      <c r="N23" s="23">
        <v>10</v>
      </c>
      <c r="Y23" s="39">
        <v>46207</v>
      </c>
      <c r="Z23" s="23">
        <f>395+915+180</f>
        <v>1490</v>
      </c>
      <c r="AA23" s="23">
        <v>125</v>
      </c>
      <c r="AB23" s="4"/>
      <c r="AD23" s="23">
        <f>SUM(AA19:AA39)</f>
        <v>1405</v>
      </c>
      <c r="AE23" s="23" t="s">
        <v>302</v>
      </c>
    </row>
    <row r="24" spans="12:36" x14ac:dyDescent="0.25">
      <c r="L24" s="39"/>
      <c r="M24" s="23"/>
      <c r="N24" s="23"/>
      <c r="Y24" s="39">
        <v>46208</v>
      </c>
      <c r="Z24" s="23">
        <f>10+195+75+150</f>
        <v>430</v>
      </c>
      <c r="AA24" s="23"/>
      <c r="AB24" s="4"/>
      <c r="AD24" s="23">
        <f>SUM(AD22:AD23)</f>
        <v>14923</v>
      </c>
      <c r="AE24" s="23" t="s">
        <v>47</v>
      </c>
    </row>
    <row r="25" spans="12:36" ht="15" customHeight="1" x14ac:dyDescent="0.25">
      <c r="L25" s="39">
        <v>46207</v>
      </c>
      <c r="M25" s="23">
        <f>395+915+180</f>
        <v>1490</v>
      </c>
      <c r="N25" s="23">
        <v>125</v>
      </c>
      <c r="Y25" s="39">
        <v>46209</v>
      </c>
      <c r="Z25" s="23">
        <v>100</v>
      </c>
      <c r="AA25" s="23"/>
      <c r="AB25" s="4"/>
    </row>
    <row r="26" spans="12:36" ht="16.5" customHeight="1" x14ac:dyDescent="0.25">
      <c r="L26" s="39">
        <v>46208</v>
      </c>
      <c r="M26" s="23">
        <f>10+195+75+150</f>
        <v>430</v>
      </c>
      <c r="N26" s="23"/>
      <c r="Y26" s="39">
        <v>46210</v>
      </c>
      <c r="Z26" s="23">
        <v>475</v>
      </c>
      <c r="AA26" s="23"/>
      <c r="AB26" s="4"/>
    </row>
    <row r="27" spans="12:36" x14ac:dyDescent="0.25">
      <c r="L27" s="39">
        <v>46209</v>
      </c>
      <c r="M27" s="23"/>
      <c r="N27" s="23"/>
      <c r="O27" s="57">
        <f>150+10</f>
        <v>160</v>
      </c>
      <c r="Y27" s="39">
        <v>46211</v>
      </c>
      <c r="Z27" s="23">
        <v>100</v>
      </c>
      <c r="AA27" s="23"/>
      <c r="AB27" s="4"/>
    </row>
    <row r="28" spans="12:36" ht="16.5" customHeight="1" x14ac:dyDescent="0.25">
      <c r="L28" s="39">
        <v>46210</v>
      </c>
      <c r="M28" s="23">
        <v>475</v>
      </c>
      <c r="N28" s="23"/>
      <c r="Y28" s="39">
        <v>46212</v>
      </c>
      <c r="Z28" s="23">
        <v>690</v>
      </c>
      <c r="AA28" s="23"/>
      <c r="AB28" s="4"/>
      <c r="AE28">
        <f>SUM(Z20:Z39)</f>
        <v>13518</v>
      </c>
    </row>
    <row r="29" spans="12:36" ht="16.5" customHeight="1" x14ac:dyDescent="0.25">
      <c r="L29" s="39">
        <v>46211</v>
      </c>
      <c r="M29" s="23">
        <v>50</v>
      </c>
      <c r="N29" s="23"/>
      <c r="O29" s="57">
        <v>100</v>
      </c>
      <c r="Y29" s="39">
        <v>46213</v>
      </c>
      <c r="Z29" s="23">
        <v>375</v>
      </c>
      <c r="AA29" s="23"/>
      <c r="AB29" s="4"/>
    </row>
    <row r="30" spans="12:36" ht="15" customHeight="1" x14ac:dyDescent="0.25">
      <c r="L30" s="53"/>
      <c r="M30" s="23"/>
      <c r="N30" s="23"/>
      <c r="O30" s="57"/>
      <c r="Y30" s="39">
        <v>46214</v>
      </c>
      <c r="Z30" s="23">
        <v>580</v>
      </c>
      <c r="AA30" s="23"/>
      <c r="AB30" s="4"/>
    </row>
    <row r="31" spans="12:36" x14ac:dyDescent="0.25">
      <c r="L31" s="53"/>
      <c r="M31" s="23"/>
      <c r="N31" s="23"/>
      <c r="O31" s="57"/>
      <c r="Y31" s="39">
        <v>46215</v>
      </c>
      <c r="Z31" s="23">
        <v>400</v>
      </c>
      <c r="AA31" s="23"/>
      <c r="AB31" s="4"/>
    </row>
    <row r="32" spans="12:36" x14ac:dyDescent="0.25">
      <c r="L32" s="53"/>
      <c r="M32" s="23"/>
      <c r="N32" s="23"/>
      <c r="O32" s="57"/>
      <c r="Y32" s="39">
        <v>46216</v>
      </c>
      <c r="Z32" s="23">
        <v>955</v>
      </c>
      <c r="AA32" s="23">
        <f>10+650</f>
        <v>660</v>
      </c>
      <c r="AB32" s="4"/>
    </row>
    <row r="33" spans="12:50" x14ac:dyDescent="0.25">
      <c r="L33" s="53"/>
      <c r="M33" s="23"/>
      <c r="N33" s="23"/>
      <c r="O33" s="57"/>
      <c r="Y33" s="39">
        <v>46217</v>
      </c>
      <c r="Z33" s="23">
        <v>780</v>
      </c>
      <c r="AA33" s="23">
        <f>10+50</f>
        <v>60</v>
      </c>
      <c r="AB33" s="4"/>
    </row>
    <row r="34" spans="12:50" x14ac:dyDescent="0.25">
      <c r="L34" s="53"/>
      <c r="M34" s="23"/>
      <c r="N34" s="23"/>
      <c r="O34" s="57"/>
      <c r="Y34" s="39">
        <v>46218</v>
      </c>
      <c r="Z34" s="23">
        <v>1020</v>
      </c>
      <c r="AA34" s="23"/>
      <c r="AB34" s="4"/>
    </row>
    <row r="35" spans="12:50" x14ac:dyDescent="0.25">
      <c r="L35" s="53"/>
      <c r="M35" s="23"/>
      <c r="N35" s="23"/>
      <c r="O35" s="57"/>
      <c r="Y35" s="39">
        <v>46219</v>
      </c>
      <c r="Z35" s="23">
        <v>345</v>
      </c>
      <c r="AA35" s="23">
        <v>50</v>
      </c>
      <c r="AB35" s="4" t="s">
        <v>526</v>
      </c>
    </row>
    <row r="36" spans="12:50" x14ac:dyDescent="0.25">
      <c r="L36" s="53"/>
      <c r="M36" s="23"/>
      <c r="N36" s="23"/>
      <c r="O36" s="57"/>
      <c r="Y36" s="39">
        <v>46220</v>
      </c>
      <c r="Z36" s="23">
        <v>213</v>
      </c>
      <c r="AA36" s="23">
        <f>80+50</f>
        <v>130</v>
      </c>
      <c r="AB36" s="4" t="s">
        <v>611</v>
      </c>
    </row>
    <row r="37" spans="12:50" x14ac:dyDescent="0.25">
      <c r="L37" s="53"/>
      <c r="M37" s="23"/>
      <c r="N37" s="23"/>
      <c r="O37" s="57"/>
      <c r="Y37" s="39">
        <v>46221</v>
      </c>
      <c r="Z37" s="23">
        <v>1775</v>
      </c>
      <c r="AA37" s="23">
        <f>10+50</f>
        <v>60</v>
      </c>
      <c r="AB37" s="4" t="s">
        <v>526</v>
      </c>
    </row>
    <row r="38" spans="12:50" x14ac:dyDescent="0.25">
      <c r="L38" s="53"/>
      <c r="M38" s="23"/>
      <c r="N38" s="23"/>
      <c r="O38" s="57"/>
      <c r="Y38" s="39">
        <v>46222</v>
      </c>
      <c r="Z38" s="23">
        <v>170</v>
      </c>
      <c r="AA38" s="23">
        <v>50</v>
      </c>
      <c r="AB38" s="4" t="s">
        <v>526</v>
      </c>
      <c r="AX38" s="1"/>
    </row>
    <row r="39" spans="12:50" x14ac:dyDescent="0.25">
      <c r="L39" s="53"/>
      <c r="M39" s="23"/>
      <c r="N39" s="23"/>
      <c r="O39" s="57"/>
      <c r="Y39" s="39">
        <v>46223</v>
      </c>
      <c r="Z39" s="23">
        <v>765</v>
      </c>
      <c r="AA39" s="23">
        <v>50</v>
      </c>
      <c r="AB39" s="4" t="s">
        <v>526</v>
      </c>
    </row>
    <row r="40" spans="12:50" x14ac:dyDescent="0.25">
      <c r="L40" s="53"/>
      <c r="M40" s="23"/>
      <c r="N40" s="23"/>
      <c r="O40" s="57"/>
      <c r="Y40" s="53" t="s">
        <v>624</v>
      </c>
      <c r="Z40" s="163">
        <v>560</v>
      </c>
      <c r="AA40" s="163" t="s">
        <v>315</v>
      </c>
    </row>
    <row r="41" spans="12:50" x14ac:dyDescent="0.25">
      <c r="L41" s="53"/>
      <c r="M41" s="23"/>
      <c r="N41" s="23"/>
      <c r="O41" s="57"/>
      <c r="Z41" s="163">
        <v>6020</v>
      </c>
      <c r="AA41" s="163" t="s">
        <v>503</v>
      </c>
    </row>
    <row r="42" spans="12:50" x14ac:dyDescent="0.25">
      <c r="L42" s="53"/>
      <c r="M42" s="23"/>
      <c r="N42" s="23"/>
      <c r="O42" s="57"/>
      <c r="Y42" s="53"/>
      <c r="Z42" s="129">
        <f>SUM(AA5:AA39)</f>
        <v>1725</v>
      </c>
      <c r="AA42" s="129" t="s">
        <v>305</v>
      </c>
    </row>
    <row r="43" spans="12:50" x14ac:dyDescent="0.25">
      <c r="L43" s="53"/>
      <c r="M43" s="23"/>
      <c r="N43" s="23"/>
      <c r="O43" s="57"/>
      <c r="Y43" s="53"/>
      <c r="Z43" s="129">
        <f>SUM(Z5:Z39)</f>
        <v>16383</v>
      </c>
      <c r="AA43" s="129" t="s">
        <v>306</v>
      </c>
      <c r="AE43">
        <f>SUM(Z43+Z41)</f>
        <v>22403</v>
      </c>
    </row>
    <row r="44" spans="12:50" ht="25.5" customHeight="1" x14ac:dyDescent="0.25">
      <c r="L44" s="53"/>
      <c r="M44" s="23"/>
      <c r="N44" s="23"/>
      <c r="O44" s="57"/>
      <c r="Y44" s="53"/>
      <c r="Z44" s="149">
        <f>SUM(Z40:Z43)</f>
        <v>24688</v>
      </c>
      <c r="AA44" s="149" t="s">
        <v>47</v>
      </c>
    </row>
    <row r="45" spans="12:50" ht="27.75" customHeight="1" x14ac:dyDescent="0.25">
      <c r="L45" s="53"/>
      <c r="M45" s="23"/>
      <c r="N45" s="23"/>
      <c r="O45" s="57"/>
      <c r="Y45" s="51"/>
    </row>
    <row r="46" spans="12:50" x14ac:dyDescent="0.25">
      <c r="L46" s="53"/>
      <c r="M46" s="23">
        <v>560</v>
      </c>
      <c r="N46" s="23" t="s">
        <v>315</v>
      </c>
    </row>
    <row r="47" spans="12:50" ht="23.25" customHeight="1" x14ac:dyDescent="0.25">
      <c r="L47" s="51"/>
      <c r="M47" s="23">
        <f>SUM(N6:N29)</f>
        <v>665</v>
      </c>
      <c r="N47" s="23" t="s">
        <v>305</v>
      </c>
    </row>
    <row r="48" spans="12:50" ht="25.5" customHeight="1" x14ac:dyDescent="0.25">
      <c r="M48" s="23">
        <f>SUM(M5:M46)</f>
        <v>9190</v>
      </c>
      <c r="N48" s="23" t="s">
        <v>306</v>
      </c>
    </row>
    <row r="49" spans="13:49" ht="33" customHeight="1" x14ac:dyDescent="0.25">
      <c r="M49" s="25">
        <v>9855</v>
      </c>
      <c r="N49" s="25" t="s">
        <v>47</v>
      </c>
    </row>
    <row r="54" spans="13:49" x14ac:dyDescent="0.25">
      <c r="AW54" s="23" t="s">
        <v>532</v>
      </c>
    </row>
    <row r="55" spans="13:49" x14ac:dyDescent="0.25">
      <c r="AW55" s="4"/>
    </row>
    <row r="56" spans="13:49" ht="15" customHeight="1" x14ac:dyDescent="0.25">
      <c r="AW56" s="43"/>
    </row>
    <row r="57" spans="13:49" ht="15" customHeight="1" x14ac:dyDescent="0.25">
      <c r="AW57" s="43"/>
    </row>
    <row r="58" spans="13:49" ht="15" customHeight="1" x14ac:dyDescent="0.25">
      <c r="AW58" s="169"/>
    </row>
    <row r="59" spans="13:49" ht="15" customHeight="1" x14ac:dyDescent="0.25">
      <c r="AW59" s="170"/>
    </row>
    <row r="60" spans="13:49" x14ac:dyDescent="0.25">
      <c r="AW60" s="171"/>
    </row>
    <row r="61" spans="13:49" x14ac:dyDescent="0.25">
      <c r="AW61" s="172"/>
    </row>
    <row r="73" ht="20.2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</sheetData>
  <mergeCells count="6">
    <mergeCell ref="AI10:AJ11"/>
    <mergeCell ref="L3:N3"/>
    <mergeCell ref="R7:T7"/>
    <mergeCell ref="U15:U18"/>
    <mergeCell ref="V16:V17"/>
    <mergeCell ref="Y3:AA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9699D-0EE7-4FFB-9207-029E77F6EB80}">
  <dimension ref="A2:AJ201"/>
  <sheetViews>
    <sheetView topLeftCell="A174" zoomScale="105" zoomScaleNormal="97" workbookViewId="0">
      <selection activeCell="I159" sqref="I159"/>
    </sheetView>
  </sheetViews>
  <sheetFormatPr defaultRowHeight="15" x14ac:dyDescent="0.25"/>
  <cols>
    <col min="3" max="3" width="13.7109375" customWidth="1"/>
    <col min="5" max="7" width="9.140625" customWidth="1"/>
    <col min="8" max="8" width="23.42578125" customWidth="1"/>
    <col min="9" max="9" width="10.28515625" bestFit="1" customWidth="1"/>
    <col min="12" max="12" width="16.5703125" bestFit="1" customWidth="1"/>
    <col min="13" max="15" width="9.140625" customWidth="1"/>
    <col min="22" max="22" width="9.140625" customWidth="1"/>
    <col min="23" max="23" width="12.7109375" customWidth="1"/>
  </cols>
  <sheetData>
    <row r="2" spans="3:12" x14ac:dyDescent="0.25">
      <c r="C2" s="280" t="s">
        <v>383</v>
      </c>
      <c r="D2" s="280"/>
      <c r="E2" s="280"/>
      <c r="F2" s="280"/>
      <c r="G2" s="280"/>
      <c r="H2" s="280"/>
    </row>
    <row r="3" spans="3:12" x14ac:dyDescent="0.25">
      <c r="C3" s="280"/>
      <c r="D3" s="280"/>
      <c r="E3" s="280"/>
      <c r="F3" s="280"/>
      <c r="G3" s="280"/>
      <c r="H3" s="280"/>
    </row>
    <row r="5" spans="3:12" ht="21.75" customHeight="1" x14ac:dyDescent="0.25">
      <c r="C5" s="280" t="s">
        <v>26</v>
      </c>
      <c r="D5" s="280"/>
      <c r="E5" s="280" t="s">
        <v>384</v>
      </c>
      <c r="F5" s="280"/>
      <c r="G5" s="280"/>
      <c r="H5" s="280"/>
      <c r="I5" s="103" t="s">
        <v>388</v>
      </c>
    </row>
    <row r="6" spans="3:12" x14ac:dyDescent="0.25">
      <c r="C6" s="234">
        <v>46205</v>
      </c>
      <c r="D6" s="234"/>
      <c r="E6" s="195" t="s">
        <v>385</v>
      </c>
      <c r="F6" s="195"/>
      <c r="G6" s="195"/>
      <c r="H6" s="195"/>
      <c r="I6" s="4" t="s">
        <v>389</v>
      </c>
    </row>
    <row r="7" spans="3:12" x14ac:dyDescent="0.25">
      <c r="C7" s="234">
        <v>46206</v>
      </c>
      <c r="D7" s="234"/>
      <c r="E7" s="195" t="s">
        <v>385</v>
      </c>
      <c r="F7" s="195"/>
      <c r="G7" s="195"/>
      <c r="H7" s="195"/>
      <c r="I7" s="4" t="s">
        <v>389</v>
      </c>
    </row>
    <row r="8" spans="3:12" x14ac:dyDescent="0.25">
      <c r="C8" s="234">
        <v>46207</v>
      </c>
      <c r="D8" s="234"/>
      <c r="E8" s="195" t="s">
        <v>390</v>
      </c>
      <c r="F8" s="195"/>
      <c r="G8" s="195"/>
      <c r="H8" s="195"/>
      <c r="I8" s="4" t="s">
        <v>389</v>
      </c>
    </row>
    <row r="9" spans="3:12" x14ac:dyDescent="0.25">
      <c r="C9" s="234"/>
      <c r="D9" s="234"/>
      <c r="E9" s="195" t="s">
        <v>386</v>
      </c>
      <c r="F9" s="195"/>
      <c r="G9" s="195"/>
      <c r="H9" s="195"/>
      <c r="I9" s="4"/>
      <c r="K9" s="51">
        <f>79290+630</f>
        <v>79920</v>
      </c>
      <c r="L9" t="s">
        <v>396</v>
      </c>
    </row>
    <row r="10" spans="3:12" x14ac:dyDescent="0.25">
      <c r="C10" s="234">
        <v>46213</v>
      </c>
      <c r="D10" s="234"/>
      <c r="E10" s="195" t="s">
        <v>385</v>
      </c>
      <c r="F10" s="195"/>
      <c r="G10" s="195"/>
      <c r="H10" s="195"/>
      <c r="I10" s="4" t="s">
        <v>389</v>
      </c>
      <c r="K10" s="51">
        <f>79290+630</f>
        <v>79920</v>
      </c>
      <c r="L10" s="51" t="s">
        <v>397</v>
      </c>
    </row>
    <row r="11" spans="3:12" x14ac:dyDescent="0.25">
      <c r="C11" s="234">
        <v>46214</v>
      </c>
      <c r="D11" s="234"/>
      <c r="E11" s="195" t="s">
        <v>391</v>
      </c>
      <c r="F11" s="195"/>
      <c r="G11" s="195"/>
      <c r="H11" s="195"/>
      <c r="I11" s="63" t="s">
        <v>392</v>
      </c>
      <c r="K11" s="51">
        <v>74935</v>
      </c>
      <c r="L11" s="51" t="s">
        <v>399</v>
      </c>
    </row>
    <row r="12" spans="3:12" x14ac:dyDescent="0.25">
      <c r="C12" s="234">
        <v>46214</v>
      </c>
      <c r="D12" s="234"/>
      <c r="E12" s="195" t="s">
        <v>393</v>
      </c>
      <c r="F12" s="195"/>
      <c r="G12" s="195"/>
      <c r="H12" s="195"/>
      <c r="I12" s="4" t="s">
        <v>389</v>
      </c>
    </row>
    <row r="13" spans="3:12" x14ac:dyDescent="0.25">
      <c r="C13" s="234">
        <v>46215</v>
      </c>
      <c r="D13" s="234"/>
      <c r="E13" s="195" t="s">
        <v>467</v>
      </c>
      <c r="F13" s="195"/>
      <c r="G13" s="195"/>
      <c r="H13" s="195"/>
      <c r="I13" s="4" t="s">
        <v>389</v>
      </c>
    </row>
    <row r="14" spans="3:12" x14ac:dyDescent="0.25">
      <c r="C14" s="234"/>
      <c r="D14" s="234"/>
      <c r="E14" s="195"/>
      <c r="F14" s="195"/>
      <c r="G14" s="195"/>
      <c r="H14" s="195"/>
      <c r="I14" s="4"/>
      <c r="L14" s="105">
        <f>10000+10000+5000+10000+33000+6935</f>
        <v>74935</v>
      </c>
    </row>
    <row r="15" spans="3:12" x14ac:dyDescent="0.25">
      <c r="C15" s="234"/>
      <c r="D15" s="234"/>
      <c r="E15" s="195"/>
      <c r="F15" s="195"/>
      <c r="G15" s="195"/>
      <c r="H15" s="195"/>
      <c r="I15" s="4"/>
    </row>
    <row r="16" spans="3:12" x14ac:dyDescent="0.25">
      <c r="C16" s="234"/>
      <c r="D16" s="234"/>
      <c r="E16" s="195"/>
      <c r="F16" s="195"/>
      <c r="G16" s="195"/>
      <c r="H16" s="195"/>
      <c r="I16" s="4"/>
    </row>
    <row r="17" spans="1:22" x14ac:dyDescent="0.25">
      <c r="C17" s="104"/>
      <c r="D17" s="104"/>
    </row>
    <row r="18" spans="1:22" x14ac:dyDescent="0.25">
      <c r="C18" s="104"/>
      <c r="D18" s="104"/>
    </row>
    <row r="29" spans="1:22" x14ac:dyDescent="0.25">
      <c r="G29" s="281">
        <v>46204</v>
      </c>
      <c r="H29" s="281"/>
      <c r="I29" s="281"/>
      <c r="J29" s="281"/>
      <c r="K29" s="281"/>
    </row>
    <row r="30" spans="1:22" x14ac:dyDescent="0.25">
      <c r="C30" s="284" t="s">
        <v>352</v>
      </c>
      <c r="D30" s="284"/>
      <c r="E30" s="284"/>
      <c r="G30" s="281"/>
      <c r="H30" s="281"/>
      <c r="I30" s="281"/>
      <c r="J30" s="281"/>
      <c r="K30" s="281"/>
    </row>
    <row r="31" spans="1:22" x14ac:dyDescent="0.25">
      <c r="A31" s="276" t="e" vm="1">
        <v>#VALUE!</v>
      </c>
      <c r="B31" s="276"/>
      <c r="C31" s="276"/>
      <c r="D31" s="276"/>
      <c r="E31" s="276"/>
      <c r="F31" s="276"/>
      <c r="G31" s="276"/>
      <c r="H31" s="276"/>
      <c r="I31" s="276" t="e" vm="2">
        <v>#VALUE!</v>
      </c>
      <c r="J31" s="276"/>
      <c r="K31" s="276"/>
      <c r="L31" s="276"/>
      <c r="M31" s="276"/>
      <c r="N31" s="276"/>
      <c r="O31" s="276"/>
      <c r="P31" s="276" t="e" vm="3">
        <v>#VALUE!</v>
      </c>
      <c r="Q31" s="276"/>
      <c r="R31" s="276"/>
      <c r="S31" s="276"/>
      <c r="T31" s="276"/>
      <c r="U31" s="276"/>
      <c r="V31" s="276"/>
    </row>
    <row r="32" spans="1:22" x14ac:dyDescent="0.25">
      <c r="A32" s="276"/>
      <c r="B32" s="276"/>
      <c r="C32" s="276"/>
      <c r="D32" s="276"/>
      <c r="E32" s="276"/>
      <c r="F32" s="276"/>
      <c r="G32" s="276"/>
      <c r="H32" s="276"/>
      <c r="I32" s="276"/>
      <c r="J32" s="276"/>
      <c r="K32" s="276"/>
      <c r="L32" s="276"/>
      <c r="M32" s="276"/>
      <c r="N32" s="276"/>
      <c r="O32" s="276"/>
      <c r="P32" s="276"/>
      <c r="Q32" s="276"/>
      <c r="R32" s="276"/>
      <c r="S32" s="276"/>
      <c r="T32" s="276"/>
      <c r="U32" s="276"/>
      <c r="V32" s="276"/>
    </row>
    <row r="33" spans="1:22" x14ac:dyDescent="0.25">
      <c r="A33" s="276"/>
      <c r="B33" s="276"/>
      <c r="C33" s="276"/>
      <c r="D33" s="276"/>
      <c r="E33" s="276"/>
      <c r="F33" s="276"/>
      <c r="G33" s="276"/>
      <c r="H33" s="276"/>
      <c r="I33" s="276"/>
      <c r="J33" s="276"/>
      <c r="K33" s="276"/>
      <c r="L33" s="276"/>
      <c r="M33" s="276"/>
      <c r="N33" s="276"/>
      <c r="O33" s="276"/>
      <c r="P33" s="276"/>
      <c r="Q33" s="276"/>
      <c r="R33" s="276"/>
      <c r="S33" s="276"/>
      <c r="T33" s="276"/>
      <c r="U33" s="276"/>
      <c r="V33" s="276"/>
    </row>
    <row r="34" spans="1:22" x14ac:dyDescent="0.25">
      <c r="A34" s="276"/>
      <c r="B34" s="276"/>
      <c r="C34" s="276"/>
      <c r="D34" s="276"/>
      <c r="E34" s="276"/>
      <c r="F34" s="276"/>
      <c r="G34" s="276"/>
      <c r="H34" s="276"/>
      <c r="I34" s="276"/>
      <c r="J34" s="276"/>
      <c r="K34" s="276"/>
      <c r="L34" s="276"/>
      <c r="M34" s="276"/>
      <c r="N34" s="276"/>
      <c r="O34" s="276"/>
      <c r="P34" s="276"/>
      <c r="Q34" s="276"/>
      <c r="R34" s="276"/>
      <c r="S34" s="276"/>
      <c r="T34" s="276"/>
      <c r="U34" s="276"/>
      <c r="V34" s="276"/>
    </row>
    <row r="35" spans="1:22" x14ac:dyDescent="0.25">
      <c r="A35" s="276"/>
      <c r="B35" s="276"/>
      <c r="C35" s="276"/>
      <c r="D35" s="276"/>
      <c r="E35" s="276"/>
      <c r="F35" s="276"/>
      <c r="G35" s="276"/>
      <c r="H35" s="276"/>
      <c r="I35" s="276"/>
      <c r="J35" s="276"/>
      <c r="K35" s="276"/>
      <c r="L35" s="276"/>
      <c r="M35" s="276"/>
      <c r="N35" s="276"/>
      <c r="O35" s="276"/>
      <c r="P35" s="276"/>
      <c r="Q35" s="276"/>
      <c r="R35" s="276"/>
      <c r="S35" s="276"/>
      <c r="T35" s="276"/>
      <c r="U35" s="276"/>
      <c r="V35" s="276"/>
    </row>
    <row r="36" spans="1:22" x14ac:dyDescent="0.25">
      <c r="A36" s="276"/>
      <c r="B36" s="276"/>
      <c r="C36" s="276"/>
      <c r="D36" s="276"/>
      <c r="E36" s="276"/>
      <c r="F36" s="276"/>
      <c r="G36" s="276"/>
      <c r="H36" s="276"/>
      <c r="I36" s="276"/>
      <c r="J36" s="276"/>
      <c r="K36" s="276"/>
      <c r="L36" s="276"/>
      <c r="M36" s="276"/>
      <c r="N36" s="276"/>
      <c r="O36" s="276"/>
      <c r="P36" s="276"/>
      <c r="Q36" s="276"/>
      <c r="R36" s="276"/>
      <c r="S36" s="276"/>
      <c r="T36" s="276"/>
      <c r="U36" s="276"/>
      <c r="V36" s="276"/>
    </row>
    <row r="37" spans="1:22" x14ac:dyDescent="0.25">
      <c r="A37" s="276"/>
      <c r="B37" s="276"/>
      <c r="C37" s="276"/>
      <c r="D37" s="276"/>
      <c r="E37" s="276"/>
      <c r="F37" s="276"/>
      <c r="G37" s="276"/>
      <c r="H37" s="276"/>
      <c r="I37" s="276"/>
      <c r="J37" s="276"/>
      <c r="K37" s="276"/>
      <c r="L37" s="276"/>
      <c r="M37" s="276"/>
      <c r="N37" s="276"/>
      <c r="O37" s="276"/>
      <c r="P37" s="276"/>
      <c r="Q37" s="276"/>
      <c r="R37" s="276"/>
      <c r="S37" s="276"/>
      <c r="T37" s="276"/>
      <c r="U37" s="276"/>
      <c r="V37" s="276"/>
    </row>
    <row r="38" spans="1:22" x14ac:dyDescent="0.25">
      <c r="A38" s="276"/>
      <c r="B38" s="276"/>
      <c r="C38" s="276"/>
      <c r="D38" s="276"/>
      <c r="E38" s="276"/>
      <c r="F38" s="276"/>
      <c r="G38" s="276"/>
      <c r="H38" s="276"/>
      <c r="I38" s="276"/>
      <c r="J38" s="276"/>
      <c r="K38" s="276"/>
      <c r="L38" s="276"/>
      <c r="M38" s="276"/>
      <c r="N38" s="276"/>
      <c r="O38" s="276"/>
      <c r="P38" s="276"/>
      <c r="Q38" s="276"/>
      <c r="R38" s="276"/>
      <c r="S38" s="276"/>
      <c r="T38" s="276"/>
      <c r="U38" s="276"/>
      <c r="V38" s="276"/>
    </row>
    <row r="39" spans="1:22" x14ac:dyDescent="0.25">
      <c r="A39" s="276"/>
      <c r="B39" s="276"/>
      <c r="C39" s="276"/>
      <c r="D39" s="276"/>
      <c r="E39" s="276"/>
      <c r="F39" s="276"/>
      <c r="G39" s="276"/>
      <c r="H39" s="276"/>
      <c r="I39" s="276"/>
      <c r="J39" s="276"/>
      <c r="K39" s="276"/>
      <c r="L39" s="276"/>
      <c r="M39" s="276"/>
      <c r="N39" s="276"/>
      <c r="O39" s="276"/>
      <c r="P39" s="276"/>
      <c r="Q39" s="276"/>
      <c r="R39" s="276"/>
      <c r="S39" s="276"/>
      <c r="T39" s="276"/>
      <c r="U39" s="276"/>
      <c r="V39" s="276"/>
    </row>
    <row r="40" spans="1:22" x14ac:dyDescent="0.25">
      <c r="A40" s="276"/>
      <c r="B40" s="276"/>
      <c r="C40" s="276"/>
      <c r="D40" s="276"/>
      <c r="E40" s="276"/>
      <c r="F40" s="276"/>
      <c r="G40" s="276"/>
      <c r="H40" s="276"/>
      <c r="I40" s="276"/>
      <c r="J40" s="276"/>
      <c r="K40" s="276"/>
      <c r="L40" s="276"/>
      <c r="M40" s="276"/>
      <c r="N40" s="276"/>
      <c r="O40" s="276"/>
      <c r="P40" s="276"/>
      <c r="Q40" s="276"/>
      <c r="R40" s="276"/>
      <c r="S40" s="276"/>
      <c r="T40" s="276"/>
      <c r="U40" s="276"/>
      <c r="V40" s="276"/>
    </row>
    <row r="41" spans="1:22" x14ac:dyDescent="0.25">
      <c r="A41" s="276"/>
      <c r="B41" s="276"/>
      <c r="C41" s="276"/>
      <c r="D41" s="276"/>
      <c r="E41" s="276"/>
      <c r="F41" s="276"/>
      <c r="G41" s="276"/>
      <c r="H41" s="276"/>
      <c r="I41" s="276"/>
      <c r="J41" s="276"/>
      <c r="K41" s="276"/>
      <c r="L41" s="276"/>
      <c r="M41" s="276"/>
      <c r="N41" s="276"/>
      <c r="O41" s="276"/>
      <c r="P41" s="276"/>
      <c r="Q41" s="276"/>
      <c r="R41" s="276"/>
      <c r="S41" s="276"/>
      <c r="T41" s="276"/>
      <c r="U41" s="276"/>
      <c r="V41" s="276"/>
    </row>
    <row r="42" spans="1:22" x14ac:dyDescent="0.25">
      <c r="A42" s="276"/>
      <c r="B42" s="276"/>
      <c r="C42" s="276"/>
      <c r="D42" s="276"/>
      <c r="E42" s="276"/>
      <c r="F42" s="276"/>
      <c r="G42" s="276"/>
      <c r="H42" s="276"/>
      <c r="I42" s="276"/>
      <c r="J42" s="276"/>
      <c r="K42" s="276"/>
      <c r="L42" s="276"/>
      <c r="M42" s="276"/>
      <c r="N42" s="276"/>
      <c r="O42" s="276"/>
      <c r="P42" s="276"/>
      <c r="Q42" s="276"/>
      <c r="R42" s="276"/>
      <c r="S42" s="276"/>
      <c r="T42" s="276"/>
      <c r="U42" s="276"/>
      <c r="V42" s="276"/>
    </row>
    <row r="43" spans="1:22" x14ac:dyDescent="0.25">
      <c r="A43" s="276"/>
      <c r="B43" s="276"/>
      <c r="C43" s="276"/>
      <c r="D43" s="276"/>
      <c r="E43" s="276"/>
      <c r="F43" s="276"/>
      <c r="G43" s="276"/>
      <c r="H43" s="276"/>
      <c r="I43" s="276"/>
      <c r="J43" s="276"/>
      <c r="K43" s="276"/>
      <c r="L43" s="276"/>
      <c r="M43" s="276"/>
      <c r="N43" s="276"/>
      <c r="O43" s="276"/>
      <c r="P43" s="276"/>
      <c r="Q43" s="276"/>
      <c r="R43" s="276"/>
      <c r="S43" s="276"/>
      <c r="T43" s="276"/>
      <c r="U43" s="276"/>
      <c r="V43" s="276"/>
    </row>
    <row r="44" spans="1:22" x14ac:dyDescent="0.25">
      <c r="A44" s="276"/>
      <c r="B44" s="276"/>
      <c r="C44" s="276"/>
      <c r="D44" s="276"/>
      <c r="E44" s="276"/>
      <c r="F44" s="276"/>
      <c r="G44" s="276"/>
      <c r="H44" s="276"/>
      <c r="I44" s="276"/>
      <c r="J44" s="276"/>
      <c r="K44" s="276"/>
      <c r="L44" s="276"/>
      <c r="M44" s="276"/>
      <c r="N44" s="276"/>
      <c r="O44" s="276"/>
      <c r="P44" s="276"/>
      <c r="Q44" s="276"/>
      <c r="R44" s="276"/>
      <c r="S44" s="276"/>
      <c r="T44" s="276"/>
      <c r="U44" s="276"/>
      <c r="V44" s="276"/>
    </row>
    <row r="45" spans="1:22" x14ac:dyDescent="0.25">
      <c r="A45" s="276"/>
      <c r="B45" s="276"/>
      <c r="C45" s="276"/>
      <c r="D45" s="276"/>
      <c r="E45" s="276"/>
      <c r="F45" s="276"/>
      <c r="G45" s="276"/>
      <c r="H45" s="276"/>
      <c r="I45" s="276"/>
      <c r="J45" s="276"/>
      <c r="K45" s="276"/>
      <c r="L45" s="276"/>
      <c r="M45" s="276"/>
      <c r="N45" s="276"/>
      <c r="O45" s="276"/>
      <c r="P45" s="276"/>
      <c r="Q45" s="276"/>
      <c r="R45" s="276"/>
      <c r="S45" s="276"/>
      <c r="T45" s="276"/>
      <c r="U45" s="276"/>
      <c r="V45" s="276"/>
    </row>
    <row r="46" spans="1:22" x14ac:dyDescent="0.25">
      <c r="A46" s="276"/>
      <c r="B46" s="276"/>
      <c r="C46" s="276"/>
      <c r="D46" s="276"/>
      <c r="E46" s="276"/>
      <c r="F46" s="276"/>
      <c r="G46" s="276"/>
      <c r="H46" s="276"/>
      <c r="I46" s="276"/>
      <c r="J46" s="276"/>
      <c r="K46" s="276"/>
      <c r="L46" s="276"/>
      <c r="M46" s="276"/>
      <c r="N46" s="276"/>
      <c r="O46" s="276"/>
      <c r="P46" s="276"/>
      <c r="Q46" s="276"/>
      <c r="R46" s="276"/>
      <c r="S46" s="276"/>
      <c r="T46" s="276"/>
      <c r="U46" s="276"/>
      <c r="V46" s="276"/>
    </row>
    <row r="47" spans="1:22" x14ac:dyDescent="0.25">
      <c r="A47" s="276"/>
      <c r="B47" s="276"/>
      <c r="C47" s="276"/>
      <c r="D47" s="276"/>
      <c r="E47" s="276"/>
      <c r="F47" s="276"/>
      <c r="G47" s="276"/>
      <c r="H47" s="276"/>
      <c r="I47" s="276"/>
      <c r="J47" s="276"/>
      <c r="K47" s="276"/>
      <c r="L47" s="276"/>
      <c r="M47" s="276"/>
      <c r="N47" s="276"/>
      <c r="O47" s="276"/>
      <c r="P47" s="276"/>
      <c r="Q47" s="276"/>
      <c r="R47" s="276"/>
      <c r="S47" s="276"/>
      <c r="T47" s="276"/>
      <c r="U47" s="276"/>
      <c r="V47" s="276"/>
    </row>
    <row r="48" spans="1:22" x14ac:dyDescent="0.25">
      <c r="A48" s="276"/>
      <c r="B48" s="276"/>
      <c r="C48" s="276"/>
      <c r="D48" s="276"/>
      <c r="E48" s="276"/>
      <c r="F48" s="276"/>
      <c r="G48" s="276"/>
      <c r="H48" s="276"/>
      <c r="I48" s="276"/>
      <c r="J48" s="276"/>
      <c r="K48" s="276"/>
      <c r="L48" s="276"/>
      <c r="M48" s="276"/>
      <c r="N48" s="276"/>
      <c r="O48" s="276"/>
      <c r="P48" s="276"/>
      <c r="Q48" s="276"/>
      <c r="R48" s="276"/>
      <c r="S48" s="276"/>
      <c r="T48" s="276"/>
      <c r="U48" s="276"/>
      <c r="V48" s="276"/>
    </row>
    <row r="49" spans="1:22" x14ac:dyDescent="0.25">
      <c r="A49" s="276"/>
      <c r="B49" s="276"/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6"/>
      <c r="R49" s="276"/>
      <c r="S49" s="276"/>
      <c r="T49" s="276"/>
      <c r="U49" s="276"/>
      <c r="V49" s="276"/>
    </row>
    <row r="50" spans="1:22" x14ac:dyDescent="0.25">
      <c r="A50" s="276"/>
      <c r="B50" s="276"/>
      <c r="C50" s="276"/>
      <c r="D50" s="276"/>
      <c r="E50" s="276"/>
      <c r="F50" s="276"/>
      <c r="G50" s="276"/>
      <c r="H50" s="276"/>
      <c r="I50" s="276"/>
      <c r="J50" s="276"/>
      <c r="K50" s="276"/>
      <c r="L50" s="276"/>
      <c r="M50" s="276"/>
      <c r="N50" s="276"/>
      <c r="O50" s="276"/>
      <c r="P50" s="276"/>
      <c r="Q50" s="276"/>
      <c r="R50" s="276"/>
      <c r="S50" s="276"/>
      <c r="T50" s="276"/>
      <c r="U50" s="276"/>
      <c r="V50" s="276"/>
    </row>
    <row r="51" spans="1:22" x14ac:dyDescent="0.25">
      <c r="A51" s="276"/>
      <c r="B51" s="276"/>
      <c r="C51" s="276"/>
      <c r="D51" s="276"/>
      <c r="E51" s="276"/>
      <c r="F51" s="276"/>
      <c r="G51" s="276"/>
      <c r="H51" s="276"/>
      <c r="I51" s="276"/>
      <c r="J51" s="276"/>
      <c r="K51" s="276"/>
      <c r="L51" s="276"/>
      <c r="M51" s="276"/>
      <c r="N51" s="276"/>
      <c r="O51" s="276"/>
      <c r="P51" s="276"/>
      <c r="Q51" s="276"/>
      <c r="R51" s="276"/>
      <c r="S51" s="276"/>
      <c r="T51" s="276"/>
      <c r="U51" s="276"/>
      <c r="V51" s="276"/>
    </row>
    <row r="52" spans="1:22" x14ac:dyDescent="0.25">
      <c r="A52" s="276"/>
      <c r="B52" s="276"/>
      <c r="C52" s="276"/>
      <c r="D52" s="276"/>
      <c r="E52" s="276"/>
      <c r="F52" s="276"/>
      <c r="G52" s="276"/>
      <c r="H52" s="276"/>
      <c r="I52" s="276"/>
      <c r="J52" s="276"/>
      <c r="K52" s="276"/>
      <c r="L52" s="276"/>
      <c r="M52" s="276"/>
      <c r="N52" s="276"/>
      <c r="O52" s="276"/>
      <c r="P52" s="276"/>
      <c r="Q52" s="276"/>
      <c r="R52" s="276"/>
      <c r="S52" s="276"/>
      <c r="T52" s="276"/>
      <c r="U52" s="276"/>
      <c r="V52" s="276"/>
    </row>
    <row r="53" spans="1:22" x14ac:dyDescent="0.25">
      <c r="A53" s="276"/>
      <c r="B53" s="276"/>
      <c r="C53" s="276"/>
      <c r="D53" s="276"/>
      <c r="E53" s="276"/>
      <c r="F53" s="276"/>
      <c r="G53" s="276"/>
      <c r="H53" s="276"/>
      <c r="I53" s="276"/>
      <c r="J53" s="276"/>
      <c r="K53" s="276"/>
      <c r="L53" s="276"/>
      <c r="M53" s="276"/>
      <c r="N53" s="276"/>
      <c r="O53" s="276"/>
      <c r="P53" s="276"/>
      <c r="Q53" s="276"/>
      <c r="R53" s="276"/>
      <c r="S53" s="276"/>
      <c r="T53" s="276"/>
      <c r="U53" s="276"/>
      <c r="V53" s="276"/>
    </row>
    <row r="54" spans="1:22" x14ac:dyDescent="0.25">
      <c r="A54" s="276"/>
      <c r="B54" s="276"/>
      <c r="C54" s="276"/>
      <c r="D54" s="276"/>
      <c r="E54" s="276"/>
      <c r="F54" s="276"/>
      <c r="G54" s="276"/>
      <c r="H54" s="276"/>
      <c r="I54" s="276"/>
      <c r="J54" s="276"/>
      <c r="K54" s="276"/>
      <c r="L54" s="276"/>
      <c r="M54" s="276"/>
      <c r="N54" s="276"/>
      <c r="O54" s="276"/>
      <c r="P54" s="276"/>
      <c r="Q54" s="276"/>
      <c r="R54" s="276"/>
      <c r="S54" s="276"/>
      <c r="T54" s="276"/>
      <c r="U54" s="276"/>
      <c r="V54" s="276"/>
    </row>
    <row r="55" spans="1:22" x14ac:dyDescent="0.25">
      <c r="A55" s="276"/>
      <c r="B55" s="276"/>
      <c r="C55" s="276"/>
      <c r="D55" s="276"/>
      <c r="E55" s="276"/>
      <c r="F55" s="276"/>
      <c r="G55" s="276"/>
      <c r="H55" s="276"/>
      <c r="I55" s="276"/>
      <c r="J55" s="276"/>
      <c r="K55" s="276"/>
      <c r="L55" s="276"/>
      <c r="M55" s="276"/>
      <c r="N55" s="276"/>
      <c r="O55" s="276"/>
      <c r="P55" s="276"/>
      <c r="Q55" s="276"/>
      <c r="R55" s="276"/>
      <c r="S55" s="276"/>
      <c r="T55" s="276"/>
      <c r="U55" s="276"/>
      <c r="V55" s="276"/>
    </row>
    <row r="56" spans="1:22" x14ac:dyDescent="0.25">
      <c r="A56" s="276"/>
      <c r="B56" s="276"/>
      <c r="C56" s="276"/>
      <c r="D56" s="276"/>
      <c r="E56" s="276"/>
      <c r="F56" s="276"/>
      <c r="G56" s="276"/>
      <c r="H56" s="276"/>
      <c r="I56" s="276"/>
      <c r="J56" s="276"/>
      <c r="K56" s="276"/>
      <c r="L56" s="276"/>
      <c r="M56" s="276"/>
      <c r="N56" s="276"/>
      <c r="O56" s="276"/>
      <c r="P56" s="276"/>
      <c r="Q56" s="276"/>
      <c r="R56" s="276"/>
      <c r="S56" s="276"/>
      <c r="T56" s="276"/>
      <c r="U56" s="276"/>
      <c r="V56" s="276"/>
    </row>
    <row r="58" spans="1:22" x14ac:dyDescent="0.25">
      <c r="A58" s="276" t="e" vm="4">
        <v>#VALUE!</v>
      </c>
      <c r="B58" s="276"/>
      <c r="C58" s="276"/>
      <c r="D58" s="276"/>
      <c r="E58" s="276"/>
      <c r="F58" s="276"/>
      <c r="G58" s="276"/>
      <c r="H58" s="276"/>
      <c r="I58" s="276"/>
      <c r="J58" s="276"/>
    </row>
    <row r="59" spans="1:22" x14ac:dyDescent="0.25">
      <c r="A59" s="276"/>
      <c r="B59" s="276"/>
      <c r="C59" s="276"/>
      <c r="D59" s="276"/>
      <c r="E59" s="276"/>
      <c r="F59" s="276"/>
      <c r="G59" s="276"/>
      <c r="H59" s="276"/>
      <c r="I59" s="276"/>
      <c r="J59" s="276"/>
    </row>
    <row r="60" spans="1:22" x14ac:dyDescent="0.25">
      <c r="A60" s="276"/>
      <c r="B60" s="276"/>
      <c r="C60" s="276"/>
      <c r="D60" s="276"/>
      <c r="E60" s="276"/>
      <c r="F60" s="276"/>
      <c r="G60" s="276"/>
      <c r="H60" s="276"/>
      <c r="I60" s="276"/>
      <c r="J60" s="276"/>
    </row>
    <row r="61" spans="1:22" x14ac:dyDescent="0.25">
      <c r="A61" s="276"/>
      <c r="B61" s="276"/>
      <c r="C61" s="276"/>
      <c r="D61" s="276"/>
      <c r="E61" s="276"/>
      <c r="F61" s="276"/>
      <c r="G61" s="276"/>
      <c r="H61" s="276"/>
      <c r="I61" s="276"/>
      <c r="J61" s="276"/>
    </row>
    <row r="62" spans="1:22" x14ac:dyDescent="0.25">
      <c r="A62" s="276"/>
      <c r="B62" s="276"/>
      <c r="C62" s="276"/>
      <c r="D62" s="276"/>
      <c r="E62" s="276"/>
      <c r="F62" s="276"/>
      <c r="G62" s="276"/>
      <c r="H62" s="276"/>
      <c r="I62" s="276"/>
      <c r="J62" s="276"/>
    </row>
    <row r="63" spans="1:22" x14ac:dyDescent="0.25">
      <c r="A63" s="276"/>
      <c r="B63" s="276"/>
      <c r="C63" s="276"/>
      <c r="D63" s="276"/>
      <c r="E63" s="276"/>
      <c r="F63" s="276"/>
      <c r="G63" s="276"/>
      <c r="H63" s="276"/>
      <c r="I63" s="276"/>
      <c r="J63" s="276"/>
    </row>
    <row r="64" spans="1:22" x14ac:dyDescent="0.25">
      <c r="A64" s="276"/>
      <c r="B64" s="276"/>
      <c r="C64" s="276"/>
      <c r="D64" s="276"/>
      <c r="E64" s="276"/>
      <c r="F64" s="276"/>
      <c r="G64" s="276"/>
      <c r="H64" s="276"/>
      <c r="I64" s="276"/>
      <c r="J64" s="276"/>
    </row>
    <row r="65" spans="1:10" x14ac:dyDescent="0.25">
      <c r="A65" s="276"/>
      <c r="B65" s="276"/>
      <c r="C65" s="276"/>
      <c r="D65" s="276"/>
      <c r="E65" s="276"/>
      <c r="F65" s="276"/>
      <c r="G65" s="276"/>
      <c r="H65" s="276"/>
      <c r="I65" s="276"/>
      <c r="J65" s="276"/>
    </row>
    <row r="66" spans="1:10" x14ac:dyDescent="0.25">
      <c r="A66" s="276"/>
      <c r="B66" s="276"/>
      <c r="C66" s="276"/>
      <c r="D66" s="276"/>
      <c r="E66" s="276"/>
      <c r="F66" s="276"/>
      <c r="G66" s="276"/>
      <c r="H66" s="276"/>
      <c r="I66" s="276"/>
      <c r="J66" s="276"/>
    </row>
    <row r="67" spans="1:10" x14ac:dyDescent="0.25">
      <c r="A67" s="276"/>
      <c r="B67" s="276"/>
      <c r="C67" s="276"/>
      <c r="D67" s="276"/>
      <c r="E67" s="276"/>
      <c r="F67" s="276"/>
      <c r="G67" s="276"/>
      <c r="H67" s="276"/>
      <c r="I67" s="276"/>
      <c r="J67" s="276"/>
    </row>
    <row r="68" spans="1:10" x14ac:dyDescent="0.25">
      <c r="A68" s="276"/>
      <c r="B68" s="276"/>
      <c r="C68" s="276"/>
      <c r="D68" s="276"/>
      <c r="E68" s="276"/>
      <c r="F68" s="276"/>
      <c r="G68" s="276"/>
      <c r="H68" s="276"/>
      <c r="I68" s="276"/>
      <c r="J68" s="276"/>
    </row>
    <row r="69" spans="1:10" x14ac:dyDescent="0.25">
      <c r="A69" s="276"/>
      <c r="B69" s="276"/>
      <c r="C69" s="276"/>
      <c r="D69" s="276"/>
      <c r="E69" s="276"/>
      <c r="F69" s="276"/>
      <c r="G69" s="276"/>
      <c r="H69" s="276"/>
      <c r="I69" s="276"/>
      <c r="J69" s="276"/>
    </row>
    <row r="70" spans="1:10" x14ac:dyDescent="0.25">
      <c r="A70" s="276"/>
      <c r="B70" s="276"/>
      <c r="C70" s="276"/>
      <c r="D70" s="276"/>
      <c r="E70" s="276"/>
      <c r="F70" s="276"/>
      <c r="G70" s="276"/>
      <c r="H70" s="276"/>
      <c r="I70" s="276"/>
      <c r="J70" s="276"/>
    </row>
    <row r="71" spans="1:10" x14ac:dyDescent="0.25">
      <c r="A71" s="276"/>
      <c r="B71" s="276"/>
      <c r="C71" s="276"/>
      <c r="D71" s="276"/>
      <c r="E71" s="276"/>
      <c r="F71" s="276"/>
      <c r="G71" s="276"/>
      <c r="H71" s="276"/>
      <c r="I71" s="276"/>
      <c r="J71" s="276"/>
    </row>
    <row r="72" spans="1:10" x14ac:dyDescent="0.25">
      <c r="A72" s="276"/>
      <c r="B72" s="276"/>
      <c r="C72" s="276"/>
      <c r="D72" s="276"/>
      <c r="E72" s="276"/>
      <c r="F72" s="276"/>
      <c r="G72" s="276"/>
      <c r="H72" s="276"/>
      <c r="I72" s="276"/>
      <c r="J72" s="276"/>
    </row>
    <row r="73" spans="1:10" x14ac:dyDescent="0.25">
      <c r="A73" s="276"/>
      <c r="B73" s="276"/>
      <c r="C73" s="276"/>
      <c r="D73" s="276"/>
      <c r="E73" s="276"/>
      <c r="F73" s="276"/>
      <c r="G73" s="276"/>
      <c r="H73" s="276"/>
      <c r="I73" s="276"/>
      <c r="J73" s="276"/>
    </row>
    <row r="74" spans="1:10" x14ac:dyDescent="0.25">
      <c r="A74" s="276"/>
      <c r="B74" s="276"/>
      <c r="C74" s="276"/>
      <c r="D74" s="276"/>
      <c r="E74" s="276"/>
      <c r="F74" s="276"/>
      <c r="G74" s="276"/>
      <c r="H74" s="276"/>
      <c r="I74" s="276"/>
      <c r="J74" s="276"/>
    </row>
    <row r="75" spans="1:10" x14ac:dyDescent="0.25">
      <c r="A75" s="276"/>
      <c r="B75" s="276"/>
      <c r="C75" s="276"/>
      <c r="D75" s="276"/>
      <c r="E75" s="276"/>
      <c r="F75" s="276"/>
      <c r="G75" s="276"/>
      <c r="H75" s="276"/>
      <c r="I75" s="276"/>
      <c r="J75" s="276"/>
    </row>
    <row r="76" spans="1:10" x14ac:dyDescent="0.25">
      <c r="A76" s="276"/>
      <c r="B76" s="276"/>
      <c r="C76" s="276"/>
      <c r="D76" s="276"/>
      <c r="E76" s="276"/>
      <c r="F76" s="276"/>
      <c r="G76" s="276"/>
      <c r="H76" s="276"/>
      <c r="I76" s="276"/>
      <c r="J76" s="276"/>
    </row>
    <row r="77" spans="1:10" x14ac:dyDescent="0.25">
      <c r="A77" s="276"/>
      <c r="B77" s="276"/>
      <c r="C77" s="276"/>
      <c r="D77" s="276"/>
      <c r="E77" s="276"/>
      <c r="F77" s="276"/>
      <c r="G77" s="276"/>
      <c r="H77" s="276"/>
      <c r="I77" s="276"/>
      <c r="J77" s="276"/>
    </row>
    <row r="78" spans="1:10" x14ac:dyDescent="0.25">
      <c r="A78" s="276"/>
      <c r="B78" s="276"/>
      <c r="C78" s="276"/>
      <c r="D78" s="276"/>
      <c r="E78" s="276"/>
      <c r="F78" s="276"/>
      <c r="G78" s="276"/>
      <c r="H78" s="276"/>
      <c r="I78" s="276"/>
      <c r="J78" s="276"/>
    </row>
    <row r="79" spans="1:10" x14ac:dyDescent="0.25">
      <c r="A79" s="276"/>
      <c r="B79" s="276"/>
      <c r="C79" s="276"/>
      <c r="D79" s="276"/>
      <c r="E79" s="276"/>
      <c r="F79" s="276"/>
      <c r="G79" s="276"/>
      <c r="H79" s="276"/>
      <c r="I79" s="276"/>
      <c r="J79" s="276"/>
    </row>
    <row r="80" spans="1:10" x14ac:dyDescent="0.25">
      <c r="A80" s="276"/>
      <c r="B80" s="276"/>
      <c r="C80" s="276"/>
      <c r="D80" s="276"/>
      <c r="E80" s="276"/>
      <c r="F80" s="276"/>
      <c r="G80" s="276"/>
      <c r="H80" s="276"/>
      <c r="I80" s="276"/>
      <c r="J80" s="276"/>
    </row>
    <row r="81" spans="1:36" x14ac:dyDescent="0.25">
      <c r="A81" s="276"/>
      <c r="B81" s="276"/>
      <c r="C81" s="276"/>
      <c r="D81" s="276"/>
      <c r="E81" s="276"/>
      <c r="F81" s="276"/>
      <c r="G81" s="276"/>
      <c r="H81" s="276"/>
      <c r="I81" s="276"/>
      <c r="J81" s="276"/>
    </row>
    <row r="82" spans="1:36" x14ac:dyDescent="0.25">
      <c r="A82" s="276"/>
      <c r="B82" s="276"/>
      <c r="C82" s="276"/>
      <c r="D82" s="276"/>
      <c r="E82" s="276"/>
      <c r="F82" s="276"/>
      <c r="G82" s="276"/>
      <c r="H82" s="276"/>
      <c r="I82" s="276"/>
      <c r="J82" s="276"/>
    </row>
    <row r="83" spans="1:36" x14ac:dyDescent="0.25">
      <c r="A83" s="276"/>
      <c r="B83" s="276"/>
      <c r="C83" s="276"/>
      <c r="D83" s="276"/>
      <c r="E83" s="276"/>
      <c r="F83" s="276"/>
      <c r="G83" s="276"/>
      <c r="H83" s="276"/>
      <c r="I83" s="276"/>
      <c r="J83" s="276"/>
    </row>
    <row r="84" spans="1:36" x14ac:dyDescent="0.25">
      <c r="A84" s="276"/>
      <c r="B84" s="276"/>
      <c r="C84" s="276"/>
      <c r="D84" s="276"/>
      <c r="E84" s="276"/>
      <c r="F84" s="276"/>
      <c r="G84" s="276"/>
      <c r="H84" s="276"/>
      <c r="I84" s="276"/>
      <c r="J84" s="276"/>
    </row>
    <row r="85" spans="1:36" x14ac:dyDescent="0.25">
      <c r="A85" s="276"/>
      <c r="B85" s="276"/>
      <c r="C85" s="276"/>
      <c r="D85" s="276"/>
      <c r="E85" s="276"/>
      <c r="F85" s="276"/>
      <c r="G85" s="276"/>
      <c r="H85" s="276"/>
      <c r="I85" s="276"/>
      <c r="J85" s="276"/>
    </row>
    <row r="86" spans="1:36" x14ac:dyDescent="0.25">
      <c r="A86" s="276"/>
      <c r="B86" s="276"/>
      <c r="C86" s="276"/>
      <c r="D86" s="276"/>
      <c r="E86" s="276"/>
      <c r="F86" s="276"/>
      <c r="G86" s="276"/>
      <c r="H86" s="276"/>
      <c r="I86" s="276"/>
      <c r="J86" s="276"/>
    </row>
    <row r="87" spans="1:36" x14ac:dyDescent="0.25">
      <c r="A87" s="276"/>
      <c r="B87" s="276"/>
      <c r="C87" s="276"/>
      <c r="D87" s="276"/>
      <c r="E87" s="276"/>
      <c r="F87" s="276"/>
      <c r="G87" s="276"/>
      <c r="H87" s="276"/>
      <c r="I87" s="276"/>
      <c r="J87" s="276"/>
    </row>
    <row r="88" spans="1:36" x14ac:dyDescent="0.25">
      <c r="A88" s="276"/>
      <c r="B88" s="276"/>
      <c r="C88" s="276"/>
      <c r="D88" s="276"/>
      <c r="E88" s="276"/>
      <c r="F88" s="276"/>
      <c r="G88" s="276"/>
      <c r="H88" s="276"/>
      <c r="I88" s="276"/>
      <c r="J88" s="276"/>
    </row>
    <row r="89" spans="1:36" x14ac:dyDescent="0.25">
      <c r="A89" s="276"/>
      <c r="B89" s="276"/>
      <c r="C89" s="276"/>
      <c r="D89" s="276"/>
      <c r="E89" s="276"/>
      <c r="F89" s="276"/>
      <c r="G89" s="276"/>
      <c r="H89" s="276"/>
      <c r="I89" s="276"/>
      <c r="J89" s="276"/>
    </row>
    <row r="90" spans="1:36" x14ac:dyDescent="0.25">
      <c r="A90" s="276"/>
      <c r="B90" s="276"/>
      <c r="C90" s="276"/>
      <c r="D90" s="276"/>
      <c r="E90" s="276"/>
      <c r="F90" s="276"/>
      <c r="G90" s="276"/>
      <c r="H90" s="276"/>
      <c r="I90" s="276"/>
      <c r="J90" s="276"/>
    </row>
    <row r="91" spans="1:36" x14ac:dyDescent="0.25">
      <c r="A91" s="276"/>
      <c r="B91" s="276"/>
      <c r="C91" s="276"/>
      <c r="D91" s="276"/>
      <c r="E91" s="276"/>
      <c r="F91" s="276"/>
      <c r="G91" s="276"/>
      <c r="H91" s="276"/>
      <c r="I91" s="276"/>
      <c r="J91" s="276"/>
    </row>
    <row r="92" spans="1:36" x14ac:dyDescent="0.25">
      <c r="B92" s="282">
        <v>46206</v>
      </c>
      <c r="C92" s="282"/>
      <c r="D92" s="282"/>
      <c r="E92" s="282"/>
      <c r="F92" s="282"/>
      <c r="G92" s="282"/>
      <c r="H92" s="282"/>
    </row>
    <row r="93" spans="1:36" x14ac:dyDescent="0.25">
      <c r="B93" s="282"/>
      <c r="C93" s="282"/>
      <c r="D93" s="282"/>
      <c r="E93" s="282"/>
      <c r="F93" s="282"/>
      <c r="G93" s="282"/>
      <c r="H93" s="282"/>
      <c r="N93" s="283">
        <v>46207</v>
      </c>
      <c r="O93" s="283"/>
      <c r="P93" s="283"/>
      <c r="Q93" s="283"/>
      <c r="R93" s="283"/>
      <c r="S93" s="283"/>
    </row>
    <row r="94" spans="1:36" x14ac:dyDescent="0.25">
      <c r="B94" s="282"/>
      <c r="C94" s="282"/>
      <c r="D94" s="282"/>
      <c r="E94" s="282"/>
      <c r="F94" s="282"/>
      <c r="G94" s="282"/>
      <c r="H94" s="282"/>
      <c r="N94" s="283"/>
      <c r="O94" s="283"/>
      <c r="P94" s="283"/>
      <c r="Q94" s="283"/>
      <c r="R94" s="283"/>
      <c r="S94" s="283"/>
      <c r="Y94" s="234">
        <v>46209</v>
      </c>
      <c r="Z94" s="234"/>
      <c r="AA94" s="234"/>
      <c r="AB94" s="234"/>
      <c r="AC94" s="234"/>
      <c r="AD94" s="234"/>
    </row>
    <row r="95" spans="1:36" x14ac:dyDescent="0.25">
      <c r="B95" s="276" t="e" vm="5">
        <v>#VALUE!</v>
      </c>
      <c r="C95" s="276"/>
      <c r="D95" s="276"/>
      <c r="E95" s="276"/>
      <c r="F95" s="276"/>
      <c r="G95" s="276"/>
      <c r="H95" s="276"/>
      <c r="N95" s="276" t="e" vm="6">
        <v>#VALUE!</v>
      </c>
      <c r="O95" s="276"/>
      <c r="P95" s="276"/>
      <c r="Q95" s="276"/>
      <c r="R95" s="276"/>
      <c r="S95" s="276"/>
      <c r="Y95" s="234"/>
      <c r="Z95" s="234"/>
      <c r="AA95" s="234"/>
      <c r="AB95" s="234"/>
      <c r="AC95" s="234"/>
      <c r="AD95" s="234"/>
    </row>
    <row r="96" spans="1:36" x14ac:dyDescent="0.25">
      <c r="B96" s="276"/>
      <c r="C96" s="276"/>
      <c r="D96" s="276"/>
      <c r="E96" s="276"/>
      <c r="F96" s="276"/>
      <c r="G96" s="276"/>
      <c r="H96" s="276"/>
      <c r="N96" s="276"/>
      <c r="O96" s="276"/>
      <c r="P96" s="276"/>
      <c r="Q96" s="276"/>
      <c r="R96" s="276"/>
      <c r="S96" s="276"/>
      <c r="X96" s="276" t="e" vm="7">
        <v>#VALUE!</v>
      </c>
      <c r="Y96" s="276"/>
      <c r="Z96" s="276"/>
      <c r="AA96" s="276"/>
      <c r="AB96" s="276"/>
      <c r="AC96" s="276"/>
      <c r="AD96" s="276"/>
      <c r="AE96" s="276"/>
      <c r="AG96" s="193" t="s">
        <v>354</v>
      </c>
      <c r="AH96" s="193"/>
      <c r="AI96" s="193"/>
      <c r="AJ96" s="193"/>
    </row>
    <row r="97" spans="2:36" x14ac:dyDescent="0.25">
      <c r="B97" s="276"/>
      <c r="C97" s="276"/>
      <c r="D97" s="276"/>
      <c r="E97" s="276"/>
      <c r="F97" s="276"/>
      <c r="G97" s="276"/>
      <c r="H97" s="276"/>
      <c r="N97" s="276"/>
      <c r="O97" s="276"/>
      <c r="P97" s="276"/>
      <c r="Q97" s="276"/>
      <c r="R97" s="276"/>
      <c r="S97" s="276"/>
      <c r="X97" s="276"/>
      <c r="Y97" s="276"/>
      <c r="Z97" s="276"/>
      <c r="AA97" s="276"/>
      <c r="AB97" s="276"/>
      <c r="AC97" s="276"/>
      <c r="AD97" s="276"/>
      <c r="AE97" s="276"/>
      <c r="AG97" s="193"/>
      <c r="AH97" s="193"/>
      <c r="AI97" s="193"/>
      <c r="AJ97" s="193"/>
    </row>
    <row r="98" spans="2:36" x14ac:dyDescent="0.25">
      <c r="B98" s="276"/>
      <c r="C98" s="276"/>
      <c r="D98" s="276"/>
      <c r="E98" s="276"/>
      <c r="F98" s="276"/>
      <c r="G98" s="276"/>
      <c r="H98" s="276"/>
      <c r="N98" s="276"/>
      <c r="O98" s="276"/>
      <c r="P98" s="276"/>
      <c r="Q98" s="276"/>
      <c r="R98" s="276"/>
      <c r="S98" s="276"/>
      <c r="X98" s="276"/>
      <c r="Y98" s="276"/>
      <c r="Z98" s="276"/>
      <c r="AA98" s="276"/>
      <c r="AB98" s="276"/>
      <c r="AC98" s="276"/>
      <c r="AD98" s="276"/>
      <c r="AE98" s="276"/>
      <c r="AG98" s="193"/>
      <c r="AH98" s="193"/>
      <c r="AI98" s="193"/>
      <c r="AJ98" s="193"/>
    </row>
    <row r="99" spans="2:36" x14ac:dyDescent="0.25">
      <c r="B99" s="276"/>
      <c r="C99" s="276"/>
      <c r="D99" s="276"/>
      <c r="E99" s="276"/>
      <c r="F99" s="276"/>
      <c r="G99" s="276"/>
      <c r="H99" s="276"/>
      <c r="N99" s="276"/>
      <c r="O99" s="276"/>
      <c r="P99" s="276"/>
      <c r="Q99" s="276"/>
      <c r="R99" s="276"/>
      <c r="S99" s="276"/>
      <c r="X99" s="276"/>
      <c r="Y99" s="276"/>
      <c r="Z99" s="276"/>
      <c r="AA99" s="276"/>
      <c r="AB99" s="276"/>
      <c r="AC99" s="276"/>
      <c r="AD99" s="276"/>
      <c r="AE99" s="276"/>
      <c r="AG99" s="193"/>
      <c r="AH99" s="193"/>
      <c r="AI99" s="193"/>
      <c r="AJ99" s="193"/>
    </row>
    <row r="100" spans="2:36" x14ac:dyDescent="0.25">
      <c r="B100" s="276"/>
      <c r="C100" s="276"/>
      <c r="D100" s="276"/>
      <c r="E100" s="276"/>
      <c r="F100" s="276"/>
      <c r="G100" s="276"/>
      <c r="H100" s="276"/>
      <c r="N100" s="276"/>
      <c r="O100" s="276"/>
      <c r="P100" s="276"/>
      <c r="Q100" s="276"/>
      <c r="R100" s="276"/>
      <c r="S100" s="276"/>
      <c r="X100" s="276"/>
      <c r="Y100" s="276"/>
      <c r="Z100" s="276"/>
      <c r="AA100" s="276"/>
      <c r="AB100" s="276"/>
      <c r="AC100" s="276"/>
      <c r="AD100" s="276"/>
      <c r="AE100" s="276"/>
      <c r="AG100" s="193"/>
      <c r="AH100" s="193"/>
      <c r="AI100" s="193"/>
      <c r="AJ100" s="193"/>
    </row>
    <row r="101" spans="2:36" x14ac:dyDescent="0.25">
      <c r="B101" s="276"/>
      <c r="C101" s="276"/>
      <c r="D101" s="276"/>
      <c r="E101" s="276"/>
      <c r="F101" s="276"/>
      <c r="G101" s="276"/>
      <c r="H101" s="276"/>
      <c r="N101" s="276"/>
      <c r="O101" s="276"/>
      <c r="P101" s="276"/>
      <c r="Q101" s="276"/>
      <c r="R101" s="276"/>
      <c r="S101" s="276"/>
      <c r="X101" s="276"/>
      <c r="Y101" s="276"/>
      <c r="Z101" s="276"/>
      <c r="AA101" s="276"/>
      <c r="AB101" s="276"/>
      <c r="AC101" s="276"/>
      <c r="AD101" s="276"/>
      <c r="AE101" s="276"/>
      <c r="AG101" s="193"/>
      <c r="AH101" s="193"/>
      <c r="AI101" s="193"/>
      <c r="AJ101" s="193"/>
    </row>
    <row r="102" spans="2:36" x14ac:dyDescent="0.25">
      <c r="B102" s="276"/>
      <c r="C102" s="276"/>
      <c r="D102" s="276"/>
      <c r="E102" s="276"/>
      <c r="F102" s="276"/>
      <c r="G102" s="276"/>
      <c r="H102" s="276"/>
      <c r="N102" s="276"/>
      <c r="O102" s="276"/>
      <c r="P102" s="276"/>
      <c r="Q102" s="276"/>
      <c r="R102" s="276"/>
      <c r="S102" s="276"/>
      <c r="X102" s="276"/>
      <c r="Y102" s="276"/>
      <c r="Z102" s="276"/>
      <c r="AA102" s="276"/>
      <c r="AB102" s="276"/>
      <c r="AC102" s="276"/>
      <c r="AD102" s="276"/>
      <c r="AE102" s="276"/>
      <c r="AG102" s="193"/>
      <c r="AH102" s="193"/>
      <c r="AI102" s="193"/>
      <c r="AJ102" s="193"/>
    </row>
    <row r="103" spans="2:36" x14ac:dyDescent="0.25">
      <c r="B103" s="276"/>
      <c r="C103" s="276"/>
      <c r="D103" s="276"/>
      <c r="E103" s="276"/>
      <c r="F103" s="276"/>
      <c r="G103" s="276"/>
      <c r="H103" s="276"/>
      <c r="N103" s="276"/>
      <c r="O103" s="276"/>
      <c r="P103" s="276"/>
      <c r="Q103" s="276"/>
      <c r="R103" s="276"/>
      <c r="S103" s="276"/>
      <c r="X103" s="276"/>
      <c r="Y103" s="276"/>
      <c r="Z103" s="276"/>
      <c r="AA103" s="276"/>
      <c r="AB103" s="276"/>
      <c r="AC103" s="276"/>
      <c r="AD103" s="276"/>
      <c r="AE103" s="276"/>
    </row>
    <row r="104" spans="2:36" x14ac:dyDescent="0.25">
      <c r="B104" s="276"/>
      <c r="C104" s="276"/>
      <c r="D104" s="276"/>
      <c r="E104" s="276"/>
      <c r="F104" s="276"/>
      <c r="G104" s="276"/>
      <c r="H104" s="276"/>
      <c r="N104" s="276"/>
      <c r="O104" s="276"/>
      <c r="P104" s="276"/>
      <c r="Q104" s="276"/>
      <c r="R104" s="276"/>
      <c r="S104" s="276"/>
      <c r="X104" s="276"/>
      <c r="Y104" s="276"/>
      <c r="Z104" s="276"/>
      <c r="AA104" s="276"/>
      <c r="AB104" s="276"/>
      <c r="AC104" s="276"/>
      <c r="AD104" s="276"/>
      <c r="AE104" s="276"/>
    </row>
    <row r="105" spans="2:36" x14ac:dyDescent="0.25">
      <c r="B105" s="276"/>
      <c r="C105" s="276"/>
      <c r="D105" s="276"/>
      <c r="E105" s="276"/>
      <c r="F105" s="276"/>
      <c r="G105" s="276"/>
      <c r="H105" s="276"/>
      <c r="N105" s="276"/>
      <c r="O105" s="276"/>
      <c r="P105" s="276"/>
      <c r="Q105" s="276"/>
      <c r="R105" s="276"/>
      <c r="S105" s="276"/>
      <c r="X105" s="276"/>
      <c r="Y105" s="276"/>
      <c r="Z105" s="276"/>
      <c r="AA105" s="276"/>
      <c r="AB105" s="276"/>
      <c r="AC105" s="276"/>
      <c r="AD105" s="276"/>
      <c r="AE105" s="276"/>
    </row>
    <row r="106" spans="2:36" x14ac:dyDescent="0.25">
      <c r="B106" s="276"/>
      <c r="C106" s="276"/>
      <c r="D106" s="276"/>
      <c r="E106" s="276"/>
      <c r="F106" s="276"/>
      <c r="G106" s="276"/>
      <c r="H106" s="276"/>
      <c r="N106" s="276"/>
      <c r="O106" s="276"/>
      <c r="P106" s="276"/>
      <c r="Q106" s="276"/>
      <c r="R106" s="276"/>
      <c r="S106" s="276"/>
      <c r="X106" s="276"/>
      <c r="Y106" s="276"/>
      <c r="Z106" s="276"/>
      <c r="AA106" s="276"/>
      <c r="AB106" s="276"/>
      <c r="AC106" s="276"/>
      <c r="AD106" s="276"/>
      <c r="AE106" s="276"/>
    </row>
    <row r="107" spans="2:36" x14ac:dyDescent="0.25">
      <c r="B107" s="276"/>
      <c r="C107" s="276"/>
      <c r="D107" s="276"/>
      <c r="E107" s="276"/>
      <c r="F107" s="276"/>
      <c r="G107" s="276"/>
      <c r="H107" s="276"/>
      <c r="N107" s="276"/>
      <c r="O107" s="276"/>
      <c r="P107" s="276"/>
      <c r="Q107" s="276"/>
      <c r="R107" s="276"/>
      <c r="S107" s="276"/>
      <c r="X107" s="276"/>
      <c r="Y107" s="276"/>
      <c r="Z107" s="276"/>
      <c r="AA107" s="276"/>
      <c r="AB107" s="276"/>
      <c r="AC107" s="276"/>
      <c r="AD107" s="276"/>
      <c r="AE107" s="276"/>
    </row>
    <row r="108" spans="2:36" x14ac:dyDescent="0.25">
      <c r="B108" s="276"/>
      <c r="C108" s="276"/>
      <c r="D108" s="276"/>
      <c r="E108" s="276"/>
      <c r="F108" s="276"/>
      <c r="G108" s="276"/>
      <c r="H108" s="276"/>
      <c r="N108" s="276"/>
      <c r="O108" s="276"/>
      <c r="P108" s="276"/>
      <c r="Q108" s="276"/>
      <c r="R108" s="276"/>
      <c r="S108" s="276"/>
      <c r="X108" s="276"/>
      <c r="Y108" s="276"/>
      <c r="Z108" s="276"/>
      <c r="AA108" s="276"/>
      <c r="AB108" s="276"/>
      <c r="AC108" s="276"/>
      <c r="AD108" s="276"/>
      <c r="AE108" s="276"/>
    </row>
    <row r="109" spans="2:36" x14ac:dyDescent="0.25">
      <c r="B109" s="276"/>
      <c r="C109" s="276"/>
      <c r="D109" s="276"/>
      <c r="E109" s="276"/>
      <c r="F109" s="276"/>
      <c r="G109" s="276"/>
      <c r="H109" s="276"/>
      <c r="N109" s="276"/>
      <c r="O109" s="276"/>
      <c r="P109" s="276"/>
      <c r="Q109" s="276"/>
      <c r="R109" s="276"/>
      <c r="S109" s="276"/>
      <c r="X109" s="276"/>
      <c r="Y109" s="276"/>
      <c r="Z109" s="276"/>
      <c r="AA109" s="276"/>
      <c r="AB109" s="276"/>
      <c r="AC109" s="276"/>
      <c r="AD109" s="276"/>
      <c r="AE109" s="276"/>
    </row>
    <row r="110" spans="2:36" x14ac:dyDescent="0.25">
      <c r="B110" s="276"/>
      <c r="C110" s="276"/>
      <c r="D110" s="276"/>
      <c r="E110" s="276"/>
      <c r="F110" s="276"/>
      <c r="G110" s="276"/>
      <c r="H110" s="276"/>
      <c r="N110" s="276"/>
      <c r="O110" s="276"/>
      <c r="P110" s="276"/>
      <c r="Q110" s="276"/>
      <c r="R110" s="276"/>
      <c r="S110" s="276"/>
      <c r="X110" s="276"/>
      <c r="Y110" s="276"/>
      <c r="Z110" s="276"/>
      <c r="AA110" s="276"/>
      <c r="AB110" s="276"/>
      <c r="AC110" s="276"/>
      <c r="AD110" s="276"/>
      <c r="AE110" s="276"/>
    </row>
    <row r="111" spans="2:36" x14ac:dyDescent="0.25">
      <c r="B111" s="276"/>
      <c r="C111" s="276"/>
      <c r="D111" s="276"/>
      <c r="E111" s="276"/>
      <c r="F111" s="276"/>
      <c r="G111" s="276"/>
      <c r="H111" s="276"/>
      <c r="N111" s="276"/>
      <c r="O111" s="276"/>
      <c r="P111" s="276"/>
      <c r="Q111" s="276"/>
      <c r="R111" s="276"/>
      <c r="S111" s="276"/>
      <c r="X111" s="276"/>
      <c r="Y111" s="276"/>
      <c r="Z111" s="276"/>
      <c r="AA111" s="276"/>
      <c r="AB111" s="276"/>
      <c r="AC111" s="276"/>
      <c r="AD111" s="276"/>
      <c r="AE111" s="276"/>
    </row>
    <row r="112" spans="2:36" x14ac:dyDescent="0.25">
      <c r="B112" s="276"/>
      <c r="C112" s="276"/>
      <c r="D112" s="276"/>
      <c r="E112" s="276"/>
      <c r="F112" s="276"/>
      <c r="G112" s="276"/>
      <c r="H112" s="276"/>
      <c r="N112" s="276"/>
      <c r="O112" s="276"/>
      <c r="P112" s="276"/>
      <c r="Q112" s="276"/>
      <c r="R112" s="276"/>
      <c r="S112" s="276"/>
      <c r="X112" s="276"/>
      <c r="Y112" s="276"/>
      <c r="Z112" s="276"/>
      <c r="AA112" s="276"/>
      <c r="AB112" s="276"/>
      <c r="AC112" s="276"/>
      <c r="AD112" s="276"/>
      <c r="AE112" s="276"/>
    </row>
    <row r="113" spans="2:31" x14ac:dyDescent="0.25">
      <c r="B113" s="276"/>
      <c r="C113" s="276"/>
      <c r="D113" s="276"/>
      <c r="E113" s="276"/>
      <c r="F113" s="276"/>
      <c r="G113" s="276"/>
      <c r="H113" s="276"/>
      <c r="N113" s="276"/>
      <c r="O113" s="276"/>
      <c r="P113" s="276"/>
      <c r="Q113" s="276"/>
      <c r="R113" s="276"/>
      <c r="S113" s="276"/>
      <c r="T113" s="285" t="s">
        <v>191</v>
      </c>
      <c r="U113" s="285"/>
      <c r="V113" s="285"/>
      <c r="X113" s="276"/>
      <c r="Y113" s="276"/>
      <c r="Z113" s="276"/>
      <c r="AA113" s="276"/>
      <c r="AB113" s="276"/>
      <c r="AC113" s="276"/>
      <c r="AD113" s="276"/>
      <c r="AE113" s="276"/>
    </row>
    <row r="114" spans="2:31" x14ac:dyDescent="0.25">
      <c r="B114" s="276"/>
      <c r="C114" s="276"/>
      <c r="D114" s="276"/>
      <c r="E114" s="276"/>
      <c r="F114" s="276"/>
      <c r="G114" s="276"/>
      <c r="H114" s="276"/>
      <c r="N114" s="276"/>
      <c r="O114" s="276"/>
      <c r="P114" s="276"/>
      <c r="Q114" s="276"/>
      <c r="R114" s="276"/>
      <c r="S114" s="276"/>
      <c r="T114" s="286" t="s">
        <v>349</v>
      </c>
      <c r="U114" s="287"/>
      <c r="V114" s="288"/>
      <c r="X114" s="276"/>
      <c r="Y114" s="276"/>
      <c r="Z114" s="276"/>
      <c r="AA114" s="276"/>
      <c r="AB114" s="276"/>
      <c r="AC114" s="276"/>
      <c r="AD114" s="276"/>
      <c r="AE114" s="276"/>
    </row>
    <row r="115" spans="2:31" x14ac:dyDescent="0.25">
      <c r="B115" s="276"/>
      <c r="C115" s="276"/>
      <c r="D115" s="276"/>
      <c r="E115" s="276"/>
      <c r="F115" s="276"/>
      <c r="G115" s="276"/>
      <c r="H115" s="276"/>
      <c r="N115" s="276"/>
      <c r="O115" s="276"/>
      <c r="P115" s="276"/>
      <c r="Q115" s="276"/>
      <c r="R115" s="276"/>
      <c r="S115" s="276"/>
      <c r="X115" s="276"/>
      <c r="Y115" s="276"/>
      <c r="Z115" s="276"/>
      <c r="AA115" s="276"/>
      <c r="AB115" s="276"/>
      <c r="AC115" s="276"/>
      <c r="AD115" s="276"/>
      <c r="AE115" s="276"/>
    </row>
    <row r="116" spans="2:31" x14ac:dyDescent="0.25">
      <c r="B116" s="276"/>
      <c r="C116" s="276"/>
      <c r="D116" s="276"/>
      <c r="E116" s="276"/>
      <c r="F116" s="276"/>
      <c r="G116" s="276"/>
      <c r="H116" s="276"/>
      <c r="N116" s="276"/>
      <c r="O116" s="276"/>
      <c r="P116" s="276"/>
      <c r="Q116" s="276"/>
      <c r="R116" s="276"/>
      <c r="S116" s="276"/>
      <c r="X116" s="276"/>
      <c r="Y116" s="276"/>
      <c r="Z116" s="276"/>
      <c r="AA116" s="276"/>
      <c r="AB116" s="276"/>
      <c r="AC116" s="276"/>
      <c r="AD116" s="276"/>
      <c r="AE116" s="276"/>
    </row>
    <row r="117" spans="2:31" x14ac:dyDescent="0.25">
      <c r="B117" s="276"/>
      <c r="C117" s="276"/>
      <c r="D117" s="276"/>
      <c r="E117" s="276"/>
      <c r="F117" s="276"/>
      <c r="G117" s="276"/>
      <c r="H117" s="276"/>
      <c r="N117" s="276"/>
      <c r="O117" s="276"/>
      <c r="P117" s="276"/>
      <c r="Q117" s="276"/>
      <c r="R117" s="276"/>
      <c r="S117" s="276"/>
      <c r="X117" s="276"/>
      <c r="Y117" s="276"/>
      <c r="Z117" s="276"/>
      <c r="AA117" s="276"/>
      <c r="AB117" s="276"/>
      <c r="AC117" s="276"/>
      <c r="AD117" s="276"/>
      <c r="AE117" s="276"/>
    </row>
    <row r="118" spans="2:31" x14ac:dyDescent="0.25">
      <c r="B118" s="276"/>
      <c r="C118" s="276"/>
      <c r="D118" s="276"/>
      <c r="E118" s="276"/>
      <c r="F118" s="276"/>
      <c r="G118" s="276"/>
      <c r="H118" s="276"/>
      <c r="N118" s="276"/>
      <c r="O118" s="276"/>
      <c r="P118" s="276"/>
      <c r="Q118" s="276"/>
      <c r="R118" s="276"/>
      <c r="S118" s="276"/>
      <c r="X118" s="276"/>
      <c r="Y118" s="276"/>
      <c r="Z118" s="276"/>
      <c r="AA118" s="276"/>
      <c r="AB118" s="276"/>
      <c r="AC118" s="276"/>
      <c r="AD118" s="276"/>
      <c r="AE118" s="276"/>
    </row>
    <row r="119" spans="2:31" x14ac:dyDescent="0.25">
      <c r="B119" s="276"/>
      <c r="C119" s="276"/>
      <c r="D119" s="276"/>
      <c r="E119" s="276"/>
      <c r="F119" s="276"/>
      <c r="G119" s="276"/>
      <c r="H119" s="276"/>
      <c r="N119" s="276"/>
      <c r="O119" s="276"/>
      <c r="P119" s="276"/>
      <c r="Q119" s="276"/>
      <c r="R119" s="276"/>
      <c r="S119" s="276"/>
      <c r="X119" s="276"/>
      <c r="Y119" s="276"/>
      <c r="Z119" s="276"/>
      <c r="AA119" s="276"/>
      <c r="AB119" s="276"/>
      <c r="AC119" s="276"/>
      <c r="AD119" s="276"/>
      <c r="AE119" s="276"/>
    </row>
    <row r="120" spans="2:31" x14ac:dyDescent="0.25">
      <c r="B120" s="276"/>
      <c r="C120" s="276"/>
      <c r="D120" s="276"/>
      <c r="E120" s="276"/>
      <c r="F120" s="276"/>
      <c r="G120" s="276"/>
      <c r="H120" s="276"/>
      <c r="I120" s="284" t="s">
        <v>348</v>
      </c>
      <c r="J120" s="284"/>
      <c r="K120" s="284"/>
      <c r="N120" s="276"/>
      <c r="O120" s="276"/>
      <c r="P120" s="276"/>
      <c r="Q120" s="276"/>
      <c r="R120" s="276"/>
      <c r="S120" s="276"/>
      <c r="X120" s="276"/>
      <c r="Y120" s="276"/>
      <c r="Z120" s="276"/>
      <c r="AA120" s="276"/>
      <c r="AB120" s="276"/>
      <c r="AC120" s="276"/>
      <c r="AD120" s="276"/>
      <c r="AE120" s="276"/>
    </row>
    <row r="121" spans="2:31" x14ac:dyDescent="0.25">
      <c r="B121" s="276"/>
      <c r="C121" s="276"/>
      <c r="D121" s="276"/>
      <c r="E121" s="276"/>
      <c r="F121" s="276"/>
      <c r="G121" s="276"/>
      <c r="H121" s="276"/>
      <c r="I121" s="271" t="s">
        <v>149</v>
      </c>
      <c r="J121" s="271"/>
      <c r="K121" s="271"/>
      <c r="N121" s="276"/>
      <c r="O121" s="276"/>
      <c r="P121" s="276"/>
      <c r="Q121" s="276"/>
      <c r="R121" s="276"/>
      <c r="S121" s="276"/>
      <c r="X121" s="276"/>
      <c r="Y121" s="276"/>
      <c r="Z121" s="276"/>
      <c r="AA121" s="276"/>
      <c r="AB121" s="276"/>
      <c r="AC121" s="276"/>
      <c r="AD121" s="276"/>
      <c r="AE121" s="276"/>
    </row>
    <row r="122" spans="2:31" x14ac:dyDescent="0.25">
      <c r="B122" s="276"/>
      <c r="C122" s="276"/>
      <c r="D122" s="276"/>
      <c r="E122" s="276"/>
      <c r="F122" s="276"/>
      <c r="G122" s="276"/>
      <c r="H122" s="276"/>
      <c r="I122" s="271"/>
      <c r="J122" s="271"/>
      <c r="K122" s="271"/>
      <c r="N122" s="276"/>
      <c r="O122" s="276"/>
      <c r="P122" s="276"/>
      <c r="Q122" s="276"/>
      <c r="R122" s="276"/>
      <c r="S122" s="276"/>
      <c r="X122" s="276"/>
      <c r="Y122" s="276"/>
      <c r="Z122" s="276"/>
      <c r="AA122" s="276"/>
      <c r="AB122" s="276"/>
      <c r="AC122" s="276"/>
      <c r="AD122" s="276"/>
      <c r="AE122" s="276"/>
    </row>
    <row r="123" spans="2:31" x14ac:dyDescent="0.25">
      <c r="B123" s="276"/>
      <c r="C123" s="276"/>
      <c r="D123" s="276"/>
      <c r="E123" s="276"/>
      <c r="F123" s="276"/>
      <c r="G123" s="276"/>
      <c r="H123" s="276"/>
      <c r="X123" s="276"/>
      <c r="Y123" s="276"/>
      <c r="Z123" s="276"/>
      <c r="AA123" s="276"/>
      <c r="AB123" s="276"/>
      <c r="AC123" s="276"/>
      <c r="AD123" s="276"/>
      <c r="AE123" s="276"/>
    </row>
    <row r="124" spans="2:31" x14ac:dyDescent="0.25">
      <c r="X124" s="276"/>
      <c r="Y124" s="276"/>
      <c r="Z124" s="276"/>
      <c r="AA124" s="276"/>
      <c r="AB124" s="276"/>
      <c r="AC124" s="276"/>
      <c r="AD124" s="276"/>
      <c r="AE124" s="276"/>
    </row>
    <row r="125" spans="2:31" x14ac:dyDescent="0.25">
      <c r="X125" s="276"/>
      <c r="Y125" s="276"/>
      <c r="Z125" s="276"/>
      <c r="AA125" s="276"/>
      <c r="AB125" s="276"/>
      <c r="AC125" s="276"/>
      <c r="AD125" s="276"/>
      <c r="AE125" s="276"/>
    </row>
    <row r="127" spans="2:31" x14ac:dyDescent="0.25">
      <c r="E127" s="234">
        <v>46212</v>
      </c>
      <c r="F127" s="234"/>
      <c r="G127" s="234"/>
      <c r="H127" s="234"/>
      <c r="I127" s="234"/>
      <c r="J127" s="234"/>
      <c r="K127" s="234"/>
      <c r="L127" s="234"/>
      <c r="M127" s="234"/>
      <c r="N127" s="234"/>
      <c r="O127" s="234"/>
    </row>
    <row r="128" spans="2:31" x14ac:dyDescent="0.25">
      <c r="E128" s="234"/>
      <c r="F128" s="234"/>
      <c r="G128" s="234"/>
      <c r="H128" s="234"/>
      <c r="I128" s="234"/>
      <c r="J128" s="234"/>
      <c r="K128" s="234"/>
      <c r="L128" s="234"/>
      <c r="M128" s="234"/>
      <c r="N128" s="234"/>
      <c r="O128" s="234"/>
    </row>
    <row r="129" spans="1:21" x14ac:dyDescent="0.25">
      <c r="A129" s="289" t="e" vm="8">
        <v>#VALUE!</v>
      </c>
      <c r="B129" s="289"/>
      <c r="C129" s="289"/>
      <c r="D129" s="289"/>
      <c r="E129" s="289"/>
    </row>
    <row r="130" spans="1:21" x14ac:dyDescent="0.25">
      <c r="A130" s="289"/>
      <c r="B130" s="289"/>
      <c r="C130" s="289"/>
      <c r="D130" s="289"/>
      <c r="E130" s="289"/>
      <c r="F130" s="276" t="e" vm="9">
        <v>#VALUE!</v>
      </c>
      <c r="G130" s="276"/>
      <c r="H130" s="276"/>
      <c r="I130" s="276"/>
      <c r="J130" s="276"/>
      <c r="K130" s="276" t="e" vm="10">
        <v>#VALUE!</v>
      </c>
      <c r="L130" s="276"/>
      <c r="M130" s="276"/>
      <c r="N130" s="276"/>
      <c r="O130" s="276" t="e" vm="11">
        <v>#VALUE!</v>
      </c>
      <c r="P130" s="276"/>
      <c r="Q130" s="276"/>
      <c r="R130" s="276"/>
    </row>
    <row r="131" spans="1:21" x14ac:dyDescent="0.25">
      <c r="A131" s="289"/>
      <c r="B131" s="289"/>
      <c r="C131" s="289"/>
      <c r="D131" s="289"/>
      <c r="E131" s="289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</row>
    <row r="132" spans="1:21" x14ac:dyDescent="0.25">
      <c r="A132" s="289"/>
      <c r="B132" s="289"/>
      <c r="C132" s="289"/>
      <c r="D132" s="289"/>
      <c r="E132" s="289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</row>
    <row r="133" spans="1:21" x14ac:dyDescent="0.25">
      <c r="A133" s="289"/>
      <c r="B133" s="289"/>
      <c r="C133" s="289"/>
      <c r="D133" s="289"/>
      <c r="E133" s="289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</row>
    <row r="134" spans="1:21" x14ac:dyDescent="0.25">
      <c r="A134" s="289"/>
      <c r="B134" s="289"/>
      <c r="C134" s="289"/>
      <c r="D134" s="289"/>
      <c r="E134" s="289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</row>
    <row r="135" spans="1:21" x14ac:dyDescent="0.25">
      <c r="A135" s="289"/>
      <c r="B135" s="289"/>
      <c r="C135" s="289"/>
      <c r="D135" s="289"/>
      <c r="E135" s="289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</row>
    <row r="136" spans="1:21" x14ac:dyDescent="0.25">
      <c r="A136" s="289"/>
      <c r="B136" s="289"/>
      <c r="C136" s="289"/>
      <c r="D136" s="289"/>
      <c r="E136" s="289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90" t="s">
        <v>361</v>
      </c>
      <c r="T136" s="291"/>
      <c r="U136" s="292"/>
    </row>
    <row r="137" spans="1:21" x14ac:dyDescent="0.25">
      <c r="A137" s="289"/>
      <c r="B137" s="289"/>
      <c r="C137" s="289"/>
      <c r="D137" s="289"/>
      <c r="E137" s="289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93"/>
      <c r="T137" s="294"/>
      <c r="U137" s="295"/>
    </row>
    <row r="138" spans="1:21" x14ac:dyDescent="0.25">
      <c r="A138" s="289"/>
      <c r="B138" s="289"/>
      <c r="C138" s="289"/>
      <c r="D138" s="289"/>
      <c r="E138" s="289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</row>
    <row r="139" spans="1:21" x14ac:dyDescent="0.25">
      <c r="A139" s="289"/>
      <c r="B139" s="289"/>
      <c r="C139" s="289"/>
      <c r="D139" s="289"/>
      <c r="E139" s="289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</row>
    <row r="140" spans="1:21" x14ac:dyDescent="0.25">
      <c r="A140" s="289"/>
      <c r="B140" s="289"/>
      <c r="C140" s="289"/>
      <c r="D140" s="289"/>
      <c r="E140" s="289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96" t="s">
        <v>387</v>
      </c>
      <c r="T140" s="297"/>
      <c r="U140" s="298"/>
    </row>
    <row r="141" spans="1:21" x14ac:dyDescent="0.25">
      <c r="A141" s="289"/>
      <c r="B141" s="289"/>
      <c r="C141" s="289"/>
      <c r="D141" s="289"/>
      <c r="E141" s="289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99"/>
      <c r="T141" s="300"/>
      <c r="U141" s="301"/>
    </row>
    <row r="142" spans="1:21" x14ac:dyDescent="0.25">
      <c r="A142" s="289"/>
      <c r="B142" s="289"/>
      <c r="C142" s="289"/>
      <c r="D142" s="289"/>
      <c r="E142" s="289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</row>
    <row r="143" spans="1:21" x14ac:dyDescent="0.25">
      <c r="A143" s="289"/>
      <c r="B143" s="289"/>
      <c r="C143" s="289"/>
      <c r="D143" s="289"/>
      <c r="E143" s="289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</row>
    <row r="144" spans="1:21" x14ac:dyDescent="0.25">
      <c r="A144" s="289"/>
      <c r="B144" s="289"/>
      <c r="C144" s="289"/>
      <c r="D144" s="289"/>
      <c r="E144" s="289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</row>
    <row r="145" spans="1:18" x14ac:dyDescent="0.25">
      <c r="A145" s="289"/>
      <c r="B145" s="289"/>
      <c r="C145" s="289"/>
      <c r="D145" s="289"/>
      <c r="E145" s="289"/>
      <c r="F145" s="276"/>
      <c r="G145" s="276"/>
      <c r="H145" s="276"/>
      <c r="I145" s="276"/>
      <c r="J145" s="276"/>
      <c r="K145" s="276"/>
      <c r="L145" s="276"/>
      <c r="M145" s="276"/>
      <c r="N145" s="276"/>
      <c r="O145" s="276"/>
      <c r="P145" s="276"/>
      <c r="Q145" s="276"/>
      <c r="R145" s="276"/>
    </row>
    <row r="146" spans="1:18" x14ac:dyDescent="0.25">
      <c r="A146" s="289"/>
      <c r="B146" s="289"/>
      <c r="C146" s="289"/>
      <c r="D146" s="289"/>
      <c r="E146" s="289"/>
      <c r="F146" s="276"/>
      <c r="G146" s="276"/>
      <c r="H146" s="276"/>
      <c r="I146" s="276"/>
      <c r="J146" s="276"/>
      <c r="K146" s="276"/>
      <c r="L146" s="276"/>
      <c r="M146" s="276"/>
      <c r="N146" s="276"/>
      <c r="O146" s="276"/>
      <c r="P146" s="276"/>
      <c r="Q146" s="276"/>
      <c r="R146" s="276"/>
    </row>
    <row r="147" spans="1:18" x14ac:dyDescent="0.25">
      <c r="A147" s="289"/>
      <c r="B147" s="289"/>
      <c r="C147" s="289"/>
      <c r="D147" s="289"/>
      <c r="E147" s="289"/>
      <c r="F147" s="276"/>
      <c r="G147" s="276"/>
      <c r="H147" s="276"/>
      <c r="I147" s="276"/>
      <c r="J147" s="276"/>
      <c r="K147" s="276"/>
      <c r="L147" s="276"/>
      <c r="M147" s="276"/>
      <c r="N147" s="276"/>
    </row>
    <row r="148" spans="1:18" x14ac:dyDescent="0.25">
      <c r="A148" s="289"/>
      <c r="B148" s="289"/>
      <c r="C148" s="289"/>
      <c r="D148" s="289"/>
      <c r="E148" s="289"/>
      <c r="F148" s="276"/>
      <c r="G148" s="276"/>
      <c r="H148" s="276"/>
      <c r="I148" s="276"/>
      <c r="J148" s="276"/>
      <c r="K148" s="276"/>
      <c r="L148" s="276"/>
      <c r="M148" s="276"/>
      <c r="N148" s="276"/>
    </row>
    <row r="149" spans="1:18" x14ac:dyDescent="0.25">
      <c r="A149" s="289"/>
      <c r="B149" s="289"/>
      <c r="C149" s="289"/>
      <c r="D149" s="289"/>
      <c r="E149" s="289"/>
      <c r="F149" s="276"/>
      <c r="G149" s="276"/>
      <c r="H149" s="276"/>
      <c r="I149" s="276"/>
      <c r="J149" s="276"/>
      <c r="K149" s="276"/>
      <c r="L149" s="276"/>
      <c r="M149" s="276"/>
      <c r="N149" s="276"/>
    </row>
    <row r="150" spans="1:18" x14ac:dyDescent="0.25">
      <c r="A150" s="289"/>
      <c r="B150" s="289"/>
      <c r="C150" s="289"/>
      <c r="D150" s="289"/>
      <c r="E150" s="289"/>
      <c r="F150" s="276"/>
      <c r="G150" s="276"/>
      <c r="H150" s="276"/>
      <c r="I150" s="276"/>
      <c r="J150" s="276"/>
      <c r="K150" s="276"/>
      <c r="L150" s="276"/>
      <c r="M150" s="276"/>
      <c r="N150" s="276"/>
    </row>
    <row r="154" spans="1:18" x14ac:dyDescent="0.25">
      <c r="A154" s="206">
        <v>46214</v>
      </c>
      <c r="B154" s="207"/>
      <c r="C154" s="207"/>
      <c r="D154" s="207"/>
      <c r="E154" s="208"/>
    </row>
    <row r="155" spans="1:18" x14ac:dyDescent="0.25">
      <c r="A155" s="209"/>
      <c r="B155" s="210"/>
      <c r="C155" s="210"/>
      <c r="D155" s="210"/>
      <c r="E155" s="211"/>
    </row>
    <row r="156" spans="1:18" x14ac:dyDescent="0.25">
      <c r="A156" s="279" t="e" vm="12">
        <v>#VALUE!</v>
      </c>
      <c r="B156" s="279"/>
      <c r="C156" s="279"/>
      <c r="D156" s="279"/>
      <c r="E156" s="279"/>
    </row>
    <row r="157" spans="1:18" x14ac:dyDescent="0.25">
      <c r="A157" s="279"/>
      <c r="B157" s="279"/>
      <c r="C157" s="279"/>
      <c r="D157" s="279"/>
      <c r="E157" s="279"/>
      <c r="F157" s="302" t="s">
        <v>394</v>
      </c>
      <c r="G157" s="278"/>
      <c r="H157" s="303"/>
    </row>
    <row r="158" spans="1:18" x14ac:dyDescent="0.25">
      <c r="A158" s="279"/>
      <c r="B158" s="279"/>
      <c r="C158" s="279"/>
      <c r="D158" s="279"/>
      <c r="E158" s="279"/>
      <c r="F158" s="304"/>
      <c r="G158" s="279"/>
      <c r="H158" s="305"/>
    </row>
    <row r="159" spans="1:18" x14ac:dyDescent="0.25">
      <c r="A159" s="279"/>
      <c r="B159" s="279"/>
      <c r="C159" s="279"/>
      <c r="D159" s="279"/>
      <c r="E159" s="279"/>
      <c r="F159" s="306"/>
      <c r="G159" s="307"/>
      <c r="H159" s="308"/>
    </row>
    <row r="160" spans="1:18" x14ac:dyDescent="0.25">
      <c r="A160" s="279"/>
      <c r="B160" s="279"/>
      <c r="C160" s="279"/>
      <c r="D160" s="279"/>
      <c r="E160" s="279"/>
      <c r="F160" s="275" t="e" vm="13">
        <v>#VALUE!</v>
      </c>
      <c r="G160" s="275"/>
      <c r="H160" s="275"/>
    </row>
    <row r="161" spans="1:8" x14ac:dyDescent="0.25">
      <c r="A161" s="279"/>
      <c r="B161" s="279"/>
      <c r="C161" s="279"/>
      <c r="D161" s="279"/>
      <c r="E161" s="279"/>
      <c r="F161" s="276"/>
      <c r="G161" s="276"/>
      <c r="H161" s="276"/>
    </row>
    <row r="162" spans="1:8" x14ac:dyDescent="0.25">
      <c r="A162" s="279"/>
      <c r="B162" s="279"/>
      <c r="C162" s="279"/>
      <c r="D162" s="279"/>
      <c r="E162" s="279"/>
      <c r="F162" s="276"/>
      <c r="G162" s="276"/>
      <c r="H162" s="276"/>
    </row>
    <row r="163" spans="1:8" x14ac:dyDescent="0.25">
      <c r="A163" s="279"/>
      <c r="B163" s="279"/>
      <c r="C163" s="279"/>
      <c r="D163" s="279"/>
      <c r="E163" s="279"/>
      <c r="F163" s="276"/>
      <c r="G163" s="276"/>
      <c r="H163" s="276"/>
    </row>
    <row r="164" spans="1:8" x14ac:dyDescent="0.25">
      <c r="A164" s="279"/>
      <c r="B164" s="279"/>
      <c r="C164" s="279"/>
      <c r="D164" s="279"/>
      <c r="E164" s="279"/>
      <c r="F164" s="276"/>
      <c r="G164" s="276"/>
      <c r="H164" s="276"/>
    </row>
    <row r="165" spans="1:8" x14ac:dyDescent="0.25">
      <c r="A165" s="279"/>
      <c r="B165" s="279"/>
      <c r="C165" s="279"/>
      <c r="D165" s="279"/>
      <c r="E165" s="279"/>
      <c r="F165" s="276"/>
      <c r="G165" s="276"/>
      <c r="H165" s="276"/>
    </row>
    <row r="166" spans="1:8" x14ac:dyDescent="0.25">
      <c r="A166" s="279"/>
      <c r="B166" s="279"/>
      <c r="C166" s="279"/>
      <c r="D166" s="279"/>
      <c r="E166" s="279"/>
      <c r="F166" s="276"/>
      <c r="G166" s="276"/>
      <c r="H166" s="276"/>
    </row>
    <row r="167" spans="1:8" x14ac:dyDescent="0.25">
      <c r="A167" s="279"/>
      <c r="B167" s="279"/>
      <c r="C167" s="279"/>
      <c r="D167" s="279"/>
      <c r="E167" s="279"/>
      <c r="F167" s="276"/>
      <c r="G167" s="276"/>
      <c r="H167" s="276"/>
    </row>
    <row r="168" spans="1:8" x14ac:dyDescent="0.25">
      <c r="A168" s="279"/>
      <c r="B168" s="279"/>
      <c r="C168" s="279"/>
      <c r="D168" s="279"/>
      <c r="E168" s="279"/>
      <c r="F168" s="276"/>
      <c r="G168" s="276"/>
      <c r="H168" s="276"/>
    </row>
    <row r="169" spans="1:8" x14ac:dyDescent="0.25">
      <c r="A169" s="279"/>
      <c r="B169" s="279"/>
      <c r="C169" s="279"/>
      <c r="D169" s="279"/>
      <c r="E169" s="279"/>
      <c r="F169" s="276"/>
      <c r="G169" s="276"/>
      <c r="H169" s="276"/>
    </row>
    <row r="170" spans="1:8" x14ac:dyDescent="0.25">
      <c r="A170" s="279"/>
      <c r="B170" s="279"/>
      <c r="C170" s="279"/>
      <c r="D170" s="279"/>
      <c r="E170" s="279"/>
      <c r="F170" s="276"/>
      <c r="G170" s="276"/>
      <c r="H170" s="276"/>
    </row>
    <row r="171" spans="1:8" x14ac:dyDescent="0.25">
      <c r="A171" s="279"/>
      <c r="B171" s="279"/>
      <c r="C171" s="279"/>
      <c r="D171" s="279"/>
      <c r="E171" s="279"/>
      <c r="F171" s="276"/>
      <c r="G171" s="276"/>
      <c r="H171" s="276"/>
    </row>
    <row r="172" spans="1:8" x14ac:dyDescent="0.25">
      <c r="A172" s="279"/>
      <c r="B172" s="279"/>
      <c r="C172" s="279"/>
      <c r="D172" s="279"/>
      <c r="E172" s="279"/>
      <c r="F172" s="276"/>
      <c r="G172" s="276"/>
      <c r="H172" s="276"/>
    </row>
    <row r="173" spans="1:8" x14ac:dyDescent="0.25">
      <c r="A173" s="279"/>
      <c r="B173" s="279"/>
      <c r="C173" s="279"/>
      <c r="D173" s="279"/>
      <c r="E173" s="279"/>
      <c r="F173" s="276"/>
      <c r="G173" s="276"/>
      <c r="H173" s="276"/>
    </row>
    <row r="174" spans="1:8" x14ac:dyDescent="0.25">
      <c r="A174" s="279"/>
      <c r="B174" s="279"/>
      <c r="C174" s="279"/>
      <c r="D174" s="279"/>
      <c r="E174" s="279"/>
      <c r="F174" s="276"/>
      <c r="G174" s="276"/>
      <c r="H174" s="276"/>
    </row>
    <row r="175" spans="1:8" x14ac:dyDescent="0.25">
      <c r="A175" s="279"/>
      <c r="B175" s="279"/>
      <c r="C175" s="279"/>
      <c r="D175" s="279"/>
      <c r="E175" s="279"/>
      <c r="F175" s="276"/>
      <c r="G175" s="276"/>
      <c r="H175" s="276"/>
    </row>
    <row r="176" spans="1:8" x14ac:dyDescent="0.25">
      <c r="A176" s="279"/>
      <c r="B176" s="279"/>
      <c r="C176" s="279"/>
      <c r="D176" s="279"/>
      <c r="E176" s="279"/>
      <c r="F176" s="276"/>
      <c r="G176" s="276"/>
      <c r="H176" s="276"/>
    </row>
    <row r="182" spans="1:22" x14ac:dyDescent="0.25">
      <c r="F182" s="108">
        <f>79290+630</f>
        <v>79920</v>
      </c>
    </row>
    <row r="183" spans="1:22" x14ac:dyDescent="0.25">
      <c r="B183" s="277" t="s">
        <v>592</v>
      </c>
      <c r="C183" s="277"/>
    </row>
    <row r="184" spans="1:22" x14ac:dyDescent="0.25">
      <c r="A184" s="234">
        <v>46215</v>
      </c>
      <c r="B184" s="234"/>
      <c r="C184" s="234"/>
      <c r="D184" s="234"/>
      <c r="E184" s="234">
        <v>46216</v>
      </c>
      <c r="F184" s="234"/>
      <c r="G184" s="234"/>
      <c r="H184" s="234">
        <v>46218</v>
      </c>
      <c r="I184" s="234"/>
      <c r="J184" s="234"/>
      <c r="K184" s="234">
        <v>46218</v>
      </c>
      <c r="L184" s="234"/>
      <c r="M184" s="234"/>
      <c r="N184" s="234">
        <v>46219</v>
      </c>
      <c r="O184" s="234"/>
      <c r="P184" s="234"/>
      <c r="Q184" s="234">
        <v>46221</v>
      </c>
      <c r="R184" s="234"/>
      <c r="S184" s="234"/>
      <c r="T184" s="234">
        <v>46222</v>
      </c>
      <c r="U184" s="234"/>
      <c r="V184" s="234"/>
    </row>
    <row r="185" spans="1:22" x14ac:dyDescent="0.25">
      <c r="A185" s="234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</row>
    <row r="186" spans="1:22" x14ac:dyDescent="0.25">
      <c r="A186" s="276" t="e" vm="14">
        <v>#VALUE!</v>
      </c>
      <c r="B186" s="276"/>
      <c r="C186" s="276"/>
      <c r="D186" s="276"/>
      <c r="E186" s="275" t="e" vm="15">
        <v>#VALUE!</v>
      </c>
      <c r="F186" s="275"/>
      <c r="G186" s="275"/>
      <c r="H186" s="278" t="e" vm="16">
        <v>#VALUE!</v>
      </c>
      <c r="I186" s="278"/>
      <c r="J186" s="278"/>
      <c r="K186" s="278" t="e" vm="17">
        <v>#VALUE!</v>
      </c>
      <c r="L186" s="278"/>
      <c r="M186" s="278"/>
      <c r="N186" s="278" t="e" vm="18">
        <v>#VALUE!</v>
      </c>
      <c r="O186" s="278"/>
      <c r="P186" s="278"/>
      <c r="Q186" s="275" t="e" vm="19">
        <v>#VALUE!</v>
      </c>
      <c r="R186" s="275"/>
      <c r="S186" s="275"/>
      <c r="T186" s="275" t="e" vm="20">
        <v>#VALUE!</v>
      </c>
      <c r="U186" s="275"/>
      <c r="V186" s="275"/>
    </row>
    <row r="187" spans="1:22" x14ac:dyDescent="0.25">
      <c r="A187" s="276"/>
      <c r="B187" s="276"/>
      <c r="C187" s="276"/>
      <c r="D187" s="276"/>
      <c r="E187" s="276"/>
      <c r="F187" s="276"/>
      <c r="G187" s="276"/>
      <c r="H187" s="279"/>
      <c r="I187" s="279"/>
      <c r="J187" s="279"/>
      <c r="K187" s="279"/>
      <c r="L187" s="279"/>
      <c r="M187" s="279"/>
      <c r="N187" s="279"/>
      <c r="O187" s="279"/>
      <c r="P187" s="279"/>
      <c r="Q187" s="276"/>
      <c r="R187" s="276"/>
      <c r="S187" s="276"/>
      <c r="T187" s="276"/>
      <c r="U187" s="276"/>
      <c r="V187" s="276"/>
    </row>
    <row r="188" spans="1:22" x14ac:dyDescent="0.25">
      <c r="A188" s="276"/>
      <c r="B188" s="276"/>
      <c r="C188" s="276"/>
      <c r="D188" s="276"/>
      <c r="E188" s="276"/>
      <c r="F188" s="276"/>
      <c r="G188" s="276"/>
      <c r="H188" s="279"/>
      <c r="I188" s="279"/>
      <c r="J188" s="279"/>
      <c r="K188" s="279"/>
      <c r="L188" s="279"/>
      <c r="M188" s="279"/>
      <c r="N188" s="279"/>
      <c r="O188" s="279"/>
      <c r="P188" s="279"/>
      <c r="Q188" s="276"/>
      <c r="R188" s="276"/>
      <c r="S188" s="276"/>
      <c r="T188" s="276"/>
      <c r="U188" s="276"/>
      <c r="V188" s="276"/>
    </row>
    <row r="189" spans="1:22" x14ac:dyDescent="0.25">
      <c r="A189" s="276"/>
      <c r="B189" s="276"/>
      <c r="C189" s="276"/>
      <c r="D189" s="276"/>
      <c r="E189" s="276"/>
      <c r="F189" s="276"/>
      <c r="G189" s="276"/>
      <c r="H189" s="279"/>
      <c r="I189" s="279"/>
      <c r="J189" s="279"/>
      <c r="K189" s="279"/>
      <c r="L189" s="279"/>
      <c r="M189" s="279"/>
      <c r="N189" s="279"/>
      <c r="O189" s="279"/>
      <c r="P189" s="279"/>
      <c r="Q189" s="276"/>
      <c r="R189" s="276"/>
      <c r="S189" s="276"/>
      <c r="T189" s="276"/>
      <c r="U189" s="276"/>
      <c r="V189" s="276"/>
    </row>
    <row r="190" spans="1:22" x14ac:dyDescent="0.25">
      <c r="A190" s="276"/>
      <c r="B190" s="276"/>
      <c r="C190" s="276"/>
      <c r="D190" s="276"/>
      <c r="E190" s="276"/>
      <c r="F190" s="276"/>
      <c r="G190" s="276"/>
      <c r="H190" s="279"/>
      <c r="I190" s="279"/>
      <c r="J190" s="279"/>
      <c r="K190" s="279"/>
      <c r="L190" s="279"/>
      <c r="M190" s="279"/>
      <c r="N190" s="279"/>
      <c r="O190" s="279"/>
      <c r="P190" s="279"/>
      <c r="Q190" s="276"/>
      <c r="R190" s="276"/>
      <c r="S190" s="276"/>
      <c r="T190" s="276"/>
      <c r="U190" s="276"/>
      <c r="V190" s="276"/>
    </row>
    <row r="191" spans="1:22" x14ac:dyDescent="0.25">
      <c r="A191" s="276"/>
      <c r="B191" s="276"/>
      <c r="C191" s="276"/>
      <c r="D191" s="276"/>
      <c r="E191" s="276"/>
      <c r="F191" s="276"/>
      <c r="G191" s="276"/>
      <c r="H191" s="279"/>
      <c r="I191" s="279"/>
      <c r="J191" s="279"/>
      <c r="K191" s="279"/>
      <c r="L191" s="279"/>
      <c r="M191" s="279"/>
      <c r="N191" s="279"/>
      <c r="O191" s="279"/>
      <c r="P191" s="279"/>
      <c r="Q191" s="276"/>
      <c r="R191" s="276"/>
      <c r="S191" s="276"/>
      <c r="T191" s="276"/>
      <c r="U191" s="276"/>
      <c r="V191" s="276"/>
    </row>
    <row r="192" spans="1:22" x14ac:dyDescent="0.25">
      <c r="A192" s="276"/>
      <c r="B192" s="276"/>
      <c r="C192" s="276"/>
      <c r="D192" s="276"/>
      <c r="E192" s="276"/>
      <c r="F192" s="276"/>
      <c r="G192" s="276"/>
      <c r="H192" s="279"/>
      <c r="I192" s="279"/>
      <c r="J192" s="279"/>
      <c r="K192" s="279"/>
      <c r="L192" s="279"/>
      <c r="M192" s="279"/>
      <c r="N192" s="279"/>
      <c r="O192" s="279"/>
      <c r="P192" s="279"/>
      <c r="Q192" s="276"/>
      <c r="R192" s="276"/>
      <c r="S192" s="276"/>
      <c r="T192" s="276"/>
      <c r="U192" s="276"/>
      <c r="V192" s="276"/>
    </row>
    <row r="193" spans="1:22" x14ac:dyDescent="0.25">
      <c r="A193" s="276"/>
      <c r="B193" s="276"/>
      <c r="C193" s="276"/>
      <c r="D193" s="276"/>
      <c r="E193" s="276"/>
      <c r="F193" s="276"/>
      <c r="G193" s="276"/>
      <c r="H193" s="279"/>
      <c r="I193" s="279"/>
      <c r="J193" s="279"/>
      <c r="K193" s="279"/>
      <c r="L193" s="279"/>
      <c r="M193" s="279"/>
      <c r="N193" s="279"/>
      <c r="O193" s="279"/>
      <c r="P193" s="279"/>
      <c r="Q193" s="276"/>
      <c r="R193" s="276"/>
      <c r="S193" s="276"/>
      <c r="T193" s="276"/>
      <c r="U193" s="276"/>
      <c r="V193" s="276"/>
    </row>
    <row r="194" spans="1:22" x14ac:dyDescent="0.25">
      <c r="A194" s="276"/>
      <c r="B194" s="276"/>
      <c r="C194" s="276"/>
      <c r="D194" s="276"/>
      <c r="E194" s="276"/>
      <c r="F194" s="276"/>
      <c r="G194" s="276"/>
      <c r="H194" s="279"/>
      <c r="I194" s="279"/>
      <c r="J194" s="279"/>
      <c r="K194" s="279"/>
      <c r="L194" s="279"/>
      <c r="M194" s="279"/>
      <c r="N194" s="279"/>
      <c r="O194" s="279"/>
      <c r="P194" s="279"/>
      <c r="Q194" s="276"/>
      <c r="R194" s="276"/>
      <c r="S194" s="276"/>
      <c r="T194" s="276"/>
      <c r="U194" s="276"/>
      <c r="V194" s="276"/>
    </row>
    <row r="195" spans="1:22" x14ac:dyDescent="0.25">
      <c r="A195" s="276"/>
      <c r="B195" s="276"/>
      <c r="C195" s="276"/>
      <c r="D195" s="276"/>
      <c r="E195" s="276"/>
      <c r="F195" s="276"/>
      <c r="G195" s="276"/>
      <c r="H195" s="279"/>
      <c r="I195" s="279"/>
      <c r="J195" s="279"/>
      <c r="K195" s="279"/>
      <c r="L195" s="279"/>
      <c r="M195" s="279"/>
      <c r="N195" s="279"/>
      <c r="O195" s="279"/>
      <c r="P195" s="279"/>
      <c r="Q195" s="276"/>
      <c r="R195" s="276"/>
      <c r="S195" s="276"/>
      <c r="T195" s="276"/>
      <c r="U195" s="276"/>
      <c r="V195" s="276"/>
    </row>
    <row r="196" spans="1:22" x14ac:dyDescent="0.25">
      <c r="A196" s="276"/>
      <c r="B196" s="276"/>
      <c r="C196" s="276"/>
      <c r="D196" s="276"/>
      <c r="E196" s="276"/>
      <c r="F196" s="276"/>
      <c r="G196" s="276"/>
      <c r="H196" s="279"/>
      <c r="I196" s="279"/>
      <c r="J196" s="279"/>
      <c r="K196" s="279"/>
      <c r="L196" s="279"/>
      <c r="M196" s="279"/>
      <c r="N196" s="279"/>
      <c r="O196" s="279"/>
      <c r="P196" s="279"/>
      <c r="Q196" s="276"/>
      <c r="R196" s="276"/>
      <c r="S196" s="276"/>
      <c r="T196" s="276"/>
      <c r="U196" s="276"/>
      <c r="V196" s="276"/>
    </row>
    <row r="197" spans="1:22" x14ac:dyDescent="0.25">
      <c r="A197" s="276"/>
      <c r="B197" s="276"/>
      <c r="C197" s="276"/>
      <c r="D197" s="276"/>
      <c r="E197" s="276"/>
      <c r="F197" s="276"/>
      <c r="G197" s="276"/>
      <c r="H197" s="279"/>
      <c r="I197" s="279"/>
      <c r="J197" s="279"/>
      <c r="K197" s="279"/>
      <c r="L197" s="279"/>
      <c r="M197" s="279"/>
      <c r="N197" s="279"/>
      <c r="O197" s="279"/>
      <c r="P197" s="279"/>
      <c r="Q197" s="276"/>
      <c r="R197" s="276"/>
      <c r="S197" s="276"/>
      <c r="T197" s="276"/>
      <c r="U197" s="276"/>
      <c r="V197" s="276"/>
    </row>
    <row r="198" spans="1:22" x14ac:dyDescent="0.25">
      <c r="A198" s="276"/>
      <c r="B198" s="276"/>
      <c r="C198" s="276"/>
      <c r="D198" s="276"/>
      <c r="E198" s="276"/>
      <c r="F198" s="276"/>
      <c r="G198" s="276"/>
      <c r="H198" s="279"/>
      <c r="I198" s="279"/>
      <c r="J198" s="279"/>
      <c r="K198" s="279"/>
      <c r="L198" s="279"/>
      <c r="M198" s="279"/>
      <c r="N198" s="279"/>
      <c r="O198" s="279"/>
      <c r="P198" s="279"/>
      <c r="Q198" s="276"/>
      <c r="R198" s="276"/>
      <c r="S198" s="276"/>
      <c r="T198" s="276"/>
      <c r="U198" s="276"/>
      <c r="V198" s="276"/>
    </row>
    <row r="199" spans="1:22" x14ac:dyDescent="0.25">
      <c r="A199" s="276"/>
      <c r="B199" s="276"/>
      <c r="C199" s="276"/>
      <c r="D199" s="276"/>
      <c r="E199" s="276"/>
      <c r="F199" s="276"/>
      <c r="G199" s="276"/>
      <c r="H199" s="279"/>
      <c r="I199" s="279"/>
      <c r="J199" s="279"/>
      <c r="K199" s="279"/>
      <c r="L199" s="279"/>
      <c r="M199" s="279"/>
      <c r="N199" s="279"/>
      <c r="O199" s="279"/>
      <c r="P199" s="279"/>
      <c r="Q199" s="276"/>
      <c r="R199" s="276"/>
      <c r="S199" s="276"/>
      <c r="T199" s="276"/>
      <c r="U199" s="276"/>
      <c r="V199" s="276"/>
    </row>
    <row r="200" spans="1:22" x14ac:dyDescent="0.25">
      <c r="A200" s="276"/>
      <c r="B200" s="276"/>
      <c r="C200" s="276"/>
      <c r="D200" s="276"/>
      <c r="E200" s="276"/>
      <c r="F200" s="276"/>
      <c r="G200" s="276"/>
      <c r="H200" s="279"/>
      <c r="I200" s="279"/>
      <c r="J200" s="279"/>
      <c r="K200" s="279"/>
      <c r="L200" s="279"/>
      <c r="M200" s="279"/>
      <c r="N200" s="279"/>
      <c r="O200" s="279"/>
      <c r="P200" s="279"/>
      <c r="Q200" s="276"/>
      <c r="R200" s="276"/>
      <c r="S200" s="276"/>
      <c r="T200" s="276"/>
      <c r="U200" s="276"/>
      <c r="V200" s="276"/>
    </row>
    <row r="201" spans="1:22" x14ac:dyDescent="0.25">
      <c r="E201" s="276"/>
      <c r="F201" s="276"/>
      <c r="G201" s="276"/>
      <c r="H201" s="279"/>
      <c r="I201" s="279"/>
      <c r="J201" s="279"/>
      <c r="K201" s="279"/>
      <c r="L201" s="279"/>
      <c r="M201" s="279"/>
      <c r="N201" s="279"/>
      <c r="O201" s="279"/>
      <c r="P201" s="279"/>
      <c r="Q201" s="276"/>
      <c r="R201" s="276"/>
      <c r="S201" s="276"/>
      <c r="T201" s="276"/>
      <c r="U201" s="276"/>
      <c r="V201" s="276"/>
    </row>
  </sheetData>
  <mergeCells count="68">
    <mergeCell ref="A156:E176"/>
    <mergeCell ref="A154:E155"/>
    <mergeCell ref="F157:H159"/>
    <mergeCell ref="F160:H176"/>
    <mergeCell ref="E184:G185"/>
    <mergeCell ref="AG96:AJ102"/>
    <mergeCell ref="A129:E150"/>
    <mergeCell ref="F130:J150"/>
    <mergeCell ref="K130:N150"/>
    <mergeCell ref="O130:R146"/>
    <mergeCell ref="X96:AE125"/>
    <mergeCell ref="S136:U137"/>
    <mergeCell ref="S140:U141"/>
    <mergeCell ref="G29:K30"/>
    <mergeCell ref="A58:J91"/>
    <mergeCell ref="B95:H123"/>
    <mergeCell ref="B92:H94"/>
    <mergeCell ref="N95:S122"/>
    <mergeCell ref="N93:S94"/>
    <mergeCell ref="I120:K120"/>
    <mergeCell ref="C30:E30"/>
    <mergeCell ref="P31:V56"/>
    <mergeCell ref="I121:K122"/>
    <mergeCell ref="A31:H56"/>
    <mergeCell ref="I31:O56"/>
    <mergeCell ref="T113:V113"/>
    <mergeCell ref="T114:V114"/>
    <mergeCell ref="Y94:AD95"/>
    <mergeCell ref="E127:O128"/>
    <mergeCell ref="C2:H3"/>
    <mergeCell ref="E5:H5"/>
    <mergeCell ref="C5:D5"/>
    <mergeCell ref="E6:H6"/>
    <mergeCell ref="C6:D6"/>
    <mergeCell ref="E7:H7"/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Q184:S185"/>
    <mergeCell ref="Q186:S201"/>
    <mergeCell ref="T184:V185"/>
    <mergeCell ref="T186:V201"/>
    <mergeCell ref="B183:C183"/>
    <mergeCell ref="H184:J185"/>
    <mergeCell ref="H186:J201"/>
    <mergeCell ref="K184:M185"/>
    <mergeCell ref="K186:M201"/>
    <mergeCell ref="N184:P185"/>
    <mergeCell ref="N186:P201"/>
    <mergeCell ref="A186:D200"/>
    <mergeCell ref="A184:D185"/>
    <mergeCell ref="E186:G20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B1:J31"/>
  <sheetViews>
    <sheetView zoomScaleNormal="100" workbookViewId="0">
      <selection activeCell="O12" sqref="O12"/>
    </sheetView>
  </sheetViews>
  <sheetFormatPr defaultColWidth="8.5703125" defaultRowHeight="15" x14ac:dyDescent="0.25"/>
  <cols>
    <col min="2" max="2" width="6" customWidth="1"/>
    <col min="3" max="3" width="23.42578125" customWidth="1"/>
    <col min="4" max="4" width="19.7109375" customWidth="1"/>
    <col min="5" max="5" width="16" customWidth="1"/>
    <col min="6" max="6" width="12" customWidth="1"/>
    <col min="7" max="7" width="14" customWidth="1"/>
    <col min="8" max="8" width="12.7109375" customWidth="1"/>
    <col min="9" max="9" width="15.28515625" customWidth="1"/>
    <col min="10" max="10" width="15.85546875" customWidth="1"/>
    <col min="15" max="15" width="17.85546875" bestFit="1" customWidth="1"/>
    <col min="16" max="16" width="10.42578125" bestFit="1" customWidth="1"/>
    <col min="17" max="17" width="11.28515625" bestFit="1" customWidth="1"/>
    <col min="18" max="19" width="10.42578125" bestFit="1" customWidth="1"/>
    <col min="20" max="20" width="17.42578125" bestFit="1" customWidth="1"/>
  </cols>
  <sheetData>
    <row r="1" spans="2:10" ht="24" customHeight="1" x14ac:dyDescent="0.25"/>
    <row r="2" spans="2:10" ht="24" x14ac:dyDescent="0.25">
      <c r="B2" s="309" t="s">
        <v>48</v>
      </c>
      <c r="C2" s="309"/>
      <c r="D2" s="309"/>
      <c r="E2" s="309"/>
      <c r="F2" s="309"/>
      <c r="G2" s="309"/>
      <c r="H2" s="309"/>
      <c r="I2" s="309"/>
      <c r="J2" s="309"/>
    </row>
    <row r="3" spans="2:10" ht="15" customHeight="1" x14ac:dyDescent="0.25"/>
    <row r="5" spans="2:10" ht="22.5" customHeight="1" x14ac:dyDescent="0.25">
      <c r="B5" s="3" t="s">
        <v>1</v>
      </c>
      <c r="C5" s="69" t="s">
        <v>2</v>
      </c>
      <c r="D5" s="69" t="s">
        <v>3</v>
      </c>
      <c r="E5" s="67" t="s">
        <v>50</v>
      </c>
      <c r="F5" s="67" t="s">
        <v>51</v>
      </c>
      <c r="G5" s="67" t="s">
        <v>52</v>
      </c>
      <c r="H5" s="67" t="s">
        <v>53</v>
      </c>
      <c r="I5" s="67" t="s">
        <v>54</v>
      </c>
      <c r="J5" s="67" t="s">
        <v>55</v>
      </c>
    </row>
    <row r="6" spans="2:10" ht="15" customHeight="1" x14ac:dyDescent="0.25">
      <c r="B6" s="7">
        <v>1</v>
      </c>
      <c r="C6" s="97" t="s">
        <v>668</v>
      </c>
      <c r="D6" s="97" t="s">
        <v>147</v>
      </c>
      <c r="E6" s="11"/>
      <c r="F6" s="10"/>
      <c r="G6" s="10"/>
      <c r="H6" s="10"/>
      <c r="I6" s="10"/>
      <c r="J6" s="4"/>
    </row>
    <row r="7" spans="2:10" ht="15" customHeight="1" x14ac:dyDescent="0.25">
      <c r="B7" s="7">
        <v>2</v>
      </c>
      <c r="C7" s="97" t="s">
        <v>6</v>
      </c>
      <c r="D7" s="97" t="s">
        <v>7</v>
      </c>
      <c r="E7" s="11"/>
      <c r="F7" s="10"/>
      <c r="G7" s="10"/>
      <c r="H7" s="10"/>
      <c r="I7" s="10"/>
      <c r="J7" s="4"/>
    </row>
    <row r="8" spans="2:10" ht="15" customHeight="1" x14ac:dyDescent="0.25">
      <c r="B8" s="7">
        <v>3</v>
      </c>
      <c r="C8" s="97" t="s">
        <v>8</v>
      </c>
      <c r="D8" s="97" t="s">
        <v>136</v>
      </c>
      <c r="E8" s="11"/>
      <c r="F8" s="10"/>
      <c r="G8" s="10"/>
      <c r="H8" s="10"/>
      <c r="I8" s="10"/>
      <c r="J8" s="4"/>
    </row>
    <row r="9" spans="2:10" ht="15" customHeight="1" x14ac:dyDescent="0.25">
      <c r="B9" s="7">
        <v>4</v>
      </c>
      <c r="C9" s="97" t="s">
        <v>9</v>
      </c>
      <c r="D9" s="97" t="s">
        <v>136</v>
      </c>
      <c r="E9" s="11"/>
      <c r="F9" s="10"/>
      <c r="G9" s="10"/>
      <c r="H9" s="10"/>
      <c r="I9" s="10"/>
      <c r="J9" s="4"/>
    </row>
    <row r="10" spans="2:10" ht="15" customHeight="1" x14ac:dyDescent="0.25">
      <c r="B10" s="7">
        <v>5</v>
      </c>
      <c r="C10" s="97" t="s">
        <v>11</v>
      </c>
      <c r="D10" s="97" t="s">
        <v>138</v>
      </c>
      <c r="E10" s="11"/>
      <c r="F10" s="10"/>
      <c r="G10" s="10"/>
      <c r="H10" s="10"/>
      <c r="I10" s="10"/>
      <c r="J10" s="4"/>
    </row>
    <row r="11" spans="2:10" ht="15" customHeight="1" x14ac:dyDescent="0.25">
      <c r="B11" s="7">
        <v>6</v>
      </c>
      <c r="C11" s="97" t="s">
        <v>669</v>
      </c>
      <c r="D11" s="97" t="s">
        <v>137</v>
      </c>
      <c r="E11" s="11"/>
      <c r="F11" s="10"/>
      <c r="G11" s="10"/>
      <c r="H11" s="10"/>
      <c r="I11" s="10"/>
      <c r="J11" s="4"/>
    </row>
    <row r="12" spans="2:10" ht="15" customHeight="1" x14ac:dyDescent="0.25">
      <c r="B12" s="7">
        <v>7</v>
      </c>
      <c r="C12" s="97" t="s">
        <v>12</v>
      </c>
      <c r="D12" s="97" t="s">
        <v>137</v>
      </c>
      <c r="E12" s="11"/>
      <c r="F12" s="10"/>
      <c r="G12" s="10"/>
      <c r="H12" s="10"/>
      <c r="I12" s="10"/>
      <c r="J12" s="4"/>
    </row>
    <row r="13" spans="2:10" ht="15" customHeight="1" x14ac:dyDescent="0.25">
      <c r="B13" s="7">
        <v>8</v>
      </c>
      <c r="C13" s="97" t="s">
        <v>13</v>
      </c>
      <c r="D13" s="97" t="s">
        <v>17</v>
      </c>
      <c r="E13" s="11">
        <v>5000</v>
      </c>
      <c r="F13" s="10"/>
      <c r="G13" s="10"/>
      <c r="H13" s="10"/>
      <c r="I13" s="10"/>
      <c r="J13" s="4"/>
    </row>
    <row r="14" spans="2:10" ht="15" customHeight="1" x14ac:dyDescent="0.25">
      <c r="B14" s="7">
        <v>9</v>
      </c>
      <c r="C14" s="97" t="s">
        <v>18</v>
      </c>
      <c r="D14" s="97" t="s">
        <v>19</v>
      </c>
      <c r="E14" s="11">
        <v>5000</v>
      </c>
      <c r="F14" s="10"/>
      <c r="G14" s="10"/>
      <c r="H14" s="10"/>
      <c r="I14" s="10"/>
      <c r="J14" s="4"/>
    </row>
    <row r="15" spans="2:10" ht="15" customHeight="1" x14ac:dyDescent="0.25">
      <c r="B15" s="7">
        <v>10</v>
      </c>
      <c r="C15" s="97" t="s">
        <v>20</v>
      </c>
      <c r="D15" s="97" t="s">
        <v>139</v>
      </c>
      <c r="E15" s="11"/>
      <c r="F15" s="10"/>
      <c r="G15" s="10"/>
      <c r="H15" s="10"/>
      <c r="I15" s="10"/>
      <c r="J15" s="4"/>
    </row>
    <row r="16" spans="2:10" ht="15" customHeight="1" x14ac:dyDescent="0.25">
      <c r="B16" s="7">
        <v>11</v>
      </c>
      <c r="C16" s="97" t="s">
        <v>140</v>
      </c>
      <c r="D16" s="97" t="s">
        <v>138</v>
      </c>
      <c r="E16" s="11">
        <v>4000</v>
      </c>
      <c r="F16" s="10"/>
      <c r="G16" s="10"/>
      <c r="H16" s="10"/>
      <c r="I16" s="10"/>
      <c r="J16" s="4"/>
    </row>
    <row r="17" spans="2:10" ht="15" customHeight="1" x14ac:dyDescent="0.25">
      <c r="B17" s="7">
        <v>12</v>
      </c>
      <c r="C17" s="97" t="s">
        <v>22</v>
      </c>
      <c r="D17" s="97" t="s">
        <v>141</v>
      </c>
      <c r="E17" s="11"/>
      <c r="F17" s="10"/>
      <c r="G17" s="10"/>
      <c r="H17" s="10"/>
      <c r="I17" s="10"/>
      <c r="J17" s="4"/>
    </row>
    <row r="18" spans="2:10" ht="15" customHeight="1" x14ac:dyDescent="0.25">
      <c r="B18" s="7">
        <v>13</v>
      </c>
      <c r="C18" s="97" t="s">
        <v>142</v>
      </c>
      <c r="D18" s="97" t="s">
        <v>136</v>
      </c>
      <c r="E18" s="11"/>
      <c r="F18" s="10"/>
      <c r="G18" s="10"/>
      <c r="H18" s="10"/>
      <c r="I18" s="10"/>
      <c r="J18" s="4"/>
    </row>
    <row r="19" spans="2:10" ht="15" customHeight="1" x14ac:dyDescent="0.25">
      <c r="B19" s="7">
        <v>14</v>
      </c>
      <c r="C19" s="49" t="s">
        <v>24</v>
      </c>
      <c r="D19" s="49" t="s">
        <v>141</v>
      </c>
      <c r="E19" s="11"/>
      <c r="F19" s="10"/>
      <c r="G19" s="10"/>
      <c r="H19" s="10"/>
      <c r="I19" s="10"/>
      <c r="J19" s="4"/>
    </row>
    <row r="20" spans="2:10" ht="15" customHeight="1" x14ac:dyDescent="0.25">
      <c r="B20" s="7">
        <v>15</v>
      </c>
      <c r="C20" s="151" t="s">
        <v>143</v>
      </c>
      <c r="D20" s="97" t="s">
        <v>137</v>
      </c>
      <c r="E20" s="11"/>
      <c r="F20" s="10"/>
      <c r="G20" s="10"/>
      <c r="H20" s="10"/>
      <c r="I20" s="10"/>
      <c r="J20" s="4"/>
    </row>
    <row r="21" spans="2:10" ht="15" customHeight="1" x14ac:dyDescent="0.25">
      <c r="B21" s="7">
        <v>16</v>
      </c>
      <c r="C21" s="25" t="s">
        <v>144</v>
      </c>
      <c r="D21" s="23" t="s">
        <v>145</v>
      </c>
      <c r="E21" s="11"/>
      <c r="F21" s="10"/>
      <c r="G21" s="10"/>
      <c r="H21" s="10"/>
      <c r="I21" s="10"/>
      <c r="J21" s="4"/>
    </row>
    <row r="22" spans="2:10" ht="15" customHeight="1" x14ac:dyDescent="0.25">
      <c r="B22" s="7">
        <v>17</v>
      </c>
      <c r="C22" s="49" t="s">
        <v>146</v>
      </c>
      <c r="D22" s="49" t="s">
        <v>137</v>
      </c>
      <c r="E22" s="11"/>
      <c r="F22" s="10"/>
      <c r="G22" s="10"/>
      <c r="H22" s="10"/>
      <c r="I22" s="10"/>
      <c r="J22" s="4"/>
    </row>
    <row r="23" spans="2:10" ht="15" customHeight="1" x14ac:dyDescent="0.25">
      <c r="B23" s="7">
        <v>18</v>
      </c>
      <c r="C23" s="23" t="s">
        <v>308</v>
      </c>
      <c r="D23" s="23" t="s">
        <v>377</v>
      </c>
      <c r="E23" s="7"/>
      <c r="F23" s="4"/>
      <c r="G23" s="10"/>
      <c r="H23" s="4"/>
      <c r="I23" s="10"/>
      <c r="J23" s="4"/>
    </row>
    <row r="24" spans="2:10" ht="15" customHeight="1" x14ac:dyDescent="0.25">
      <c r="B24" s="7">
        <v>19</v>
      </c>
      <c r="C24" s="97" t="s">
        <v>309</v>
      </c>
      <c r="D24" s="97" t="s">
        <v>377</v>
      </c>
      <c r="E24" s="7"/>
      <c r="F24" s="4"/>
      <c r="G24" s="4"/>
      <c r="H24" s="4"/>
      <c r="I24" s="4"/>
      <c r="J24" s="4"/>
    </row>
    <row r="25" spans="2:10" ht="15.75" x14ac:dyDescent="0.25">
      <c r="B25" s="7">
        <v>20</v>
      </c>
      <c r="C25" s="25" t="s">
        <v>368</v>
      </c>
      <c r="D25" s="4"/>
      <c r="E25" s="7"/>
      <c r="F25" s="4"/>
      <c r="G25" s="4"/>
      <c r="H25" s="4"/>
      <c r="I25" s="4"/>
      <c r="J25" s="4"/>
    </row>
    <row r="26" spans="2:10" x14ac:dyDescent="0.25">
      <c r="B26" s="7">
        <v>21</v>
      </c>
      <c r="C26" s="23" t="s">
        <v>475</v>
      </c>
      <c r="D26" s="7" t="s">
        <v>17</v>
      </c>
      <c r="E26" s="7"/>
      <c r="F26" s="4"/>
      <c r="G26" s="4"/>
      <c r="H26" s="4"/>
      <c r="I26" s="4"/>
      <c r="J26" s="4"/>
    </row>
    <row r="27" spans="2:10" x14ac:dyDescent="0.25">
      <c r="B27" s="7">
        <v>22</v>
      </c>
      <c r="C27" s="49" t="s">
        <v>437</v>
      </c>
      <c r="D27" s="49"/>
      <c r="E27" s="7"/>
      <c r="F27" s="4"/>
      <c r="G27" s="4"/>
      <c r="H27" s="4"/>
      <c r="I27" s="4"/>
      <c r="J27" s="4"/>
    </row>
    <row r="28" spans="2:10" x14ac:dyDescent="0.25">
      <c r="B28" s="7">
        <v>23</v>
      </c>
      <c r="C28" s="23" t="s">
        <v>182</v>
      </c>
      <c r="D28" s="4"/>
      <c r="E28" s="7"/>
      <c r="F28" s="4"/>
      <c r="G28" s="4"/>
      <c r="H28" s="4"/>
      <c r="I28" s="4"/>
      <c r="J28" s="4"/>
    </row>
    <row r="29" spans="2:10" x14ac:dyDescent="0.25">
      <c r="B29" s="7">
        <v>24</v>
      </c>
      <c r="C29" s="23" t="s">
        <v>537</v>
      </c>
      <c r="D29" s="4"/>
      <c r="E29" s="7"/>
      <c r="F29" s="4"/>
      <c r="G29" s="4"/>
      <c r="H29" s="4"/>
      <c r="I29" s="4"/>
      <c r="J29" s="4"/>
    </row>
    <row r="30" spans="2:10" x14ac:dyDescent="0.25">
      <c r="B30" s="7">
        <v>25</v>
      </c>
      <c r="C30" s="23" t="s">
        <v>479</v>
      </c>
      <c r="D30" s="4"/>
      <c r="E30" s="7"/>
      <c r="F30" s="4"/>
      <c r="G30" s="4"/>
      <c r="H30" s="4"/>
      <c r="I30" s="4"/>
      <c r="J30" s="4"/>
    </row>
    <row r="31" spans="2:10" x14ac:dyDescent="0.25">
      <c r="B31" s="7">
        <v>26</v>
      </c>
      <c r="C31" s="23" t="s">
        <v>670</v>
      </c>
      <c r="D31" s="4"/>
      <c r="E31" s="4"/>
      <c r="F31" s="4"/>
      <c r="G31" s="4"/>
      <c r="H31" s="4"/>
      <c r="I31" s="4"/>
      <c r="J31" s="4"/>
    </row>
  </sheetData>
  <mergeCells count="1">
    <mergeCell ref="B2:J2"/>
  </mergeCells>
  <dataValidations count="1">
    <dataValidation type="list" allowBlank="1" errorTitle="خطأ" error="يرجى اختيار موظف من القائمة" sqref="C6:C23" xr:uid="{00000000-0002-0000-06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7CEEB"/>
  </sheetPr>
  <dimension ref="A1:V103"/>
  <sheetViews>
    <sheetView zoomScaleNormal="100" workbookViewId="0">
      <selection activeCell="H41" sqref="H41"/>
    </sheetView>
  </sheetViews>
  <sheetFormatPr defaultColWidth="8.5703125" defaultRowHeight="15" x14ac:dyDescent="0.25"/>
  <cols>
    <col min="1" max="1" width="14" customWidth="1"/>
    <col min="2" max="2" width="11.42578125" customWidth="1"/>
    <col min="3" max="3" width="3.85546875" customWidth="1"/>
    <col min="4" max="4" width="0.28515625" hidden="1" customWidth="1"/>
    <col min="5" max="5" width="8.42578125" bestFit="1" customWidth="1"/>
    <col min="6" max="6" width="9.42578125" bestFit="1" customWidth="1"/>
    <col min="7" max="7" width="8.42578125" bestFit="1" customWidth="1"/>
    <col min="9" max="9" width="8.42578125" bestFit="1" customWidth="1"/>
    <col min="10" max="10" width="9.42578125" bestFit="1" customWidth="1"/>
    <col min="11" max="11" width="8.42578125" bestFit="1" customWidth="1"/>
  </cols>
  <sheetData>
    <row r="1" spans="1:22" ht="24" customHeight="1" x14ac:dyDescent="0.25">
      <c r="A1" s="264" t="s">
        <v>57</v>
      </c>
      <c r="B1" s="264"/>
      <c r="C1" s="264"/>
      <c r="D1" s="264"/>
      <c r="E1" s="264"/>
      <c r="F1" s="264"/>
      <c r="G1" s="264"/>
    </row>
    <row r="2" spans="1:22" x14ac:dyDescent="0.25">
      <c r="A2" s="329" t="s">
        <v>2</v>
      </c>
      <c r="B2" s="329"/>
      <c r="C2" s="329"/>
      <c r="D2" s="329"/>
      <c r="E2" s="311" t="s">
        <v>118</v>
      </c>
      <c r="F2" s="312"/>
      <c r="G2" s="311" t="s">
        <v>119</v>
      </c>
      <c r="H2" s="312"/>
      <c r="I2" s="311" t="s">
        <v>120</v>
      </c>
      <c r="J2" s="312"/>
      <c r="K2" s="311" t="s">
        <v>121</v>
      </c>
      <c r="L2" s="312"/>
      <c r="M2" s="311" t="s">
        <v>122</v>
      </c>
      <c r="N2" s="312"/>
      <c r="O2" s="311" t="s">
        <v>123</v>
      </c>
      <c r="P2" s="312"/>
      <c r="Q2" s="311" t="s">
        <v>124</v>
      </c>
      <c r="R2" s="315"/>
      <c r="S2" s="317" t="s">
        <v>31</v>
      </c>
      <c r="T2" s="317"/>
      <c r="U2" s="317"/>
      <c r="V2" s="317"/>
    </row>
    <row r="3" spans="1:22" ht="15" customHeight="1" x14ac:dyDescent="0.25">
      <c r="A3" s="329"/>
      <c r="B3" s="329"/>
      <c r="C3" s="329"/>
      <c r="D3" s="329"/>
      <c r="E3" s="313"/>
      <c r="F3" s="314"/>
      <c r="G3" s="313"/>
      <c r="H3" s="314"/>
      <c r="I3" s="313"/>
      <c r="J3" s="314"/>
      <c r="K3" s="313"/>
      <c r="L3" s="314"/>
      <c r="M3" s="313"/>
      <c r="N3" s="314"/>
      <c r="O3" s="313"/>
      <c r="P3" s="314"/>
      <c r="Q3" s="313"/>
      <c r="R3" s="316"/>
      <c r="S3" s="317"/>
      <c r="T3" s="317"/>
      <c r="U3" s="317"/>
      <c r="V3" s="317"/>
    </row>
    <row r="4" spans="1:22" ht="15" customHeight="1" x14ac:dyDescent="0.25">
      <c r="A4" s="329"/>
      <c r="B4" s="329"/>
      <c r="C4" s="329"/>
      <c r="D4" s="329"/>
      <c r="E4" s="330" t="s">
        <v>125</v>
      </c>
      <c r="F4" s="330" t="s">
        <v>126</v>
      </c>
      <c r="G4" s="330" t="s">
        <v>125</v>
      </c>
      <c r="H4" s="322" t="s">
        <v>126</v>
      </c>
      <c r="I4" s="330" t="s">
        <v>125</v>
      </c>
      <c r="J4" s="322" t="s">
        <v>126</v>
      </c>
      <c r="K4" s="318" t="s">
        <v>125</v>
      </c>
      <c r="L4" s="312" t="s">
        <v>126</v>
      </c>
      <c r="M4" s="318" t="s">
        <v>125</v>
      </c>
      <c r="N4" s="312" t="s">
        <v>126</v>
      </c>
      <c r="O4" s="318" t="s">
        <v>125</v>
      </c>
      <c r="P4" s="312" t="s">
        <v>126</v>
      </c>
      <c r="Q4" s="322" t="s">
        <v>125</v>
      </c>
      <c r="R4" s="318" t="s">
        <v>126</v>
      </c>
      <c r="S4" s="317"/>
      <c r="T4" s="317"/>
      <c r="U4" s="317"/>
      <c r="V4" s="317"/>
    </row>
    <row r="5" spans="1:22" ht="15" customHeight="1" x14ac:dyDescent="0.25">
      <c r="A5" s="329"/>
      <c r="B5" s="329"/>
      <c r="C5" s="329"/>
      <c r="D5" s="329"/>
      <c r="E5" s="331"/>
      <c r="F5" s="331"/>
      <c r="G5" s="331"/>
      <c r="H5" s="323"/>
      <c r="I5" s="331"/>
      <c r="J5" s="323"/>
      <c r="K5" s="319"/>
      <c r="L5" s="321"/>
      <c r="M5" s="319"/>
      <c r="N5" s="321"/>
      <c r="O5" s="319"/>
      <c r="P5" s="321"/>
      <c r="Q5" s="323"/>
      <c r="R5" s="319"/>
      <c r="S5" s="317"/>
      <c r="T5" s="317"/>
      <c r="U5" s="317"/>
      <c r="V5" s="317"/>
    </row>
    <row r="6" spans="1:22" ht="15" customHeight="1" x14ac:dyDescent="0.25">
      <c r="A6" s="329"/>
      <c r="B6" s="329"/>
      <c r="C6" s="329"/>
      <c r="D6" s="329"/>
      <c r="E6" s="332"/>
      <c r="F6" s="332"/>
      <c r="G6" s="332"/>
      <c r="H6" s="324"/>
      <c r="I6" s="332"/>
      <c r="J6" s="324"/>
      <c r="K6" s="320"/>
      <c r="L6" s="314"/>
      <c r="M6" s="320"/>
      <c r="N6" s="314"/>
      <c r="O6" s="320"/>
      <c r="P6" s="314"/>
      <c r="Q6" s="324"/>
      <c r="R6" s="320"/>
      <c r="S6" s="317"/>
      <c r="T6" s="317"/>
      <c r="U6" s="317"/>
      <c r="V6" s="317"/>
    </row>
    <row r="7" spans="1:22" ht="15" customHeight="1" x14ac:dyDescent="0.25">
      <c r="A7" s="329"/>
      <c r="B7" s="329"/>
      <c r="C7" s="329"/>
      <c r="D7" s="329"/>
      <c r="E7" s="325">
        <v>0.33333333333333331</v>
      </c>
      <c r="F7" s="325">
        <v>0.33333333333333331</v>
      </c>
      <c r="G7" s="325">
        <v>0.33333333333333331</v>
      </c>
      <c r="H7" s="325">
        <v>0.33333333333333331</v>
      </c>
      <c r="I7" s="325">
        <v>0.33333333333333331</v>
      </c>
      <c r="J7" s="325">
        <v>0.33333333333333331</v>
      </c>
      <c r="K7" s="325">
        <v>0.33333333333333331</v>
      </c>
      <c r="L7" s="325">
        <v>0.33333333333333331</v>
      </c>
      <c r="M7" s="325">
        <v>0.33333333333333331</v>
      </c>
      <c r="N7" s="325">
        <v>0.33333333333333331</v>
      </c>
      <c r="O7" s="325">
        <v>0.33333333333333331</v>
      </c>
      <c r="P7" s="325">
        <v>0.33333333333333331</v>
      </c>
      <c r="Q7" s="325">
        <v>0.33333333333333331</v>
      </c>
      <c r="R7" s="327">
        <v>0.33333333333333331</v>
      </c>
      <c r="S7" s="317"/>
      <c r="T7" s="317"/>
      <c r="U7" s="317"/>
      <c r="V7" s="317"/>
    </row>
    <row r="8" spans="1:22" ht="15" customHeight="1" x14ac:dyDescent="0.25">
      <c r="A8" s="329"/>
      <c r="B8" s="329"/>
      <c r="C8" s="329"/>
      <c r="D8" s="329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8"/>
      <c r="S8" s="317"/>
      <c r="T8" s="317"/>
      <c r="U8" s="317"/>
      <c r="V8" s="317"/>
    </row>
    <row r="9" spans="1:22" ht="15" customHeight="1" x14ac:dyDescent="0.25">
      <c r="A9" s="310"/>
      <c r="B9" s="310"/>
      <c r="C9" s="310"/>
      <c r="D9" s="310"/>
      <c r="E9" s="310"/>
      <c r="F9" s="310"/>
      <c r="G9" s="310"/>
      <c r="H9" s="310"/>
      <c r="I9" s="310"/>
      <c r="J9" s="310"/>
      <c r="K9" s="310"/>
      <c r="L9" s="310"/>
      <c r="M9" s="310"/>
      <c r="N9" s="310"/>
      <c r="O9" s="310"/>
      <c r="P9" s="310"/>
      <c r="Q9" s="310"/>
      <c r="R9" s="310"/>
      <c r="S9" s="195"/>
      <c r="T9" s="195"/>
      <c r="U9" s="195"/>
      <c r="V9" s="195"/>
    </row>
    <row r="10" spans="1:22" ht="15" customHeight="1" x14ac:dyDescent="0.25">
      <c r="A10" s="310"/>
      <c r="B10" s="310"/>
      <c r="C10" s="310"/>
      <c r="D10" s="310"/>
      <c r="E10" s="310"/>
      <c r="F10" s="310"/>
      <c r="G10" s="310"/>
      <c r="H10" s="310"/>
      <c r="I10" s="310"/>
      <c r="J10" s="310"/>
      <c r="K10" s="310"/>
      <c r="L10" s="310"/>
      <c r="M10" s="310"/>
      <c r="N10" s="310"/>
      <c r="O10" s="310"/>
      <c r="P10" s="310"/>
      <c r="Q10" s="310"/>
      <c r="R10" s="310"/>
      <c r="S10" s="195"/>
      <c r="T10" s="195"/>
      <c r="U10" s="195"/>
      <c r="V10" s="195"/>
    </row>
    <row r="11" spans="1:22" ht="15" hidden="1" customHeight="1" x14ac:dyDescent="0.25">
      <c r="A11" s="310"/>
      <c r="B11" s="310"/>
      <c r="C11" s="310"/>
      <c r="D11" s="310"/>
      <c r="E11" s="310"/>
      <c r="F11" s="310"/>
      <c r="G11" s="310"/>
      <c r="H11" s="310"/>
      <c r="I11" s="310"/>
      <c r="J11" s="310"/>
      <c r="K11" s="310"/>
      <c r="L11" s="310"/>
      <c r="M11" s="310"/>
      <c r="N11" s="310"/>
      <c r="O11" s="310"/>
      <c r="P11" s="310"/>
      <c r="Q11" s="310"/>
      <c r="R11" s="310"/>
      <c r="S11" s="195"/>
      <c r="T11" s="195"/>
      <c r="U11" s="195"/>
      <c r="V11" s="195"/>
    </row>
    <row r="12" spans="1:22" ht="15" customHeight="1" x14ac:dyDescent="0.25">
      <c r="A12" s="310"/>
      <c r="B12" s="310"/>
      <c r="C12" s="310"/>
      <c r="D12" s="310"/>
      <c r="E12" s="310"/>
      <c r="F12" s="310"/>
      <c r="G12" s="310"/>
      <c r="H12" s="310"/>
      <c r="I12" s="310"/>
      <c r="J12" s="310"/>
      <c r="K12" s="310"/>
      <c r="L12" s="310"/>
      <c r="M12" s="310"/>
      <c r="N12" s="310"/>
      <c r="O12" s="310"/>
      <c r="P12" s="310"/>
      <c r="Q12" s="310"/>
      <c r="R12" s="310"/>
      <c r="S12" s="195"/>
      <c r="T12" s="195"/>
      <c r="U12" s="195"/>
      <c r="V12" s="195"/>
    </row>
    <row r="13" spans="1:22" ht="14.25" customHeight="1" x14ac:dyDescent="0.25">
      <c r="A13" s="310"/>
      <c r="B13" s="310"/>
      <c r="C13" s="310"/>
      <c r="D13" s="310"/>
      <c r="E13" s="310"/>
      <c r="F13" s="310"/>
      <c r="G13" s="310"/>
      <c r="H13" s="310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195"/>
      <c r="T13" s="195"/>
      <c r="U13" s="195"/>
      <c r="V13" s="195"/>
    </row>
    <row r="14" spans="1:22" ht="15" hidden="1" customHeight="1" x14ac:dyDescent="0.25">
      <c r="A14" s="310"/>
      <c r="B14" s="310"/>
      <c r="C14" s="310"/>
      <c r="D14" s="310"/>
      <c r="E14" s="310"/>
      <c r="F14" s="310"/>
      <c r="G14" s="310"/>
      <c r="H14" s="310"/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195"/>
      <c r="T14" s="195"/>
      <c r="U14" s="195"/>
      <c r="V14" s="195"/>
    </row>
    <row r="15" spans="1:22" ht="15" customHeight="1" x14ac:dyDescent="0.25">
      <c r="A15" s="310"/>
      <c r="B15" s="310"/>
      <c r="C15" s="310"/>
      <c r="D15" s="310"/>
      <c r="E15" s="310"/>
      <c r="F15" s="310"/>
      <c r="G15" s="310"/>
      <c r="H15" s="310"/>
      <c r="I15" s="310"/>
      <c r="J15" s="310"/>
      <c r="K15" s="310"/>
      <c r="L15" s="310"/>
      <c r="M15" s="310"/>
      <c r="N15" s="310"/>
      <c r="O15" s="310"/>
      <c r="P15" s="310"/>
      <c r="Q15" s="310"/>
      <c r="R15" s="310"/>
      <c r="S15" s="195"/>
      <c r="T15" s="195"/>
      <c r="U15" s="195"/>
      <c r="V15" s="195"/>
    </row>
    <row r="16" spans="1:22" ht="15" customHeight="1" x14ac:dyDescent="0.25">
      <c r="A16" s="310"/>
      <c r="B16" s="310"/>
      <c r="C16" s="310"/>
      <c r="D16" s="310"/>
      <c r="E16" s="310"/>
      <c r="F16" s="310"/>
      <c r="G16" s="310"/>
      <c r="H16" s="310"/>
      <c r="I16" s="310"/>
      <c r="J16" s="310"/>
      <c r="K16" s="310"/>
      <c r="L16" s="310"/>
      <c r="M16" s="310"/>
      <c r="N16" s="310"/>
      <c r="O16" s="310"/>
      <c r="P16" s="310"/>
      <c r="Q16" s="310"/>
      <c r="R16" s="310"/>
      <c r="S16" s="195"/>
      <c r="T16" s="195"/>
      <c r="U16" s="195"/>
      <c r="V16" s="195"/>
    </row>
    <row r="17" spans="1:22" ht="1.5" customHeight="1" x14ac:dyDescent="0.25">
      <c r="A17" s="310"/>
      <c r="B17" s="310"/>
      <c r="C17" s="310"/>
      <c r="D17" s="310"/>
      <c r="E17" s="310"/>
      <c r="F17" s="310"/>
      <c r="G17" s="310"/>
      <c r="H17" s="310"/>
      <c r="I17" s="310"/>
      <c r="J17" s="310"/>
      <c r="K17" s="310"/>
      <c r="L17" s="310"/>
      <c r="M17" s="310"/>
      <c r="N17" s="310"/>
      <c r="O17" s="310"/>
      <c r="P17" s="310"/>
      <c r="Q17" s="310"/>
      <c r="R17" s="310"/>
      <c r="S17" s="195"/>
      <c r="T17" s="195"/>
      <c r="U17" s="195"/>
      <c r="V17" s="195"/>
    </row>
    <row r="18" spans="1:22" ht="15" customHeight="1" x14ac:dyDescent="0.25">
      <c r="A18" s="310"/>
      <c r="B18" s="310"/>
      <c r="C18" s="310"/>
      <c r="D18" s="310"/>
      <c r="E18" s="310"/>
      <c r="F18" s="310"/>
      <c r="G18" s="310"/>
      <c r="H18" s="310"/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195"/>
      <c r="T18" s="195"/>
      <c r="U18" s="195"/>
      <c r="V18" s="195"/>
    </row>
    <row r="19" spans="1:22" ht="15" customHeight="1" x14ac:dyDescent="0.25">
      <c r="A19" s="310"/>
      <c r="B19" s="310"/>
      <c r="C19" s="310"/>
      <c r="D19" s="310"/>
      <c r="E19" s="310"/>
      <c r="F19" s="310"/>
      <c r="G19" s="310"/>
      <c r="H19" s="310"/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195"/>
      <c r="T19" s="195"/>
      <c r="U19" s="195"/>
      <c r="V19" s="195"/>
    </row>
    <row r="20" spans="1:22" ht="0.75" customHeight="1" x14ac:dyDescent="0.25">
      <c r="A20" s="310"/>
      <c r="B20" s="310"/>
      <c r="C20" s="310"/>
      <c r="D20" s="310"/>
      <c r="E20" s="310"/>
      <c r="F20" s="310"/>
      <c r="G20" s="310"/>
      <c r="H20" s="310"/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195"/>
      <c r="T20" s="195"/>
      <c r="U20" s="195"/>
      <c r="V20" s="195"/>
    </row>
    <row r="21" spans="1:22" ht="15" customHeight="1" x14ac:dyDescent="0.25">
      <c r="A21" s="310"/>
      <c r="B21" s="310"/>
      <c r="C21" s="310"/>
      <c r="D21" s="310"/>
      <c r="E21" s="310"/>
      <c r="F21" s="310"/>
      <c r="G21" s="310"/>
      <c r="H21" s="310"/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195"/>
      <c r="T21" s="195"/>
      <c r="U21" s="195"/>
      <c r="V21" s="195"/>
    </row>
    <row r="22" spans="1:22" ht="10.5" customHeight="1" x14ac:dyDescent="0.25">
      <c r="A22" s="310"/>
      <c r="B22" s="310"/>
      <c r="C22" s="310"/>
      <c r="D22" s="310"/>
      <c r="E22" s="310"/>
      <c r="F22" s="310"/>
      <c r="G22" s="310"/>
      <c r="H22" s="310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195"/>
      <c r="T22" s="195"/>
      <c r="U22" s="195"/>
      <c r="V22" s="195"/>
    </row>
    <row r="23" spans="1:22" ht="6" customHeight="1" x14ac:dyDescent="0.25">
      <c r="A23" s="310"/>
      <c r="B23" s="310"/>
      <c r="C23" s="310"/>
      <c r="D23" s="310"/>
      <c r="E23" s="310"/>
      <c r="F23" s="310"/>
      <c r="G23" s="310"/>
      <c r="H23" s="310"/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195"/>
      <c r="T23" s="195"/>
      <c r="U23" s="195"/>
      <c r="V23" s="195"/>
    </row>
    <row r="24" spans="1:22" ht="15" customHeight="1" x14ac:dyDescent="0.25">
      <c r="A24" s="310"/>
      <c r="B24" s="310"/>
      <c r="C24" s="310"/>
      <c r="D24" s="310"/>
      <c r="E24" s="310"/>
      <c r="F24" s="310"/>
      <c r="G24" s="310"/>
      <c r="H24" s="310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195"/>
      <c r="T24" s="195"/>
      <c r="U24" s="195"/>
      <c r="V24" s="195"/>
    </row>
    <row r="25" spans="1:22" ht="12.75" customHeight="1" x14ac:dyDescent="0.25">
      <c r="A25" s="310"/>
      <c r="B25" s="310"/>
      <c r="C25" s="310"/>
      <c r="D25" s="310"/>
      <c r="E25" s="310"/>
      <c r="F25" s="310"/>
      <c r="G25" s="310"/>
      <c r="H25" s="310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195"/>
      <c r="T25" s="195"/>
      <c r="U25" s="195"/>
      <c r="V25" s="195"/>
    </row>
    <row r="26" spans="1:22" ht="15" hidden="1" customHeight="1" x14ac:dyDescent="0.25">
      <c r="A26" s="310"/>
      <c r="B26" s="310"/>
      <c r="C26" s="310"/>
      <c r="D26" s="310"/>
      <c r="E26" s="310"/>
      <c r="F26" s="310"/>
      <c r="G26" s="310"/>
      <c r="H26" s="310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195"/>
      <c r="T26" s="195"/>
      <c r="U26" s="195"/>
      <c r="V26" s="195"/>
    </row>
    <row r="27" spans="1:22" ht="15" customHeight="1" x14ac:dyDescent="0.25">
      <c r="A27" s="310"/>
      <c r="B27" s="310"/>
      <c r="C27" s="310"/>
      <c r="D27" s="310"/>
      <c r="E27" s="310"/>
      <c r="F27" s="310"/>
      <c r="G27" s="310"/>
      <c r="H27" s="310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195"/>
      <c r="T27" s="195"/>
      <c r="U27" s="195"/>
      <c r="V27" s="195"/>
    </row>
    <row r="28" spans="1:22" ht="11.25" customHeight="1" x14ac:dyDescent="0.25">
      <c r="A28" s="310"/>
      <c r="B28" s="310"/>
      <c r="C28" s="310"/>
      <c r="D28" s="310"/>
      <c r="E28" s="310"/>
      <c r="F28" s="310"/>
      <c r="G28" s="310"/>
      <c r="H28" s="310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195"/>
      <c r="T28" s="195"/>
      <c r="U28" s="195"/>
      <c r="V28" s="195"/>
    </row>
    <row r="29" spans="1:22" ht="15" hidden="1" customHeight="1" x14ac:dyDescent="0.25">
      <c r="A29" s="310"/>
      <c r="B29" s="310"/>
      <c r="C29" s="310"/>
      <c r="D29" s="310"/>
      <c r="E29" s="310"/>
      <c r="F29" s="310"/>
      <c r="G29" s="310"/>
      <c r="H29" s="310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195"/>
      <c r="T29" s="195"/>
      <c r="U29" s="195"/>
      <c r="V29" s="195"/>
    </row>
    <row r="30" spans="1:22" ht="15" customHeight="1" x14ac:dyDescent="0.25">
      <c r="A30" s="310"/>
      <c r="B30" s="310"/>
      <c r="C30" s="310"/>
      <c r="D30" s="310"/>
      <c r="E30" s="310"/>
      <c r="F30" s="310"/>
      <c r="G30" s="310"/>
      <c r="H30" s="310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195"/>
      <c r="T30" s="195"/>
      <c r="U30" s="195"/>
      <c r="V30" s="195"/>
    </row>
    <row r="31" spans="1:22" ht="14.25" customHeight="1" x14ac:dyDescent="0.25">
      <c r="A31" s="310"/>
      <c r="B31" s="310"/>
      <c r="C31" s="310"/>
      <c r="D31" s="310"/>
      <c r="E31" s="310"/>
      <c r="F31" s="310"/>
      <c r="G31" s="310"/>
      <c r="H31" s="310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195"/>
      <c r="T31" s="195"/>
      <c r="U31" s="195"/>
      <c r="V31" s="195"/>
    </row>
    <row r="32" spans="1:22" ht="3" hidden="1" customHeight="1" x14ac:dyDescent="0.25">
      <c r="A32" s="310"/>
      <c r="B32" s="310"/>
      <c r="C32" s="310"/>
      <c r="D32" s="310"/>
      <c r="E32" s="310"/>
      <c r="F32" s="310"/>
      <c r="G32" s="310"/>
      <c r="H32" s="310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195"/>
      <c r="T32" s="195"/>
      <c r="U32" s="195"/>
      <c r="V32" s="195"/>
    </row>
    <row r="33" spans="1:22" ht="15" customHeight="1" x14ac:dyDescent="0.25">
      <c r="A33" s="310"/>
      <c r="B33" s="310"/>
      <c r="C33" s="310"/>
      <c r="D33" s="310"/>
      <c r="E33" s="310"/>
      <c r="F33" s="310"/>
      <c r="G33" s="310"/>
      <c r="H33" s="310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195"/>
      <c r="T33" s="195"/>
      <c r="U33" s="195"/>
      <c r="V33" s="195"/>
    </row>
    <row r="34" spans="1:22" ht="6.75" customHeight="1" x14ac:dyDescent="0.25">
      <c r="A34" s="310"/>
      <c r="B34" s="310"/>
      <c r="C34" s="310"/>
      <c r="D34" s="310"/>
      <c r="E34" s="310"/>
      <c r="F34" s="310"/>
      <c r="G34" s="310"/>
      <c r="H34" s="310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195"/>
      <c r="T34" s="195"/>
      <c r="U34" s="195"/>
      <c r="V34" s="195"/>
    </row>
    <row r="35" spans="1:22" ht="6" customHeight="1" x14ac:dyDescent="0.25">
      <c r="A35" s="310"/>
      <c r="B35" s="310"/>
      <c r="C35" s="310"/>
      <c r="D35" s="310"/>
      <c r="E35" s="310"/>
      <c r="F35" s="310"/>
      <c r="G35" s="310"/>
      <c r="H35" s="310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195"/>
      <c r="T35" s="195"/>
      <c r="U35" s="195"/>
      <c r="V35" s="195"/>
    </row>
    <row r="36" spans="1:22" ht="15" customHeight="1" x14ac:dyDescent="0.25">
      <c r="A36" s="310"/>
      <c r="B36" s="310"/>
      <c r="C36" s="310"/>
      <c r="D36" s="310"/>
      <c r="E36" s="310"/>
      <c r="F36" s="310"/>
      <c r="G36" s="310"/>
      <c r="H36" s="310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195"/>
      <c r="T36" s="195"/>
      <c r="U36" s="195"/>
      <c r="V36" s="195"/>
    </row>
    <row r="37" spans="1:22" ht="15" customHeight="1" x14ac:dyDescent="0.25">
      <c r="A37" s="310"/>
      <c r="B37" s="310"/>
      <c r="C37" s="310"/>
      <c r="D37" s="310"/>
      <c r="E37" s="310"/>
      <c r="F37" s="310"/>
      <c r="G37" s="310"/>
      <c r="H37" s="310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195"/>
      <c r="T37" s="195"/>
      <c r="U37" s="195"/>
      <c r="V37" s="195"/>
    </row>
    <row r="38" spans="1:22" ht="3" customHeight="1" x14ac:dyDescent="0.25">
      <c r="A38" s="310"/>
      <c r="B38" s="310"/>
      <c r="C38" s="310"/>
      <c r="D38" s="310"/>
      <c r="E38" s="310"/>
      <c r="F38" s="310"/>
      <c r="G38" s="310"/>
      <c r="H38" s="310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195"/>
      <c r="T38" s="195"/>
      <c r="U38" s="195"/>
      <c r="V38" s="195"/>
    </row>
    <row r="39" spans="1:22" ht="15" customHeight="1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</row>
    <row r="40" spans="1:22" ht="15" customHeight="1" x14ac:dyDescent="0.25"/>
    <row r="41" spans="1:22" ht="15" customHeight="1" x14ac:dyDescent="0.25"/>
    <row r="42" spans="1:22" ht="15" customHeight="1" x14ac:dyDescent="0.25"/>
    <row r="43" spans="1:22" ht="15" customHeight="1" x14ac:dyDescent="0.25"/>
    <row r="44" spans="1:22" ht="15" customHeight="1" x14ac:dyDescent="0.25"/>
    <row r="45" spans="1:22" ht="15" customHeight="1" x14ac:dyDescent="0.25"/>
    <row r="46" spans="1:22" ht="15" customHeight="1" x14ac:dyDescent="0.25"/>
    <row r="47" spans="1:22" ht="15" customHeight="1" x14ac:dyDescent="0.25"/>
    <row r="48" spans="1:22" ht="15" customHeight="1" x14ac:dyDescent="0.25"/>
    <row r="49" spans="1:22" ht="15" customHeight="1" x14ac:dyDescent="0.25"/>
    <row r="50" spans="1:22" ht="15" customHeight="1" x14ac:dyDescent="0.25"/>
    <row r="51" spans="1:22" ht="15" customHeight="1" x14ac:dyDescent="0.25"/>
    <row r="52" spans="1:22" ht="15" customHeight="1" x14ac:dyDescent="0.25"/>
    <row r="53" spans="1:22" ht="15" customHeight="1" x14ac:dyDescent="0.25"/>
    <row r="54" spans="1:22" ht="15" customHeight="1" x14ac:dyDescent="0.25"/>
    <row r="55" spans="1:22" ht="15" customHeight="1" x14ac:dyDescent="0.25"/>
    <row r="57" spans="1:22" ht="7.5" customHeight="1" x14ac:dyDescent="0.25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</row>
    <row r="58" spans="1:22" ht="15" hidden="1" customHeight="1" x14ac:dyDescent="0.25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</row>
    <row r="59" spans="1:22" ht="15" hidden="1" customHeight="1" x14ac:dyDescent="0.25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</row>
    <row r="60" spans="1:22" ht="15" customHeight="1" x14ac:dyDescent="0.25">
      <c r="A60" s="14"/>
      <c r="C60" s="18"/>
      <c r="D60" s="18"/>
      <c r="E60" s="13" t="str">
        <f t="shared" ref="E60:E67" si="0">IF(AND(C60&lt;&gt;"",D60&lt;&gt;""),(D60-C60)*24,"")</f>
        <v/>
      </c>
    </row>
    <row r="61" spans="1:22" ht="15" customHeight="1" x14ac:dyDescent="0.25">
      <c r="A61" s="14"/>
      <c r="C61" s="18"/>
      <c r="D61" s="18"/>
      <c r="E61" s="13" t="str">
        <f t="shared" si="0"/>
        <v/>
      </c>
    </row>
    <row r="62" spans="1:22" ht="15" customHeight="1" x14ac:dyDescent="0.25">
      <c r="A62" s="14"/>
      <c r="C62" s="18"/>
      <c r="D62" s="18"/>
      <c r="E62" s="13" t="str">
        <f t="shared" si="0"/>
        <v/>
      </c>
    </row>
    <row r="63" spans="1:22" ht="15" customHeight="1" x14ac:dyDescent="0.25">
      <c r="A63" s="14"/>
      <c r="C63" s="18"/>
      <c r="D63" s="18"/>
      <c r="E63" s="13" t="str">
        <f t="shared" si="0"/>
        <v/>
      </c>
    </row>
    <row r="64" spans="1:22" ht="15" customHeight="1" x14ac:dyDescent="0.25">
      <c r="A64" s="14"/>
      <c r="C64" s="18"/>
      <c r="D64" s="18"/>
      <c r="E64" s="13" t="str">
        <f t="shared" si="0"/>
        <v/>
      </c>
    </row>
    <row r="65" spans="1:5" ht="15" customHeight="1" x14ac:dyDescent="0.25">
      <c r="A65" s="14"/>
      <c r="C65" s="18"/>
      <c r="D65" s="18"/>
      <c r="E65" s="13" t="str">
        <f t="shared" si="0"/>
        <v/>
      </c>
    </row>
    <row r="66" spans="1:5" ht="15" customHeight="1" x14ac:dyDescent="0.25">
      <c r="A66" s="14"/>
      <c r="C66" s="18"/>
      <c r="D66" s="18"/>
      <c r="E66" s="13" t="str">
        <f t="shared" si="0"/>
        <v/>
      </c>
    </row>
    <row r="67" spans="1:5" ht="15" customHeight="1" x14ac:dyDescent="0.25">
      <c r="A67" s="14"/>
      <c r="C67" s="18"/>
      <c r="D67" s="18"/>
      <c r="E67" s="13" t="str">
        <f t="shared" si="0"/>
        <v/>
      </c>
    </row>
    <row r="68" spans="1:5" ht="15" customHeight="1" x14ac:dyDescent="0.25">
      <c r="A68" s="14"/>
      <c r="C68" s="18"/>
      <c r="D68" s="18"/>
      <c r="E68" s="13" t="str">
        <f t="shared" ref="E68:E99" si="1">IF(AND(C68&lt;&gt;"",D68&lt;&gt;""),(D68-C68)*24,"")</f>
        <v/>
      </c>
    </row>
    <row r="69" spans="1:5" ht="15" customHeight="1" x14ac:dyDescent="0.25">
      <c r="A69" s="14"/>
      <c r="C69" s="18"/>
      <c r="D69" s="18"/>
      <c r="E69" s="13" t="str">
        <f t="shared" si="1"/>
        <v/>
      </c>
    </row>
    <row r="70" spans="1:5" ht="15" customHeight="1" x14ac:dyDescent="0.25">
      <c r="A70" s="14"/>
      <c r="C70" s="18"/>
      <c r="D70" s="18"/>
      <c r="E70" s="13" t="str">
        <f t="shared" si="1"/>
        <v/>
      </c>
    </row>
    <row r="71" spans="1:5" ht="15" customHeight="1" x14ac:dyDescent="0.25">
      <c r="A71" s="14"/>
      <c r="C71" s="18"/>
      <c r="D71" s="18"/>
      <c r="E71" s="13" t="str">
        <f t="shared" si="1"/>
        <v/>
      </c>
    </row>
    <row r="72" spans="1:5" ht="15" customHeight="1" x14ac:dyDescent="0.25">
      <c r="A72" s="14"/>
      <c r="C72" s="18"/>
      <c r="D72" s="18"/>
      <c r="E72" s="13" t="str">
        <f t="shared" si="1"/>
        <v/>
      </c>
    </row>
    <row r="73" spans="1:5" ht="15" customHeight="1" x14ac:dyDescent="0.25">
      <c r="A73" s="14"/>
      <c r="C73" s="18"/>
      <c r="D73" s="18"/>
      <c r="E73" s="13" t="str">
        <f t="shared" si="1"/>
        <v/>
      </c>
    </row>
    <row r="74" spans="1:5" ht="15" customHeight="1" x14ac:dyDescent="0.25">
      <c r="A74" s="14"/>
      <c r="C74" s="18"/>
      <c r="D74" s="18"/>
      <c r="E74" s="13" t="str">
        <f t="shared" si="1"/>
        <v/>
      </c>
    </row>
    <row r="75" spans="1:5" ht="15" customHeight="1" x14ac:dyDescent="0.25">
      <c r="A75" s="14"/>
      <c r="C75" s="18"/>
      <c r="D75" s="18"/>
      <c r="E75" s="13" t="str">
        <f t="shared" si="1"/>
        <v/>
      </c>
    </row>
    <row r="76" spans="1:5" ht="15" customHeight="1" x14ac:dyDescent="0.25">
      <c r="A76" s="14"/>
      <c r="C76" s="18"/>
      <c r="D76" s="18"/>
      <c r="E76" s="13" t="str">
        <f t="shared" si="1"/>
        <v/>
      </c>
    </row>
    <row r="77" spans="1:5" ht="15" customHeight="1" x14ac:dyDescent="0.25">
      <c r="A77" s="14"/>
      <c r="C77" s="18"/>
      <c r="D77" s="18"/>
      <c r="E77" s="13" t="str">
        <f t="shared" si="1"/>
        <v/>
      </c>
    </row>
    <row r="78" spans="1:5" ht="15" customHeight="1" x14ac:dyDescent="0.25">
      <c r="A78" s="14"/>
      <c r="C78" s="18"/>
      <c r="D78" s="18"/>
      <c r="E78" s="13" t="str">
        <f t="shared" si="1"/>
        <v/>
      </c>
    </row>
    <row r="79" spans="1:5" ht="15" customHeight="1" x14ac:dyDescent="0.25">
      <c r="A79" s="14"/>
      <c r="C79" s="18"/>
      <c r="D79" s="18"/>
      <c r="E79" s="13" t="str">
        <f t="shared" si="1"/>
        <v/>
      </c>
    </row>
    <row r="80" spans="1:5" ht="15" customHeight="1" x14ac:dyDescent="0.25">
      <c r="A80" s="14"/>
      <c r="C80" s="18"/>
      <c r="D80" s="18"/>
      <c r="E80" s="13" t="str">
        <f t="shared" si="1"/>
        <v/>
      </c>
    </row>
    <row r="81" spans="1:5" ht="15" customHeight="1" x14ac:dyDescent="0.25">
      <c r="A81" s="14"/>
      <c r="C81" s="18"/>
      <c r="D81" s="18"/>
      <c r="E81" s="13" t="str">
        <f t="shared" si="1"/>
        <v/>
      </c>
    </row>
    <row r="82" spans="1:5" ht="15" customHeight="1" x14ac:dyDescent="0.25">
      <c r="A82" s="14"/>
      <c r="C82" s="18"/>
      <c r="D82" s="18"/>
      <c r="E82" s="13" t="str">
        <f t="shared" si="1"/>
        <v/>
      </c>
    </row>
    <row r="83" spans="1:5" ht="15" customHeight="1" x14ac:dyDescent="0.25">
      <c r="A83" s="14"/>
      <c r="C83" s="18"/>
      <c r="D83" s="18"/>
      <c r="E83" s="13" t="str">
        <f t="shared" si="1"/>
        <v/>
      </c>
    </row>
    <row r="84" spans="1:5" ht="15" customHeight="1" x14ac:dyDescent="0.25">
      <c r="A84" s="14"/>
      <c r="C84" s="18"/>
      <c r="D84" s="18"/>
      <c r="E84" s="13" t="str">
        <f t="shared" si="1"/>
        <v/>
      </c>
    </row>
    <row r="85" spans="1:5" ht="15" customHeight="1" x14ac:dyDescent="0.25">
      <c r="A85" s="14"/>
      <c r="C85" s="18"/>
      <c r="D85" s="18"/>
      <c r="E85" s="13" t="str">
        <f t="shared" si="1"/>
        <v/>
      </c>
    </row>
    <row r="86" spans="1:5" ht="15" customHeight="1" x14ac:dyDescent="0.25">
      <c r="A86" s="14"/>
      <c r="C86" s="18"/>
      <c r="D86" s="18"/>
      <c r="E86" s="13" t="str">
        <f t="shared" si="1"/>
        <v/>
      </c>
    </row>
    <row r="87" spans="1:5" ht="15" customHeight="1" x14ac:dyDescent="0.25">
      <c r="A87" s="14"/>
      <c r="C87" s="18"/>
      <c r="D87" s="18"/>
      <c r="E87" s="13" t="str">
        <f t="shared" si="1"/>
        <v/>
      </c>
    </row>
    <row r="88" spans="1:5" ht="15" customHeight="1" x14ac:dyDescent="0.25">
      <c r="A88" s="14"/>
      <c r="C88" s="18"/>
      <c r="D88" s="18"/>
      <c r="E88" s="13" t="str">
        <f t="shared" si="1"/>
        <v/>
      </c>
    </row>
    <row r="89" spans="1:5" ht="15" customHeight="1" x14ac:dyDescent="0.25">
      <c r="A89" s="14"/>
      <c r="C89" s="18"/>
      <c r="D89" s="18"/>
      <c r="E89" s="13" t="str">
        <f t="shared" si="1"/>
        <v/>
      </c>
    </row>
    <row r="90" spans="1:5" ht="15" customHeight="1" x14ac:dyDescent="0.25">
      <c r="A90" s="14"/>
      <c r="C90" s="18"/>
      <c r="D90" s="18"/>
      <c r="E90" s="13" t="str">
        <f t="shared" si="1"/>
        <v/>
      </c>
    </row>
    <row r="91" spans="1:5" ht="15" customHeight="1" x14ac:dyDescent="0.25">
      <c r="A91" s="14"/>
      <c r="C91" s="18"/>
      <c r="D91" s="18"/>
      <c r="E91" s="13" t="str">
        <f t="shared" si="1"/>
        <v/>
      </c>
    </row>
    <row r="92" spans="1:5" ht="15" customHeight="1" x14ac:dyDescent="0.25">
      <c r="A92" s="14"/>
      <c r="C92" s="18"/>
      <c r="D92" s="18"/>
      <c r="E92" s="13" t="str">
        <f t="shared" si="1"/>
        <v/>
      </c>
    </row>
    <row r="93" spans="1:5" ht="15" customHeight="1" x14ac:dyDescent="0.25">
      <c r="A93" s="14"/>
      <c r="C93" s="18"/>
      <c r="D93" s="18"/>
      <c r="E93" s="13" t="str">
        <f t="shared" si="1"/>
        <v/>
      </c>
    </row>
    <row r="94" spans="1:5" ht="15" customHeight="1" x14ac:dyDescent="0.25">
      <c r="A94" s="14"/>
      <c r="C94" s="18"/>
      <c r="D94" s="18"/>
      <c r="E94" s="13" t="str">
        <f t="shared" si="1"/>
        <v/>
      </c>
    </row>
    <row r="95" spans="1:5" ht="15" customHeight="1" x14ac:dyDescent="0.25">
      <c r="A95" s="14"/>
      <c r="C95" s="18"/>
      <c r="D95" s="18"/>
      <c r="E95" s="13" t="str">
        <f t="shared" si="1"/>
        <v/>
      </c>
    </row>
    <row r="96" spans="1:5" ht="15" customHeight="1" x14ac:dyDescent="0.25">
      <c r="A96" s="14"/>
      <c r="C96" s="18"/>
      <c r="D96" s="18"/>
      <c r="E96" s="13" t="str">
        <f t="shared" si="1"/>
        <v/>
      </c>
    </row>
    <row r="97" spans="1:5" ht="15" customHeight="1" x14ac:dyDescent="0.25">
      <c r="A97" s="14"/>
      <c r="C97" s="18"/>
      <c r="D97" s="18"/>
      <c r="E97" s="13" t="str">
        <f t="shared" si="1"/>
        <v/>
      </c>
    </row>
    <row r="98" spans="1:5" ht="15" customHeight="1" x14ac:dyDescent="0.25">
      <c r="A98" s="14"/>
      <c r="C98" s="18"/>
      <c r="D98" s="18"/>
      <c r="E98" s="13" t="str">
        <f t="shared" si="1"/>
        <v/>
      </c>
    </row>
    <row r="99" spans="1:5" ht="15" customHeight="1" x14ac:dyDescent="0.25">
      <c r="A99" s="14"/>
      <c r="C99" s="18"/>
      <c r="D99" s="18"/>
      <c r="E99" s="13" t="str">
        <f t="shared" si="1"/>
        <v/>
      </c>
    </row>
    <row r="100" spans="1:5" ht="15" customHeight="1" x14ac:dyDescent="0.25">
      <c r="A100" s="14"/>
      <c r="C100" s="18"/>
      <c r="D100" s="18"/>
      <c r="E100" s="13" t="str">
        <f t="shared" ref="E100:E103" si="2">IF(AND(C100&lt;&gt;"",D100&lt;&gt;""),(D100-C100)*24,"")</f>
        <v/>
      </c>
    </row>
    <row r="101" spans="1:5" ht="15" customHeight="1" x14ac:dyDescent="0.25">
      <c r="A101" s="14"/>
      <c r="C101" s="18"/>
      <c r="D101" s="18"/>
      <c r="E101" s="13" t="str">
        <f t="shared" si="2"/>
        <v/>
      </c>
    </row>
    <row r="102" spans="1:5" ht="15" customHeight="1" x14ac:dyDescent="0.25">
      <c r="A102" s="14"/>
      <c r="C102" s="18"/>
      <c r="D102" s="18"/>
      <c r="E102" s="13" t="str">
        <f t="shared" si="2"/>
        <v/>
      </c>
    </row>
    <row r="103" spans="1:5" ht="15" customHeight="1" x14ac:dyDescent="0.25">
      <c r="A103" s="14"/>
      <c r="C103" s="18"/>
      <c r="D103" s="18"/>
      <c r="E103" s="13" t="str">
        <f t="shared" si="2"/>
        <v/>
      </c>
    </row>
  </sheetData>
  <mergeCells count="214">
    <mergeCell ref="A1:G1"/>
    <mergeCell ref="A2:D8"/>
    <mergeCell ref="E2:F3"/>
    <mergeCell ref="G2:H3"/>
    <mergeCell ref="I2:J3"/>
    <mergeCell ref="E4:E6"/>
    <mergeCell ref="F4:F6"/>
    <mergeCell ref="G4:G6"/>
    <mergeCell ref="H4:H6"/>
    <mergeCell ref="I4:I6"/>
    <mergeCell ref="J4:J6"/>
    <mergeCell ref="E7:E8"/>
    <mergeCell ref="F7:F8"/>
    <mergeCell ref="G7:G8"/>
    <mergeCell ref="H7:H8"/>
    <mergeCell ref="I7:I8"/>
    <mergeCell ref="J7:J8"/>
    <mergeCell ref="M2:N3"/>
    <mergeCell ref="O2:P3"/>
    <mergeCell ref="Q2:R3"/>
    <mergeCell ref="S2:V8"/>
    <mergeCell ref="K4:K6"/>
    <mergeCell ref="L4:L6"/>
    <mergeCell ref="M4:M6"/>
    <mergeCell ref="N4:N6"/>
    <mergeCell ref="O4:O6"/>
    <mergeCell ref="P4:P6"/>
    <mergeCell ref="Q4:Q6"/>
    <mergeCell ref="R4:R6"/>
    <mergeCell ref="O7:O8"/>
    <mergeCell ref="P7:P8"/>
    <mergeCell ref="Q7:Q8"/>
    <mergeCell ref="R7:R8"/>
    <mergeCell ref="K7:K8"/>
    <mergeCell ref="L7:L8"/>
    <mergeCell ref="M7:M8"/>
    <mergeCell ref="N7:N8"/>
    <mergeCell ref="E9:E11"/>
    <mergeCell ref="F9:F11"/>
    <mergeCell ref="G9:G11"/>
    <mergeCell ref="H9:H11"/>
    <mergeCell ref="I9:I11"/>
    <mergeCell ref="J9:J11"/>
    <mergeCell ref="K9:K11"/>
    <mergeCell ref="L9:L11"/>
    <mergeCell ref="K2:L3"/>
    <mergeCell ref="S9:V11"/>
    <mergeCell ref="A12:D14"/>
    <mergeCell ref="E12:E14"/>
    <mergeCell ref="F12:F14"/>
    <mergeCell ref="G12:G14"/>
    <mergeCell ref="H12:H14"/>
    <mergeCell ref="I12:I14"/>
    <mergeCell ref="J12:J14"/>
    <mergeCell ref="K12:K14"/>
    <mergeCell ref="L12:L14"/>
    <mergeCell ref="M12:M14"/>
    <mergeCell ref="N12:N14"/>
    <mergeCell ref="O12:O14"/>
    <mergeCell ref="P12:P14"/>
    <mergeCell ref="Q12:Q14"/>
    <mergeCell ref="R12:R14"/>
    <mergeCell ref="S12:V14"/>
    <mergeCell ref="M9:M11"/>
    <mergeCell ref="N9:N11"/>
    <mergeCell ref="O9:O11"/>
    <mergeCell ref="P9:P11"/>
    <mergeCell ref="Q9:Q11"/>
    <mergeCell ref="R9:R11"/>
    <mergeCell ref="A9:D11"/>
    <mergeCell ref="N15:N17"/>
    <mergeCell ref="O15:O17"/>
    <mergeCell ref="P15:P17"/>
    <mergeCell ref="Q15:Q17"/>
    <mergeCell ref="R15:R17"/>
    <mergeCell ref="S15:V17"/>
    <mergeCell ref="A18:D20"/>
    <mergeCell ref="E18:E20"/>
    <mergeCell ref="F18:F20"/>
    <mergeCell ref="G18:G20"/>
    <mergeCell ref="H18:H20"/>
    <mergeCell ref="I18:I20"/>
    <mergeCell ref="J18:J20"/>
    <mergeCell ref="K18:K20"/>
    <mergeCell ref="L18:L20"/>
    <mergeCell ref="M18:M20"/>
    <mergeCell ref="N18:N20"/>
    <mergeCell ref="O18:O20"/>
    <mergeCell ref="P18:P20"/>
    <mergeCell ref="Q18:Q20"/>
    <mergeCell ref="R18:R20"/>
    <mergeCell ref="S18:V20"/>
    <mergeCell ref="A15:D17"/>
    <mergeCell ref="E15:E17"/>
    <mergeCell ref="F21:F23"/>
    <mergeCell ref="G21:G23"/>
    <mergeCell ref="H21:H23"/>
    <mergeCell ref="I21:I23"/>
    <mergeCell ref="J21:J23"/>
    <mergeCell ref="K21:K23"/>
    <mergeCell ref="L21:L23"/>
    <mergeCell ref="M15:M17"/>
    <mergeCell ref="F15:F17"/>
    <mergeCell ref="G15:G17"/>
    <mergeCell ref="H15:H17"/>
    <mergeCell ref="I15:I17"/>
    <mergeCell ref="J15:J17"/>
    <mergeCell ref="K15:K17"/>
    <mergeCell ref="L15:L17"/>
    <mergeCell ref="M21:M23"/>
    <mergeCell ref="N21:N23"/>
    <mergeCell ref="O21:O23"/>
    <mergeCell ref="P21:P23"/>
    <mergeCell ref="Q21:Q23"/>
    <mergeCell ref="R21:R23"/>
    <mergeCell ref="S21:V23"/>
    <mergeCell ref="A24:D26"/>
    <mergeCell ref="E24:E26"/>
    <mergeCell ref="F24:F26"/>
    <mergeCell ref="G24:G26"/>
    <mergeCell ref="H24:H26"/>
    <mergeCell ref="I24:I26"/>
    <mergeCell ref="J24:J26"/>
    <mergeCell ref="K24:K26"/>
    <mergeCell ref="L24:L26"/>
    <mergeCell ref="M24:M26"/>
    <mergeCell ref="N24:N26"/>
    <mergeCell ref="O24:O26"/>
    <mergeCell ref="P24:P26"/>
    <mergeCell ref="Q24:Q26"/>
    <mergeCell ref="R24:R26"/>
    <mergeCell ref="S24:V26"/>
    <mergeCell ref="A21:D23"/>
    <mergeCell ref="E21:E23"/>
    <mergeCell ref="N27:N29"/>
    <mergeCell ref="O27:O29"/>
    <mergeCell ref="P27:P29"/>
    <mergeCell ref="Q27:Q29"/>
    <mergeCell ref="R27:R29"/>
    <mergeCell ref="S27:V29"/>
    <mergeCell ref="A30:D32"/>
    <mergeCell ref="E30:E32"/>
    <mergeCell ref="F30:F32"/>
    <mergeCell ref="G30:G32"/>
    <mergeCell ref="H30:H32"/>
    <mergeCell ref="I30:I32"/>
    <mergeCell ref="J30:J32"/>
    <mergeCell ref="K30:K32"/>
    <mergeCell ref="L30:L32"/>
    <mergeCell ref="M30:M32"/>
    <mergeCell ref="N30:N32"/>
    <mergeCell ref="O30:O32"/>
    <mergeCell ref="P30:P32"/>
    <mergeCell ref="Q30:Q32"/>
    <mergeCell ref="R30:R32"/>
    <mergeCell ref="S30:V32"/>
    <mergeCell ref="A27:D29"/>
    <mergeCell ref="E27:E29"/>
    <mergeCell ref="F33:F35"/>
    <mergeCell ref="G33:G35"/>
    <mergeCell ref="H33:H35"/>
    <mergeCell ref="I33:I35"/>
    <mergeCell ref="J33:J35"/>
    <mergeCell ref="K33:K35"/>
    <mergeCell ref="L33:L35"/>
    <mergeCell ref="M27:M29"/>
    <mergeCell ref="F27:F29"/>
    <mergeCell ref="G27:G29"/>
    <mergeCell ref="H27:H29"/>
    <mergeCell ref="I27:I29"/>
    <mergeCell ref="J27:J29"/>
    <mergeCell ref="K27:K29"/>
    <mergeCell ref="L27:L29"/>
    <mergeCell ref="M33:M35"/>
    <mergeCell ref="N33:N35"/>
    <mergeCell ref="O33:O35"/>
    <mergeCell ref="P33:P35"/>
    <mergeCell ref="Q33:Q35"/>
    <mergeCell ref="R33:R35"/>
    <mergeCell ref="S36:V38"/>
    <mergeCell ref="S33:V35"/>
    <mergeCell ref="A36:D38"/>
    <mergeCell ref="E36:E38"/>
    <mergeCell ref="F36:F38"/>
    <mergeCell ref="G36:G38"/>
    <mergeCell ref="H36:H38"/>
    <mergeCell ref="I36:I38"/>
    <mergeCell ref="J36:J38"/>
    <mergeCell ref="K36:K38"/>
    <mergeCell ref="L36:L38"/>
    <mergeCell ref="M36:M38"/>
    <mergeCell ref="N36:N38"/>
    <mergeCell ref="O36:O38"/>
    <mergeCell ref="P36:P38"/>
    <mergeCell ref="Q36:Q38"/>
    <mergeCell ref="R36:R38"/>
    <mergeCell ref="A33:D35"/>
    <mergeCell ref="E33:E35"/>
    <mergeCell ref="S57:V59"/>
    <mergeCell ref="A57:D59"/>
    <mergeCell ref="E57:E59"/>
    <mergeCell ref="F57:F59"/>
    <mergeCell ref="G57:G59"/>
    <mergeCell ref="H57:H59"/>
    <mergeCell ref="I57:I59"/>
    <mergeCell ref="J57:J59"/>
    <mergeCell ref="K57:K59"/>
    <mergeCell ref="L57:L59"/>
    <mergeCell ref="M57:M59"/>
    <mergeCell ref="N57:N59"/>
    <mergeCell ref="O57:O59"/>
    <mergeCell ref="P57:P59"/>
    <mergeCell ref="Q57:Q59"/>
    <mergeCell ref="R57:R59"/>
  </mergeCells>
  <dataValidations disablePrompts="1" count="2">
    <dataValidation type="list" allowBlank="1" error="يرجى اختيار موظف من القائمة" sqref="B60:B103" xr:uid="{00000000-0002-0000-0800-000000000000}">
      <formula1>INDIRECT("الموظفين!$B$4:$B$23")</formula1>
      <formula2>0</formula2>
    </dataValidation>
    <dataValidation type="list" allowBlank="1" error="يرجى اختيار موظف من القائمة" sqref="B3:B38 B57:B59" xr:uid="{B609DC3A-E653-42E7-A59F-62430741E1DC}">
      <formula1>INDIRECT("الموظفين!$B$4:$B$23")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zoomScaleNormal="100" workbookViewId="0">
      <selection activeCell="P32" sqref="P32"/>
    </sheetView>
  </sheetViews>
  <sheetFormatPr defaultColWidth="8.5703125"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customHeight="1" x14ac:dyDescent="0.25">
      <c r="A1" s="264" t="s">
        <v>58</v>
      </c>
      <c r="B1" s="264"/>
      <c r="C1" s="264"/>
      <c r="D1" s="264"/>
      <c r="E1" s="264"/>
      <c r="F1" s="264"/>
      <c r="G1" s="264"/>
      <c r="H1" s="264"/>
    </row>
    <row r="2" spans="1:8" ht="15" customHeight="1" x14ac:dyDescent="0.25">
      <c r="A2" t="s">
        <v>59</v>
      </c>
    </row>
    <row r="4" spans="1:8" ht="15" customHeight="1" x14ac:dyDescent="0.25">
      <c r="A4" s="3" t="s">
        <v>1</v>
      </c>
      <c r="B4" s="3" t="s">
        <v>60</v>
      </c>
      <c r="C4" s="3" t="s">
        <v>61</v>
      </c>
      <c r="D4" s="3" t="s">
        <v>62</v>
      </c>
      <c r="E4" s="3" t="s">
        <v>63</v>
      </c>
      <c r="F4" s="3" t="s">
        <v>64</v>
      </c>
      <c r="G4" s="3" t="s">
        <v>65</v>
      </c>
      <c r="H4" s="3" t="s">
        <v>66</v>
      </c>
    </row>
    <row r="5" spans="1:8" ht="15" customHeight="1" x14ac:dyDescent="0.25">
      <c r="A5">
        <v>1</v>
      </c>
      <c r="B5" t="s">
        <v>67</v>
      </c>
      <c r="C5" s="1"/>
      <c r="D5" s="1"/>
      <c r="E5" s="1"/>
      <c r="F5" s="1"/>
      <c r="G5" s="1">
        <f t="shared" ref="G5:G19" si="0">IF(D5=0,0,D5+E5-F5)</f>
        <v>0</v>
      </c>
      <c r="H5" s="1">
        <f t="shared" ref="H5:H19" si="1">IF(G5=0,0,G5*C5)</f>
        <v>0</v>
      </c>
    </row>
    <row r="6" spans="1:8" ht="15" customHeight="1" x14ac:dyDescent="0.25">
      <c r="A6">
        <v>2</v>
      </c>
      <c r="B6" t="s">
        <v>68</v>
      </c>
      <c r="C6" s="1"/>
      <c r="D6" s="1"/>
      <c r="E6" s="1"/>
      <c r="F6" s="1"/>
      <c r="G6" s="1">
        <f t="shared" si="0"/>
        <v>0</v>
      </c>
      <c r="H6" s="1">
        <f t="shared" si="1"/>
        <v>0</v>
      </c>
    </row>
    <row r="7" spans="1:8" ht="15" customHeight="1" x14ac:dyDescent="0.25">
      <c r="A7">
        <v>3</v>
      </c>
      <c r="B7" t="s">
        <v>69</v>
      </c>
      <c r="C7" s="1"/>
      <c r="D7" s="1"/>
      <c r="E7" s="1"/>
      <c r="F7" s="1"/>
      <c r="G7" s="1">
        <f t="shared" si="0"/>
        <v>0</v>
      </c>
      <c r="H7" s="1">
        <f t="shared" si="1"/>
        <v>0</v>
      </c>
    </row>
    <row r="8" spans="1:8" ht="15" customHeight="1" x14ac:dyDescent="0.25">
      <c r="A8">
        <v>4</v>
      </c>
      <c r="B8" t="s">
        <v>70</v>
      </c>
      <c r="C8" s="1"/>
      <c r="D8" s="1"/>
      <c r="E8" s="1"/>
      <c r="F8" s="1"/>
      <c r="G8" s="1">
        <f t="shared" si="0"/>
        <v>0</v>
      </c>
      <c r="H8" s="1">
        <f t="shared" si="1"/>
        <v>0</v>
      </c>
    </row>
    <row r="9" spans="1:8" ht="15" customHeight="1" x14ac:dyDescent="0.25">
      <c r="A9">
        <v>5</v>
      </c>
      <c r="B9" t="s">
        <v>71</v>
      </c>
      <c r="C9" s="1"/>
      <c r="D9" s="1"/>
      <c r="E9" s="1"/>
      <c r="F9" s="1"/>
      <c r="G9" s="1">
        <f t="shared" si="0"/>
        <v>0</v>
      </c>
      <c r="H9" s="1">
        <f t="shared" si="1"/>
        <v>0</v>
      </c>
    </row>
    <row r="10" spans="1:8" ht="15" customHeight="1" x14ac:dyDescent="0.25">
      <c r="A10">
        <v>6</v>
      </c>
      <c r="B10" t="s">
        <v>42</v>
      </c>
      <c r="C10" s="1"/>
      <c r="D10" s="1"/>
      <c r="E10" s="1"/>
      <c r="F10" s="1"/>
      <c r="G10" s="1">
        <f t="shared" si="0"/>
        <v>0</v>
      </c>
      <c r="H10" s="1">
        <f t="shared" si="1"/>
        <v>0</v>
      </c>
    </row>
    <row r="11" spans="1:8" ht="15" customHeight="1" x14ac:dyDescent="0.25">
      <c r="A11">
        <v>7</v>
      </c>
      <c r="B11" t="s">
        <v>72</v>
      </c>
      <c r="C11" s="1"/>
      <c r="D11" s="1"/>
      <c r="E11" s="1"/>
      <c r="F11" s="1"/>
      <c r="G11" s="1">
        <f t="shared" si="0"/>
        <v>0</v>
      </c>
      <c r="H11" s="1">
        <f t="shared" si="1"/>
        <v>0</v>
      </c>
    </row>
    <row r="12" spans="1:8" ht="15" customHeight="1" x14ac:dyDescent="0.25">
      <c r="A12">
        <v>8</v>
      </c>
      <c r="B12" t="s">
        <v>73</v>
      </c>
      <c r="C12" s="1"/>
      <c r="D12" s="1"/>
      <c r="E12" s="1"/>
      <c r="F12" s="1"/>
      <c r="G12" s="1">
        <f t="shared" si="0"/>
        <v>0</v>
      </c>
      <c r="H12" s="1">
        <f t="shared" si="1"/>
        <v>0</v>
      </c>
    </row>
    <row r="13" spans="1:8" ht="15" customHeight="1" x14ac:dyDescent="0.25">
      <c r="A13">
        <v>9</v>
      </c>
      <c r="B13" t="s">
        <v>74</v>
      </c>
      <c r="C13" s="1"/>
      <c r="D13" s="1"/>
      <c r="E13" s="1"/>
      <c r="F13" s="1"/>
      <c r="G13" s="1">
        <f t="shared" si="0"/>
        <v>0</v>
      </c>
      <c r="H13" s="1">
        <f t="shared" si="1"/>
        <v>0</v>
      </c>
    </row>
    <row r="14" spans="1:8" ht="15" customHeight="1" x14ac:dyDescent="0.25">
      <c r="A14">
        <v>10</v>
      </c>
      <c r="B14" t="s">
        <v>75</v>
      </c>
      <c r="C14" s="1"/>
      <c r="D14" s="1"/>
      <c r="E14" s="1"/>
      <c r="F14" s="1"/>
      <c r="G14" s="1">
        <f t="shared" si="0"/>
        <v>0</v>
      </c>
      <c r="H14" s="1">
        <f t="shared" si="1"/>
        <v>0</v>
      </c>
    </row>
    <row r="15" spans="1:8" ht="15" customHeight="1" x14ac:dyDescent="0.25">
      <c r="A15">
        <v>11</v>
      </c>
      <c r="B15" t="s">
        <v>76</v>
      </c>
      <c r="C15" s="1"/>
      <c r="D15" s="1"/>
      <c r="E15" s="1"/>
      <c r="F15" s="1"/>
      <c r="G15" s="1">
        <f t="shared" si="0"/>
        <v>0</v>
      </c>
      <c r="H15" s="1">
        <f t="shared" si="1"/>
        <v>0</v>
      </c>
    </row>
    <row r="16" spans="1:8" ht="15" customHeight="1" x14ac:dyDescent="0.25">
      <c r="A16">
        <v>12</v>
      </c>
      <c r="B16" t="s">
        <v>77</v>
      </c>
      <c r="C16" s="1"/>
      <c r="D16" s="1"/>
      <c r="E16" s="1"/>
      <c r="F16" s="1"/>
      <c r="G16" s="1">
        <f t="shared" si="0"/>
        <v>0</v>
      </c>
      <c r="H16" s="1">
        <f t="shared" si="1"/>
        <v>0</v>
      </c>
    </row>
    <row r="17" spans="1:8" ht="15" customHeight="1" x14ac:dyDescent="0.25">
      <c r="A17">
        <v>13</v>
      </c>
      <c r="B17" t="s">
        <v>78</v>
      </c>
      <c r="C17" s="1"/>
      <c r="D17" s="1"/>
      <c r="E17" s="1"/>
      <c r="F17" s="1"/>
      <c r="G17" s="1">
        <f t="shared" si="0"/>
        <v>0</v>
      </c>
      <c r="H17" s="1">
        <f t="shared" si="1"/>
        <v>0</v>
      </c>
    </row>
    <row r="18" spans="1:8" ht="15" customHeight="1" x14ac:dyDescent="0.25">
      <c r="A18">
        <v>14</v>
      </c>
      <c r="B18" t="s">
        <v>79</v>
      </c>
      <c r="C18" s="1"/>
      <c r="D18" s="1"/>
      <c r="E18" s="1"/>
      <c r="F18" s="1"/>
      <c r="G18" s="1">
        <f t="shared" si="0"/>
        <v>0</v>
      </c>
      <c r="H18" s="1">
        <f t="shared" si="1"/>
        <v>0</v>
      </c>
    </row>
    <row r="19" spans="1:8" ht="15" customHeight="1" x14ac:dyDescent="0.25">
      <c r="A19">
        <v>15</v>
      </c>
      <c r="B19" t="s">
        <v>80</v>
      </c>
      <c r="C19" s="1"/>
      <c r="D19" s="1"/>
      <c r="E19" s="1"/>
      <c r="F19" s="1"/>
      <c r="G19" s="1">
        <f t="shared" si="0"/>
        <v>0</v>
      </c>
      <c r="H19" s="1">
        <f t="shared" si="1"/>
        <v>0</v>
      </c>
    </row>
    <row r="20" spans="1:8" ht="15" customHeight="1" x14ac:dyDescent="0.25">
      <c r="A20" s="19" t="s">
        <v>32</v>
      </c>
      <c r="B20" s="20"/>
      <c r="C20" s="20"/>
      <c r="D20" s="21">
        <f>SUM(D5:D19)</f>
        <v>0</v>
      </c>
      <c r="E20" s="21">
        <f>SUM(E5:E19)</f>
        <v>0</v>
      </c>
      <c r="F20" s="21">
        <f>SUM(F5:F19)</f>
        <v>0</v>
      </c>
      <c r="G20" s="21">
        <f>SUM(G5:G19)</f>
        <v>0</v>
      </c>
      <c r="H20" s="21">
        <f>SUM(H5:H19)</f>
        <v>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topLeftCell="B1" zoomScaleNormal="100" workbookViewId="0">
      <selection activeCell="J3" sqref="J3"/>
    </sheetView>
  </sheetViews>
  <sheetFormatPr defaultColWidth="8.5703125"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customHeight="1" x14ac:dyDescent="0.25">
      <c r="A1" s="264" t="s">
        <v>81</v>
      </c>
      <c r="B1" s="264"/>
      <c r="C1" s="264"/>
      <c r="D1" s="264"/>
      <c r="E1" s="264"/>
      <c r="F1" s="264"/>
      <c r="G1" s="264"/>
    </row>
    <row r="3" spans="1:7" ht="15" customHeight="1" x14ac:dyDescent="0.25">
      <c r="A3" s="3" t="s">
        <v>26</v>
      </c>
      <c r="B3" s="3" t="s">
        <v>82</v>
      </c>
      <c r="C3" s="3" t="s">
        <v>83</v>
      </c>
      <c r="D3" s="3" t="s">
        <v>84</v>
      </c>
      <c r="E3" s="3" t="s">
        <v>85</v>
      </c>
      <c r="F3" s="3" t="s">
        <v>86</v>
      </c>
      <c r="G3" s="3" t="s">
        <v>31</v>
      </c>
    </row>
    <row r="4" spans="1:7" ht="15" customHeight="1" x14ac:dyDescent="0.25">
      <c r="A4" s="14"/>
      <c r="C4" s="1"/>
      <c r="D4" s="1"/>
      <c r="E4" s="1">
        <f t="shared" ref="E4:E35" si="0">IF(C4*D4=0,0,C4-D4)</f>
        <v>0</v>
      </c>
      <c r="F4" t="str">
        <f t="shared" ref="F4:F35" si="1">IF(C4=0,"",IF(E4=0,"مطابق","فيه فرق"))</f>
        <v/>
      </c>
    </row>
    <row r="5" spans="1:7" ht="15" customHeight="1" x14ac:dyDescent="0.25">
      <c r="A5" s="14"/>
      <c r="C5" s="1"/>
      <c r="D5" s="1"/>
      <c r="E5" s="1">
        <f t="shared" si="0"/>
        <v>0</v>
      </c>
      <c r="F5" t="str">
        <f t="shared" si="1"/>
        <v/>
      </c>
    </row>
    <row r="6" spans="1:7" ht="15" customHeight="1" x14ac:dyDescent="0.25">
      <c r="A6" s="14"/>
      <c r="C6" s="1"/>
      <c r="D6" s="1"/>
      <c r="E6" s="1">
        <f t="shared" si="0"/>
        <v>0</v>
      </c>
      <c r="F6" t="str">
        <f t="shared" si="1"/>
        <v/>
      </c>
    </row>
    <row r="7" spans="1:7" ht="15" customHeight="1" x14ac:dyDescent="0.25">
      <c r="A7" s="14"/>
      <c r="C7" s="1"/>
      <c r="D7" s="1"/>
      <c r="E7" s="1">
        <f t="shared" si="0"/>
        <v>0</v>
      </c>
      <c r="F7" t="str">
        <f t="shared" si="1"/>
        <v/>
      </c>
    </row>
    <row r="8" spans="1:7" ht="15" customHeight="1" x14ac:dyDescent="0.25">
      <c r="A8" s="14"/>
      <c r="C8" s="1"/>
      <c r="D8" s="1"/>
      <c r="E8" s="1">
        <f t="shared" si="0"/>
        <v>0</v>
      </c>
      <c r="F8" t="str">
        <f t="shared" si="1"/>
        <v/>
      </c>
    </row>
    <row r="9" spans="1:7" ht="15" customHeight="1" x14ac:dyDescent="0.25">
      <c r="A9" s="14"/>
      <c r="C9" s="1"/>
      <c r="D9" s="1"/>
      <c r="E9" s="1">
        <f t="shared" si="0"/>
        <v>0</v>
      </c>
      <c r="F9" t="str">
        <f t="shared" si="1"/>
        <v/>
      </c>
    </row>
    <row r="10" spans="1:7" ht="15" customHeight="1" x14ac:dyDescent="0.25">
      <c r="A10" s="14"/>
      <c r="C10" s="1"/>
      <c r="D10" s="1"/>
      <c r="E10" s="1">
        <f t="shared" si="0"/>
        <v>0</v>
      </c>
      <c r="F10" t="str">
        <f t="shared" si="1"/>
        <v/>
      </c>
    </row>
    <row r="11" spans="1:7" ht="15" customHeight="1" x14ac:dyDescent="0.25">
      <c r="A11" s="14"/>
      <c r="C11" s="1"/>
      <c r="D11" s="1"/>
      <c r="E11" s="1">
        <f t="shared" si="0"/>
        <v>0</v>
      </c>
      <c r="F11" t="str">
        <f t="shared" si="1"/>
        <v/>
      </c>
    </row>
    <row r="12" spans="1:7" ht="15" customHeight="1" x14ac:dyDescent="0.25">
      <c r="A12" s="14"/>
      <c r="C12" s="1"/>
      <c r="D12" s="1"/>
      <c r="E12" s="1">
        <f t="shared" si="0"/>
        <v>0</v>
      </c>
      <c r="F12" t="str">
        <f t="shared" si="1"/>
        <v/>
      </c>
    </row>
    <row r="13" spans="1:7" ht="15" customHeight="1" x14ac:dyDescent="0.25">
      <c r="A13" s="14"/>
      <c r="C13" s="1"/>
      <c r="D13" s="1"/>
      <c r="E13" s="1">
        <f t="shared" si="0"/>
        <v>0</v>
      </c>
      <c r="F13" t="str">
        <f t="shared" si="1"/>
        <v/>
      </c>
    </row>
    <row r="14" spans="1:7" ht="15" customHeight="1" x14ac:dyDescent="0.25">
      <c r="A14" s="14"/>
      <c r="C14" s="1"/>
      <c r="D14" s="1"/>
      <c r="E14" s="1">
        <f t="shared" si="0"/>
        <v>0</v>
      </c>
      <c r="F14" t="str">
        <f t="shared" si="1"/>
        <v/>
      </c>
    </row>
    <row r="15" spans="1:7" ht="15" customHeight="1" x14ac:dyDescent="0.25">
      <c r="A15" s="14"/>
      <c r="C15" s="1"/>
      <c r="D15" s="1"/>
      <c r="E15" s="1">
        <f t="shared" si="0"/>
        <v>0</v>
      </c>
      <c r="F15" t="str">
        <f t="shared" si="1"/>
        <v/>
      </c>
    </row>
    <row r="16" spans="1:7" ht="15" customHeight="1" x14ac:dyDescent="0.25">
      <c r="A16" s="14"/>
      <c r="C16" s="1"/>
      <c r="D16" s="1"/>
      <c r="E16" s="1">
        <f t="shared" si="0"/>
        <v>0</v>
      </c>
      <c r="F16" t="str">
        <f t="shared" si="1"/>
        <v/>
      </c>
    </row>
    <row r="17" spans="1:6" ht="15" customHeight="1" x14ac:dyDescent="0.25">
      <c r="A17" s="14"/>
      <c r="C17" s="1"/>
      <c r="D17" s="1"/>
      <c r="E17" s="1">
        <f t="shared" si="0"/>
        <v>0</v>
      </c>
      <c r="F17" t="str">
        <f t="shared" si="1"/>
        <v/>
      </c>
    </row>
    <row r="18" spans="1:6" ht="15" customHeight="1" x14ac:dyDescent="0.25">
      <c r="A18" s="14"/>
      <c r="C18" s="1"/>
      <c r="D18" s="1"/>
      <c r="E18" s="1">
        <f t="shared" si="0"/>
        <v>0</v>
      </c>
      <c r="F18" t="str">
        <f t="shared" si="1"/>
        <v/>
      </c>
    </row>
    <row r="19" spans="1:6" ht="15" customHeight="1" x14ac:dyDescent="0.25">
      <c r="A19" s="14"/>
      <c r="C19" s="1"/>
      <c r="D19" s="1"/>
      <c r="E19" s="1">
        <f t="shared" si="0"/>
        <v>0</v>
      </c>
      <c r="F19" t="str">
        <f t="shared" si="1"/>
        <v/>
      </c>
    </row>
    <row r="20" spans="1:6" ht="15" customHeight="1" x14ac:dyDescent="0.25">
      <c r="A20" s="14"/>
      <c r="C20" s="1"/>
      <c r="D20" s="1"/>
      <c r="E20" s="1">
        <f t="shared" si="0"/>
        <v>0</v>
      </c>
      <c r="F20" t="str">
        <f t="shared" si="1"/>
        <v/>
      </c>
    </row>
    <row r="21" spans="1:6" ht="15" customHeight="1" x14ac:dyDescent="0.25">
      <c r="A21" s="14"/>
      <c r="C21" s="1"/>
      <c r="D21" s="1"/>
      <c r="E21" s="1">
        <f t="shared" si="0"/>
        <v>0</v>
      </c>
      <c r="F21" t="str">
        <f t="shared" si="1"/>
        <v/>
      </c>
    </row>
    <row r="22" spans="1:6" ht="15" customHeight="1" x14ac:dyDescent="0.25">
      <c r="A22" s="14"/>
      <c r="C22" s="1"/>
      <c r="D22" s="1"/>
      <c r="E22" s="1">
        <f t="shared" si="0"/>
        <v>0</v>
      </c>
      <c r="F22" t="str">
        <f t="shared" si="1"/>
        <v/>
      </c>
    </row>
    <row r="23" spans="1:6" ht="15" customHeight="1" x14ac:dyDescent="0.25">
      <c r="A23" s="14"/>
      <c r="C23" s="1"/>
      <c r="D23" s="1"/>
      <c r="E23" s="1">
        <f t="shared" si="0"/>
        <v>0</v>
      </c>
      <c r="F23" t="str">
        <f t="shared" si="1"/>
        <v/>
      </c>
    </row>
    <row r="24" spans="1:6" ht="15" customHeight="1" x14ac:dyDescent="0.25">
      <c r="A24" s="14"/>
      <c r="C24" s="1"/>
      <c r="D24" s="1"/>
      <c r="E24" s="1">
        <f t="shared" si="0"/>
        <v>0</v>
      </c>
      <c r="F24" t="str">
        <f t="shared" si="1"/>
        <v/>
      </c>
    </row>
    <row r="25" spans="1:6" ht="15" customHeight="1" x14ac:dyDescent="0.25">
      <c r="A25" s="14"/>
      <c r="C25" s="1"/>
      <c r="D25" s="1"/>
      <c r="E25" s="1">
        <f t="shared" si="0"/>
        <v>0</v>
      </c>
      <c r="F25" t="str">
        <f t="shared" si="1"/>
        <v/>
      </c>
    </row>
    <row r="26" spans="1:6" ht="15" customHeight="1" x14ac:dyDescent="0.25">
      <c r="A26" s="14"/>
      <c r="C26" s="1"/>
      <c r="D26" s="1"/>
      <c r="E26" s="1">
        <f t="shared" si="0"/>
        <v>0</v>
      </c>
      <c r="F26" t="str">
        <f t="shared" si="1"/>
        <v/>
      </c>
    </row>
    <row r="27" spans="1:6" ht="15" customHeight="1" x14ac:dyDescent="0.25">
      <c r="A27" s="14"/>
      <c r="C27" s="1"/>
      <c r="D27" s="1"/>
      <c r="E27" s="1">
        <f t="shared" si="0"/>
        <v>0</v>
      </c>
      <c r="F27" t="str">
        <f t="shared" si="1"/>
        <v/>
      </c>
    </row>
    <row r="28" spans="1:6" ht="15" customHeight="1" x14ac:dyDescent="0.25">
      <c r="A28" s="14"/>
      <c r="C28" s="1"/>
      <c r="D28" s="1"/>
      <c r="E28" s="1">
        <f t="shared" si="0"/>
        <v>0</v>
      </c>
      <c r="F28" t="str">
        <f t="shared" si="1"/>
        <v/>
      </c>
    </row>
    <row r="29" spans="1:6" ht="15" customHeight="1" x14ac:dyDescent="0.25">
      <c r="A29" s="14"/>
      <c r="C29" s="1"/>
      <c r="D29" s="1"/>
      <c r="E29" s="1">
        <f t="shared" si="0"/>
        <v>0</v>
      </c>
      <c r="F29" t="str">
        <f t="shared" si="1"/>
        <v/>
      </c>
    </row>
    <row r="30" spans="1:6" ht="15" customHeight="1" x14ac:dyDescent="0.25">
      <c r="A30" s="14"/>
      <c r="C30" s="1"/>
      <c r="D30" s="1"/>
      <c r="E30" s="1">
        <f t="shared" si="0"/>
        <v>0</v>
      </c>
      <c r="F30" t="str">
        <f t="shared" si="1"/>
        <v/>
      </c>
    </row>
    <row r="31" spans="1:6" ht="15" customHeight="1" x14ac:dyDescent="0.25">
      <c r="A31" s="14"/>
      <c r="C31" s="1"/>
      <c r="D31" s="1"/>
      <c r="E31" s="1">
        <f t="shared" si="0"/>
        <v>0</v>
      </c>
      <c r="F31" t="str">
        <f t="shared" si="1"/>
        <v/>
      </c>
    </row>
    <row r="32" spans="1:6" ht="15" customHeight="1" x14ac:dyDescent="0.25">
      <c r="A32" s="14"/>
      <c r="C32" s="1"/>
      <c r="D32" s="1"/>
      <c r="E32" s="1">
        <f t="shared" si="0"/>
        <v>0</v>
      </c>
      <c r="F32" t="str">
        <f t="shared" si="1"/>
        <v/>
      </c>
    </row>
    <row r="33" spans="1:6" ht="15" customHeight="1" x14ac:dyDescent="0.25">
      <c r="A33" s="14"/>
      <c r="C33" s="1"/>
      <c r="D33" s="1"/>
      <c r="E33" s="1">
        <f t="shared" si="0"/>
        <v>0</v>
      </c>
      <c r="F33" t="str">
        <f t="shared" si="1"/>
        <v/>
      </c>
    </row>
    <row r="34" spans="1:6" ht="15" customHeight="1" x14ac:dyDescent="0.25">
      <c r="A34" s="14"/>
      <c r="C34" s="1"/>
      <c r="D34" s="1"/>
      <c r="E34" s="1">
        <f t="shared" si="0"/>
        <v>0</v>
      </c>
      <c r="F34" t="str">
        <f t="shared" si="1"/>
        <v/>
      </c>
    </row>
    <row r="35" spans="1:6" ht="15" customHeight="1" x14ac:dyDescent="0.25">
      <c r="A35" s="14"/>
      <c r="C35" s="1"/>
      <c r="D35" s="1"/>
      <c r="E35" s="1">
        <f t="shared" si="0"/>
        <v>0</v>
      </c>
      <c r="F35" t="str">
        <f t="shared" si="1"/>
        <v/>
      </c>
    </row>
    <row r="36" spans="1:6" ht="15" customHeight="1" x14ac:dyDescent="0.25">
      <c r="A36" s="14"/>
      <c r="C36" s="1"/>
      <c r="D36" s="1"/>
      <c r="E36" s="1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ht="15" customHeight="1" x14ac:dyDescent="0.25">
      <c r="A37" s="14"/>
      <c r="C37" s="1"/>
      <c r="D37" s="1"/>
      <c r="E37" s="1">
        <f t="shared" si="2"/>
        <v>0</v>
      </c>
      <c r="F37" t="str">
        <f t="shared" si="3"/>
        <v/>
      </c>
    </row>
    <row r="38" spans="1:6" ht="15" customHeight="1" x14ac:dyDescent="0.25">
      <c r="A38" s="14"/>
      <c r="C38" s="1"/>
      <c r="D38" s="1"/>
      <c r="E38" s="1">
        <f t="shared" si="2"/>
        <v>0</v>
      </c>
      <c r="F38" t="str">
        <f t="shared" si="3"/>
        <v/>
      </c>
    </row>
    <row r="39" spans="1:6" ht="15" customHeight="1" x14ac:dyDescent="0.25">
      <c r="A39" s="14"/>
      <c r="C39" s="1"/>
      <c r="D39" s="1"/>
      <c r="E39" s="1">
        <f t="shared" si="2"/>
        <v>0</v>
      </c>
      <c r="F39" t="str">
        <f t="shared" si="3"/>
        <v/>
      </c>
    </row>
    <row r="40" spans="1:6" ht="15" customHeight="1" x14ac:dyDescent="0.25">
      <c r="A40" s="14"/>
      <c r="C40" s="1"/>
      <c r="D40" s="1"/>
      <c r="E40" s="1">
        <f t="shared" si="2"/>
        <v>0</v>
      </c>
      <c r="F40" t="str">
        <f t="shared" si="3"/>
        <v/>
      </c>
    </row>
    <row r="41" spans="1:6" ht="15" customHeight="1" x14ac:dyDescent="0.25">
      <c r="A41" s="14"/>
      <c r="C41" s="1"/>
      <c r="D41" s="1"/>
      <c r="E41" s="1">
        <f t="shared" si="2"/>
        <v>0</v>
      </c>
      <c r="F41" t="str">
        <f t="shared" si="3"/>
        <v/>
      </c>
    </row>
    <row r="42" spans="1:6" ht="15" customHeight="1" x14ac:dyDescent="0.25">
      <c r="A42" s="14"/>
      <c r="C42" s="1"/>
      <c r="D42" s="1"/>
      <c r="E42" s="1">
        <f t="shared" si="2"/>
        <v>0</v>
      </c>
      <c r="F42" t="str">
        <f t="shared" si="3"/>
        <v/>
      </c>
    </row>
    <row r="43" spans="1:6" ht="15" customHeight="1" x14ac:dyDescent="0.25">
      <c r="A43" s="14"/>
      <c r="C43" s="1"/>
      <c r="D43" s="1"/>
      <c r="E43" s="1">
        <f t="shared" si="2"/>
        <v>0</v>
      </c>
      <c r="F43" t="str">
        <f t="shared" si="3"/>
        <v/>
      </c>
    </row>
    <row r="44" spans="1:6" ht="15" customHeight="1" x14ac:dyDescent="0.25">
      <c r="A44" s="14"/>
      <c r="C44" s="1"/>
      <c r="D44" s="1"/>
      <c r="E44" s="1">
        <f t="shared" si="2"/>
        <v>0</v>
      </c>
      <c r="F44" t="str">
        <f t="shared" si="3"/>
        <v/>
      </c>
    </row>
    <row r="45" spans="1:6" ht="15" customHeight="1" x14ac:dyDescent="0.25">
      <c r="A45" s="14"/>
      <c r="C45" s="1"/>
      <c r="D45" s="1"/>
      <c r="E45" s="1">
        <f t="shared" si="2"/>
        <v>0</v>
      </c>
      <c r="F45" t="str">
        <f t="shared" si="3"/>
        <v/>
      </c>
    </row>
    <row r="46" spans="1:6" ht="15" customHeight="1" x14ac:dyDescent="0.25">
      <c r="A46" s="14"/>
      <c r="C46" s="1"/>
      <c r="D46" s="1"/>
      <c r="E46" s="1">
        <f t="shared" si="2"/>
        <v>0</v>
      </c>
      <c r="F46" t="str">
        <f t="shared" si="3"/>
        <v/>
      </c>
    </row>
    <row r="47" spans="1:6" ht="15" customHeight="1" x14ac:dyDescent="0.25">
      <c r="A47" s="14"/>
      <c r="C47" s="1"/>
      <c r="D47" s="1"/>
      <c r="E47" s="1">
        <f t="shared" si="2"/>
        <v>0</v>
      </c>
      <c r="F47" t="str">
        <f t="shared" si="3"/>
        <v/>
      </c>
    </row>
    <row r="48" spans="1:6" ht="15" customHeight="1" x14ac:dyDescent="0.25">
      <c r="A48" s="14"/>
      <c r="C48" s="1"/>
      <c r="D48" s="1"/>
      <c r="E48" s="1">
        <f t="shared" si="2"/>
        <v>0</v>
      </c>
      <c r="F48" t="str">
        <f t="shared" si="3"/>
        <v/>
      </c>
    </row>
    <row r="49" spans="1:6" ht="15" customHeight="1" x14ac:dyDescent="0.25">
      <c r="A49" s="14"/>
      <c r="C49" s="1"/>
      <c r="D49" s="1"/>
      <c r="E49" s="1">
        <f t="shared" si="2"/>
        <v>0</v>
      </c>
      <c r="F49" t="str">
        <f t="shared" si="3"/>
        <v/>
      </c>
    </row>
    <row r="50" spans="1:6" ht="15" customHeight="1" x14ac:dyDescent="0.25">
      <c r="A50" s="14"/>
      <c r="C50" s="1"/>
      <c r="D50" s="1"/>
      <c r="E50" s="1">
        <f t="shared" si="2"/>
        <v>0</v>
      </c>
      <c r="F50" t="str">
        <f t="shared" si="3"/>
        <v/>
      </c>
    </row>
    <row r="51" spans="1:6" ht="15" customHeight="1" x14ac:dyDescent="0.25">
      <c r="A51" s="14"/>
      <c r="C51" s="1"/>
      <c r="D51" s="1"/>
      <c r="E51" s="1">
        <f t="shared" si="2"/>
        <v>0</v>
      </c>
      <c r="F51" t="str">
        <f t="shared" si="3"/>
        <v/>
      </c>
    </row>
    <row r="52" spans="1:6" ht="15" customHeight="1" x14ac:dyDescent="0.25">
      <c r="A52" s="14"/>
      <c r="C52" s="1"/>
      <c r="D52" s="1"/>
      <c r="E52" s="1">
        <f t="shared" si="2"/>
        <v>0</v>
      </c>
      <c r="F52" t="str">
        <f t="shared" si="3"/>
        <v/>
      </c>
    </row>
    <row r="53" spans="1:6" ht="15" customHeight="1" x14ac:dyDescent="0.25">
      <c r="A53" s="14"/>
      <c r="C53" s="1"/>
      <c r="D53" s="1"/>
      <c r="E53" s="1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L19"/>
  <sheetViews>
    <sheetView zoomScaleNormal="100" workbookViewId="0">
      <selection activeCell="E25" sqref="E25"/>
    </sheetView>
  </sheetViews>
  <sheetFormatPr defaultColWidth="8.5703125"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24.140625" bestFit="1" customWidth="1"/>
    <col min="7" max="8" width="14" customWidth="1"/>
  </cols>
  <sheetData>
    <row r="1" spans="1:12" ht="24" customHeight="1" x14ac:dyDescent="0.25">
      <c r="A1" s="264" t="s">
        <v>87</v>
      </c>
      <c r="B1" s="264"/>
      <c r="C1" s="264"/>
      <c r="D1" s="264"/>
      <c r="E1" s="264"/>
      <c r="F1" s="264"/>
      <c r="G1" s="264"/>
      <c r="H1" s="264"/>
    </row>
    <row r="3" spans="1:12" ht="15" customHeight="1" x14ac:dyDescent="0.25">
      <c r="A3" s="22" t="s">
        <v>1</v>
      </c>
      <c r="B3" s="22" t="s">
        <v>34</v>
      </c>
      <c r="C3" s="22" t="s">
        <v>88</v>
      </c>
      <c r="D3" s="22" t="s">
        <v>89</v>
      </c>
      <c r="E3" s="22" t="s">
        <v>90</v>
      </c>
      <c r="F3" s="35" t="s">
        <v>159</v>
      </c>
      <c r="G3" s="22" t="s">
        <v>92</v>
      </c>
      <c r="H3" s="22" t="s">
        <v>38</v>
      </c>
    </row>
    <row r="4" spans="1:12" ht="15" customHeight="1" x14ac:dyDescent="0.25">
      <c r="A4">
        <v>1</v>
      </c>
      <c r="B4" s="30" t="s">
        <v>103</v>
      </c>
      <c r="F4" s="1">
        <v>25297</v>
      </c>
      <c r="G4" s="1">
        <v>10000</v>
      </c>
      <c r="H4" s="1">
        <f>IF(F4=0,0,F4-G4)</f>
        <v>15297</v>
      </c>
    </row>
    <row r="5" spans="1:12" ht="15" customHeight="1" x14ac:dyDescent="0.25">
      <c r="B5" s="29"/>
      <c r="F5" s="1">
        <f>H4+13890</f>
        <v>29187</v>
      </c>
      <c r="G5" s="1">
        <v>5000</v>
      </c>
      <c r="H5" s="1">
        <f>Table1[[#This Row],[اجمالي المبلغ الحالي]]-5000</f>
        <v>24187</v>
      </c>
    </row>
    <row r="6" spans="1:12" ht="15" customHeight="1" x14ac:dyDescent="0.25">
      <c r="F6" s="1"/>
      <c r="G6" s="1"/>
      <c r="H6" s="1"/>
    </row>
    <row r="7" spans="1:12" ht="15" customHeight="1" x14ac:dyDescent="0.25">
      <c r="F7" s="1"/>
      <c r="G7" s="1"/>
      <c r="H7" s="1"/>
    </row>
    <row r="8" spans="1:12" ht="15" customHeight="1" x14ac:dyDescent="0.25">
      <c r="F8" s="1"/>
      <c r="G8" s="1"/>
      <c r="H8" s="1"/>
    </row>
    <row r="9" spans="1:12" ht="15" customHeight="1" x14ac:dyDescent="0.25">
      <c r="F9" s="1"/>
      <c r="G9" s="1"/>
      <c r="H9" s="1"/>
    </row>
    <row r="10" spans="1:12" ht="15" customHeight="1" x14ac:dyDescent="0.25">
      <c r="F10" s="1"/>
      <c r="G10" s="1"/>
      <c r="H10" s="1"/>
      <c r="L10" t="s">
        <v>158</v>
      </c>
    </row>
    <row r="11" spans="1:12" ht="15" customHeight="1" x14ac:dyDescent="0.25">
      <c r="F11" s="1"/>
      <c r="G11" s="1"/>
      <c r="H11" s="1"/>
    </row>
    <row r="12" spans="1:12" ht="15" customHeight="1" x14ac:dyDescent="0.25">
      <c r="F12" s="1"/>
      <c r="G12" s="1"/>
      <c r="H12" s="1"/>
    </row>
    <row r="13" spans="1:12" ht="15" customHeight="1" x14ac:dyDescent="0.25">
      <c r="F13" s="1"/>
      <c r="G13" s="1"/>
      <c r="H13" s="1"/>
    </row>
    <row r="14" spans="1:12" ht="15" customHeight="1" x14ac:dyDescent="0.25">
      <c r="F14" s="1"/>
      <c r="G14" s="1"/>
      <c r="H14" s="1"/>
    </row>
    <row r="15" spans="1:12" ht="15" customHeight="1" x14ac:dyDescent="0.25">
      <c r="F15" s="1"/>
      <c r="G15" s="1"/>
      <c r="H15" s="1"/>
    </row>
    <row r="16" spans="1:12" ht="15" customHeight="1" x14ac:dyDescent="0.25">
      <c r="F16" s="1"/>
      <c r="G16" s="1"/>
      <c r="H16" s="1"/>
    </row>
    <row r="17" spans="6:8" ht="15" customHeight="1" x14ac:dyDescent="0.25">
      <c r="F17" s="1"/>
      <c r="G17" s="1"/>
      <c r="H17" s="1"/>
    </row>
    <row r="18" spans="6:8" ht="15" customHeight="1" x14ac:dyDescent="0.25">
      <c r="F18" s="1"/>
      <c r="G18" s="1"/>
      <c r="H18" s="1"/>
    </row>
    <row r="19" spans="6:8" x14ac:dyDescent="0.25">
      <c r="H19" s="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799E-FE05-4FFD-AE40-294803D5304B}">
  <sheetPr>
    <pageSetUpPr fitToPage="1"/>
  </sheetPr>
  <dimension ref="C4:AI55"/>
  <sheetViews>
    <sheetView topLeftCell="O20" zoomScale="109" workbookViewId="0">
      <selection activeCell="AG48" sqref="AG48"/>
    </sheetView>
  </sheetViews>
  <sheetFormatPr defaultRowHeight="15" x14ac:dyDescent="0.25"/>
  <cols>
    <col min="1" max="1" width="10.140625" customWidth="1"/>
    <col min="2" max="2" width="12.140625" customWidth="1"/>
    <col min="3" max="3" width="20.85546875" customWidth="1"/>
    <col min="4" max="4" width="14.140625" customWidth="1"/>
    <col min="5" max="5" width="14.7109375" customWidth="1"/>
    <col min="6" max="6" width="20.28515625" customWidth="1"/>
    <col min="7" max="7" width="14" customWidth="1"/>
    <col min="8" max="8" width="18.85546875" customWidth="1"/>
    <col min="9" max="9" width="17.7109375" customWidth="1"/>
    <col min="10" max="10" width="16.42578125" customWidth="1"/>
    <col min="11" max="11" width="12.140625" bestFit="1" customWidth="1"/>
    <col min="13" max="13" width="9.42578125" customWidth="1"/>
    <col min="14" max="14" width="17" customWidth="1"/>
    <col min="15" max="15" width="12.42578125" customWidth="1"/>
    <col min="16" max="16" width="20.42578125" bestFit="1" customWidth="1"/>
    <col min="17" max="17" width="4" customWidth="1"/>
    <col min="18" max="18" width="15" bestFit="1" customWidth="1"/>
    <col min="19" max="19" width="13.7109375" customWidth="1"/>
    <col min="20" max="20" width="16" bestFit="1" customWidth="1"/>
    <col min="21" max="21" width="12.42578125" customWidth="1"/>
    <col min="22" max="22" width="9" bestFit="1" customWidth="1"/>
    <col min="23" max="23" width="16" bestFit="1" customWidth="1"/>
    <col min="24" max="24" width="21.5703125" customWidth="1"/>
    <col min="25" max="25" width="4.28515625" customWidth="1"/>
    <col min="26" max="26" width="15.42578125" bestFit="1" customWidth="1"/>
    <col min="27" max="27" width="9.85546875" bestFit="1" customWidth="1"/>
    <col min="30" max="30" width="2.42578125" customWidth="1"/>
    <col min="31" max="31" width="15.5703125" customWidth="1"/>
    <col min="32" max="32" width="19.140625" customWidth="1"/>
    <col min="33" max="33" width="11.85546875" customWidth="1"/>
    <col min="34" max="34" width="32.5703125" bestFit="1" customWidth="1"/>
    <col min="36" max="36" width="15" bestFit="1" customWidth="1"/>
    <col min="37" max="37" width="13.5703125" customWidth="1"/>
    <col min="38" max="38" width="16.5703125" customWidth="1"/>
  </cols>
  <sheetData>
    <row r="4" spans="6:35" x14ac:dyDescent="0.25">
      <c r="F4" s="276"/>
      <c r="G4" s="276"/>
      <c r="H4" s="276"/>
      <c r="I4" s="31"/>
    </row>
    <row r="5" spans="6:35" ht="15" customHeight="1" x14ac:dyDescent="0.25">
      <c r="G5" s="272" t="s">
        <v>209</v>
      </c>
      <c r="H5" s="272"/>
      <c r="I5" s="272"/>
      <c r="O5" s="272" t="s">
        <v>256</v>
      </c>
      <c r="P5" s="272"/>
      <c r="Q5" s="272"/>
      <c r="R5" s="272"/>
      <c r="W5" s="272" t="s">
        <v>404</v>
      </c>
      <c r="X5" s="334"/>
      <c r="Y5" s="334"/>
      <c r="Z5" s="335"/>
      <c r="AF5" s="333" t="s">
        <v>460</v>
      </c>
      <c r="AG5" s="333"/>
      <c r="AH5" s="333"/>
    </row>
    <row r="6" spans="6:35" x14ac:dyDescent="0.25">
      <c r="G6" s="272"/>
      <c r="H6" s="272"/>
      <c r="I6" s="272"/>
      <c r="O6" s="272"/>
      <c r="P6" s="272"/>
      <c r="Q6" s="272"/>
      <c r="R6" s="272"/>
      <c r="W6" s="336"/>
      <c r="X6" s="337"/>
      <c r="Y6" s="337"/>
      <c r="Z6" s="338"/>
      <c r="AF6" s="333"/>
      <c r="AG6" s="333"/>
      <c r="AH6" s="333"/>
    </row>
    <row r="7" spans="6:35" ht="18.75" x14ac:dyDescent="0.25">
      <c r="AF7" s="43" t="s">
        <v>31</v>
      </c>
      <c r="AG7" s="43" t="s">
        <v>39</v>
      </c>
      <c r="AH7" s="43" t="s">
        <v>207</v>
      </c>
    </row>
    <row r="8" spans="6:35" ht="22.5" customHeight="1" x14ac:dyDescent="0.25">
      <c r="F8" s="43" t="s">
        <v>31</v>
      </c>
      <c r="G8" s="43" t="s">
        <v>39</v>
      </c>
      <c r="H8" s="43" t="s">
        <v>207</v>
      </c>
      <c r="I8" s="43" t="s">
        <v>208</v>
      </c>
      <c r="J8" s="43" t="s">
        <v>206</v>
      </c>
      <c r="N8" s="43" t="s">
        <v>31</v>
      </c>
      <c r="O8" s="43" t="s">
        <v>245</v>
      </c>
      <c r="P8" s="43" t="s">
        <v>207</v>
      </c>
      <c r="R8" s="43" t="s">
        <v>400</v>
      </c>
      <c r="S8" s="43">
        <v>240000</v>
      </c>
      <c r="V8" s="43" t="s">
        <v>31</v>
      </c>
      <c r="W8" s="43" t="s">
        <v>245</v>
      </c>
      <c r="X8" s="43" t="s">
        <v>207</v>
      </c>
      <c r="Z8" s="43" t="s">
        <v>400</v>
      </c>
      <c r="AA8" s="43">
        <v>480000</v>
      </c>
      <c r="AE8" s="111"/>
      <c r="AF8" s="23" t="s">
        <v>422</v>
      </c>
      <c r="AG8" s="23">
        <v>65000</v>
      </c>
      <c r="AH8" s="23" t="s">
        <v>426</v>
      </c>
      <c r="AI8" s="111"/>
    </row>
    <row r="9" spans="6:35" ht="19.5" customHeight="1" x14ac:dyDescent="0.25">
      <c r="F9" s="23" t="s">
        <v>212</v>
      </c>
      <c r="G9" s="25">
        <v>721613</v>
      </c>
      <c r="H9" s="23" t="s">
        <v>211</v>
      </c>
      <c r="I9" s="23" t="s">
        <v>210</v>
      </c>
      <c r="J9" s="23">
        <v>520000</v>
      </c>
      <c r="N9" s="23"/>
      <c r="O9" s="23">
        <v>100000</v>
      </c>
      <c r="P9" s="23" t="s">
        <v>217</v>
      </c>
      <c r="R9" s="23" t="s">
        <v>43</v>
      </c>
      <c r="S9" s="25">
        <f>SUM(O9:O24)</f>
        <v>383500</v>
      </c>
      <c r="V9" s="23"/>
      <c r="W9" s="23">
        <v>45820</v>
      </c>
      <c r="X9" s="23" t="s">
        <v>405</v>
      </c>
      <c r="Z9" s="25" t="s">
        <v>43</v>
      </c>
      <c r="AA9" s="25">
        <f>SUM(W9:W10)</f>
        <v>135820</v>
      </c>
      <c r="AF9" s="23"/>
      <c r="AG9" s="23">
        <v>54000</v>
      </c>
      <c r="AH9" s="23" t="s">
        <v>407</v>
      </c>
    </row>
    <row r="10" spans="6:35" ht="20.25" customHeight="1" x14ac:dyDescent="0.25">
      <c r="F10" s="4"/>
      <c r="G10" s="25"/>
      <c r="H10" s="23"/>
      <c r="I10" s="23" t="s">
        <v>213</v>
      </c>
      <c r="J10" s="23">
        <v>40000</v>
      </c>
      <c r="N10" s="23"/>
      <c r="O10" s="23">
        <v>58000</v>
      </c>
      <c r="P10" s="23" t="s">
        <v>246</v>
      </c>
      <c r="R10" s="25" t="s">
        <v>47</v>
      </c>
      <c r="S10" s="25">
        <f>SUM(S8:S9)</f>
        <v>623500</v>
      </c>
      <c r="V10" s="23"/>
      <c r="W10" s="23">
        <v>90000</v>
      </c>
      <c r="X10" s="23" t="s">
        <v>406</v>
      </c>
      <c r="Z10" s="23" t="s">
        <v>47</v>
      </c>
      <c r="AA10" s="25">
        <f>SUM(AA8:AA9)</f>
        <v>615820</v>
      </c>
      <c r="AF10" s="23"/>
      <c r="AG10" s="23">
        <v>5000</v>
      </c>
      <c r="AH10" s="23" t="s">
        <v>427</v>
      </c>
    </row>
    <row r="11" spans="6:35" ht="15.75" x14ac:dyDescent="0.25">
      <c r="F11" s="4"/>
      <c r="G11" s="25"/>
      <c r="H11" s="23"/>
      <c r="I11" s="23" t="s">
        <v>213</v>
      </c>
      <c r="J11" s="23">
        <v>68000</v>
      </c>
      <c r="N11" s="23"/>
      <c r="O11" s="23">
        <v>30000</v>
      </c>
      <c r="P11" s="23" t="s">
        <v>247</v>
      </c>
      <c r="Z11" s="23" t="s">
        <v>602</v>
      </c>
      <c r="AA11" s="23">
        <f>100000</f>
        <v>100000</v>
      </c>
      <c r="AF11" s="23" t="s">
        <v>423</v>
      </c>
      <c r="AG11" s="23">
        <v>6000</v>
      </c>
      <c r="AH11" s="23" t="s">
        <v>408</v>
      </c>
    </row>
    <row r="12" spans="6:35" ht="15.75" x14ac:dyDescent="0.25">
      <c r="F12" s="4"/>
      <c r="G12" s="44">
        <v>14500</v>
      </c>
      <c r="H12" s="23" t="s">
        <v>214</v>
      </c>
      <c r="I12" s="23"/>
      <c r="J12" s="4"/>
      <c r="N12" s="23"/>
      <c r="O12" s="23">
        <v>40000</v>
      </c>
      <c r="P12" s="23" t="s">
        <v>248</v>
      </c>
      <c r="Z12" s="23" t="s">
        <v>603</v>
      </c>
      <c r="AA12" s="23">
        <f>SUM(AA10:AA11)</f>
        <v>715820</v>
      </c>
      <c r="AF12" s="23" t="s">
        <v>250</v>
      </c>
      <c r="AG12" s="23">
        <v>2800</v>
      </c>
      <c r="AH12" s="23" t="s">
        <v>409</v>
      </c>
    </row>
    <row r="13" spans="6:35" ht="15.75" x14ac:dyDescent="0.25">
      <c r="F13" s="4"/>
      <c r="G13" s="25">
        <v>20000</v>
      </c>
      <c r="H13" s="23" t="s">
        <v>216</v>
      </c>
      <c r="I13" s="4"/>
      <c r="J13" s="4"/>
      <c r="N13" s="23"/>
      <c r="O13" s="23">
        <v>10000</v>
      </c>
      <c r="P13" s="23" t="s">
        <v>249</v>
      </c>
      <c r="AF13" s="23"/>
      <c r="AG13" s="23">
        <v>400</v>
      </c>
      <c r="AH13" s="23" t="s">
        <v>410</v>
      </c>
    </row>
    <row r="14" spans="6:35" ht="15.75" x14ac:dyDescent="0.25">
      <c r="F14" s="4"/>
      <c r="G14" s="25">
        <v>10000</v>
      </c>
      <c r="H14" s="23" t="s">
        <v>217</v>
      </c>
      <c r="I14" s="4"/>
      <c r="J14" s="4"/>
      <c r="N14" s="23"/>
      <c r="O14" s="23">
        <v>16000</v>
      </c>
      <c r="P14" s="23" t="s">
        <v>257</v>
      </c>
      <c r="AF14" s="23" t="s">
        <v>424</v>
      </c>
      <c r="AG14" s="23">
        <v>2500</v>
      </c>
      <c r="AH14" s="23" t="s">
        <v>411</v>
      </c>
    </row>
    <row r="15" spans="6:35" ht="15.75" x14ac:dyDescent="0.25">
      <c r="F15" s="4"/>
      <c r="G15" s="25">
        <v>10500</v>
      </c>
      <c r="H15" s="23" t="s">
        <v>218</v>
      </c>
      <c r="I15" s="4"/>
      <c r="J15" s="4"/>
      <c r="N15" s="23"/>
      <c r="O15" s="23">
        <v>35000</v>
      </c>
      <c r="P15" s="23" t="s">
        <v>401</v>
      </c>
      <c r="AF15" s="23"/>
      <c r="AG15" s="23">
        <v>11000</v>
      </c>
      <c r="AH15" s="23" t="s">
        <v>412</v>
      </c>
    </row>
    <row r="16" spans="6:35" ht="15.75" x14ac:dyDescent="0.25">
      <c r="F16" s="4"/>
      <c r="G16" s="25">
        <v>8000</v>
      </c>
      <c r="H16" s="23" t="s">
        <v>219</v>
      </c>
      <c r="I16" s="4"/>
      <c r="J16" s="4"/>
      <c r="N16" s="23"/>
      <c r="O16" s="23">
        <v>20000</v>
      </c>
      <c r="P16" s="23" t="s">
        <v>251</v>
      </c>
      <c r="AF16" s="23" t="s">
        <v>423</v>
      </c>
      <c r="AG16" s="23">
        <v>450</v>
      </c>
      <c r="AH16" s="23" t="s">
        <v>413</v>
      </c>
    </row>
    <row r="17" spans="6:34" ht="15.75" x14ac:dyDescent="0.25">
      <c r="F17" s="4"/>
      <c r="G17" s="25">
        <v>10400</v>
      </c>
      <c r="H17" s="23" t="s">
        <v>220</v>
      </c>
      <c r="I17" s="4"/>
      <c r="J17" s="4"/>
      <c r="N17" s="23"/>
      <c r="O17" s="23">
        <v>8500</v>
      </c>
      <c r="P17" s="23" t="s">
        <v>402</v>
      </c>
      <c r="AF17" s="23" t="s">
        <v>425</v>
      </c>
      <c r="AG17" s="23">
        <v>53000</v>
      </c>
      <c r="AH17" s="23" t="s">
        <v>414</v>
      </c>
    </row>
    <row r="18" spans="6:34" ht="15.75" x14ac:dyDescent="0.25">
      <c r="F18" s="4"/>
      <c r="G18" s="25">
        <v>46500</v>
      </c>
      <c r="H18" s="23" t="s">
        <v>221</v>
      </c>
      <c r="I18" s="4"/>
      <c r="J18" s="4"/>
      <c r="N18" s="23"/>
      <c r="O18" s="23">
        <v>2500</v>
      </c>
      <c r="P18" s="23" t="s">
        <v>252</v>
      </c>
      <c r="AF18" s="23" t="s">
        <v>605</v>
      </c>
      <c r="AG18" s="23">
        <v>20000</v>
      </c>
      <c r="AH18" s="23" t="s">
        <v>604</v>
      </c>
    </row>
    <row r="19" spans="6:34" ht="15.75" x14ac:dyDescent="0.25">
      <c r="F19" s="4"/>
      <c r="G19" s="25">
        <v>30000</v>
      </c>
      <c r="H19" s="23" t="s">
        <v>222</v>
      </c>
      <c r="I19" s="4"/>
      <c r="J19" s="4"/>
      <c r="N19" s="23"/>
      <c r="O19" s="23">
        <v>8500</v>
      </c>
      <c r="P19" s="23" t="s">
        <v>403</v>
      </c>
      <c r="AF19" s="23"/>
      <c r="AG19" s="23">
        <v>72500</v>
      </c>
      <c r="AH19" s="23" t="s">
        <v>433</v>
      </c>
    </row>
    <row r="20" spans="6:34" ht="15.75" x14ac:dyDescent="0.25">
      <c r="F20" s="7">
        <v>1</v>
      </c>
      <c r="G20" s="25">
        <v>17800</v>
      </c>
      <c r="H20" s="23" t="s">
        <v>223</v>
      </c>
      <c r="I20" s="4"/>
      <c r="J20" s="4"/>
      <c r="N20" s="23"/>
      <c r="O20" s="23">
        <v>3500</v>
      </c>
      <c r="P20" s="23" t="s">
        <v>254</v>
      </c>
      <c r="AF20" s="23"/>
      <c r="AG20" s="23">
        <v>1500</v>
      </c>
      <c r="AH20" s="23" t="s">
        <v>429</v>
      </c>
    </row>
    <row r="21" spans="6:34" ht="15.75" x14ac:dyDescent="0.25">
      <c r="F21" s="7">
        <v>2</v>
      </c>
      <c r="G21" s="25">
        <v>17800</v>
      </c>
      <c r="H21" s="23" t="s">
        <v>223</v>
      </c>
      <c r="I21" s="4"/>
      <c r="J21" s="4"/>
      <c r="N21" s="23"/>
      <c r="O21" s="23">
        <v>11500</v>
      </c>
      <c r="P21" s="23" t="s">
        <v>255</v>
      </c>
      <c r="AF21" s="23" t="s">
        <v>606</v>
      </c>
      <c r="AG21" s="23">
        <v>47000</v>
      </c>
      <c r="AH21" s="23" t="s">
        <v>415</v>
      </c>
    </row>
    <row r="22" spans="6:34" ht="15.75" x14ac:dyDescent="0.25">
      <c r="F22" s="4"/>
      <c r="G22" s="25">
        <v>2500</v>
      </c>
      <c r="H22" s="23" t="s">
        <v>215</v>
      </c>
      <c r="I22" s="4"/>
      <c r="J22" s="4"/>
      <c r="N22" s="23"/>
      <c r="O22" s="23">
        <v>40000</v>
      </c>
      <c r="P22" s="23" t="s">
        <v>253</v>
      </c>
      <c r="AF22" s="23"/>
      <c r="AG22" s="23">
        <v>156000</v>
      </c>
      <c r="AH22" s="23" t="s">
        <v>428</v>
      </c>
    </row>
    <row r="23" spans="6:34" x14ac:dyDescent="0.25">
      <c r="F23" s="4"/>
      <c r="G23" s="23"/>
      <c r="H23" s="23"/>
      <c r="I23" s="4"/>
      <c r="J23" s="4"/>
      <c r="AF23" s="23"/>
      <c r="AG23" s="23">
        <v>29000</v>
      </c>
      <c r="AH23" s="23" t="s">
        <v>416</v>
      </c>
    </row>
    <row r="24" spans="6:34" x14ac:dyDescent="0.25">
      <c r="F24" s="4"/>
      <c r="G24" s="23"/>
      <c r="H24" s="23"/>
      <c r="I24" s="4"/>
      <c r="J24" s="4"/>
      <c r="AF24" s="23"/>
      <c r="AG24" s="23">
        <v>3850</v>
      </c>
      <c r="AH24" s="23" t="s">
        <v>417</v>
      </c>
    </row>
    <row r="25" spans="6:34" ht="17.25" customHeight="1" x14ac:dyDescent="0.25">
      <c r="I25" s="25">
        <f>SUM(J9:J11)</f>
        <v>628000</v>
      </c>
      <c r="J25" s="45" t="s">
        <v>224</v>
      </c>
      <c r="AF25" s="23"/>
      <c r="AG25" s="23">
        <v>1000</v>
      </c>
      <c r="AH25" s="23" t="s">
        <v>418</v>
      </c>
    </row>
    <row r="26" spans="6:34" ht="18" customHeight="1" x14ac:dyDescent="0.25">
      <c r="I26" s="25">
        <f>SUM(G9:G22)</f>
        <v>909613</v>
      </c>
      <c r="J26" s="25" t="s">
        <v>43</v>
      </c>
      <c r="AF26" s="23"/>
      <c r="AG26" s="23">
        <v>3800</v>
      </c>
      <c r="AH26" s="23" t="s">
        <v>419</v>
      </c>
    </row>
    <row r="27" spans="6:34" ht="18" customHeight="1" x14ac:dyDescent="0.25">
      <c r="I27" s="46">
        <f>909613-628000</f>
        <v>281613</v>
      </c>
      <c r="J27" s="25" t="s">
        <v>225</v>
      </c>
      <c r="W27" s="271" t="s">
        <v>453</v>
      </c>
      <c r="X27" s="271"/>
      <c r="AF27" s="23"/>
      <c r="AG27" s="23">
        <v>2500</v>
      </c>
      <c r="AH27" s="23" t="s">
        <v>420</v>
      </c>
    </row>
    <row r="28" spans="6:34" ht="15" customHeight="1" x14ac:dyDescent="0.25">
      <c r="W28" s="25" t="s">
        <v>443</v>
      </c>
      <c r="X28" s="25">
        <v>848363</v>
      </c>
      <c r="AF28" s="23"/>
      <c r="AG28" s="23">
        <v>2500</v>
      </c>
      <c r="AH28" s="23" t="s">
        <v>421</v>
      </c>
    </row>
    <row r="29" spans="6:34" ht="15.75" customHeight="1" x14ac:dyDescent="0.25">
      <c r="W29" s="25" t="s">
        <v>444</v>
      </c>
      <c r="X29" s="25">
        <v>623500</v>
      </c>
      <c r="AF29" s="23" t="s">
        <v>425</v>
      </c>
      <c r="AG29" s="23">
        <v>2013</v>
      </c>
      <c r="AH29" s="23" t="s">
        <v>430</v>
      </c>
    </row>
    <row r="30" spans="6:34" ht="15.75" x14ac:dyDescent="0.25">
      <c r="W30" s="25" t="s">
        <v>445</v>
      </c>
      <c r="X30" s="23">
        <v>165270</v>
      </c>
      <c r="AF30" s="23"/>
      <c r="AG30" s="23">
        <v>7000</v>
      </c>
      <c r="AH30" s="23" t="s">
        <v>432</v>
      </c>
    </row>
    <row r="31" spans="6:34" ht="15.75" x14ac:dyDescent="0.25">
      <c r="W31" s="25" t="s">
        <v>446</v>
      </c>
      <c r="X31" s="23">
        <v>615820</v>
      </c>
      <c r="AF31" s="23"/>
      <c r="AG31" s="23">
        <v>700</v>
      </c>
      <c r="AH31" s="23" t="s">
        <v>431</v>
      </c>
    </row>
    <row r="32" spans="6:34" ht="18" customHeight="1" x14ac:dyDescent="0.25">
      <c r="W32" s="25" t="s">
        <v>447</v>
      </c>
      <c r="X32" s="23">
        <f>SUM(X28:X31)</f>
        <v>2252953</v>
      </c>
      <c r="AF32" s="23"/>
      <c r="AG32" s="23">
        <v>850</v>
      </c>
      <c r="AH32" s="23" t="s">
        <v>607</v>
      </c>
    </row>
    <row r="33" spans="3:34" ht="18.75" x14ac:dyDescent="0.25">
      <c r="W33" s="25" t="s">
        <v>454</v>
      </c>
      <c r="X33" s="23">
        <v>563238.25</v>
      </c>
      <c r="AG33" s="25">
        <f>SUM(AG8:AG32)</f>
        <v>550363</v>
      </c>
      <c r="AH33" s="43" t="s">
        <v>434</v>
      </c>
    </row>
    <row r="34" spans="3:34" x14ac:dyDescent="0.25">
      <c r="AF34" s="23" t="s">
        <v>31</v>
      </c>
      <c r="AG34" s="23" t="s">
        <v>39</v>
      </c>
      <c r="AH34" s="23" t="s">
        <v>207</v>
      </c>
    </row>
    <row r="35" spans="3:34" x14ac:dyDescent="0.25">
      <c r="AF35" s="4"/>
      <c r="AG35" s="23">
        <v>14500</v>
      </c>
      <c r="AH35" s="23" t="s">
        <v>214</v>
      </c>
    </row>
    <row r="36" spans="3:34" x14ac:dyDescent="0.25">
      <c r="W36" s="193" t="s">
        <v>455</v>
      </c>
      <c r="X36" s="193"/>
      <c r="AF36" s="4"/>
      <c r="AG36" s="23">
        <v>20000</v>
      </c>
      <c r="AH36" s="23" t="s">
        <v>440</v>
      </c>
    </row>
    <row r="37" spans="3:34" x14ac:dyDescent="0.25">
      <c r="H37" s="47"/>
      <c r="I37" s="193" t="s">
        <v>227</v>
      </c>
      <c r="J37" s="193"/>
      <c r="K37" s="193"/>
      <c r="W37" s="7" t="s">
        <v>207</v>
      </c>
      <c r="X37" s="7" t="s">
        <v>39</v>
      </c>
      <c r="AF37" s="4"/>
      <c r="AG37" s="23">
        <v>10000</v>
      </c>
      <c r="AH37" s="23" t="s">
        <v>217</v>
      </c>
    </row>
    <row r="38" spans="3:34" x14ac:dyDescent="0.25">
      <c r="C38" s="193" t="s">
        <v>237</v>
      </c>
      <c r="D38" s="193"/>
      <c r="E38" s="193"/>
      <c r="H38" s="47"/>
      <c r="I38" s="193"/>
      <c r="J38" s="193"/>
      <c r="K38" s="193"/>
      <c r="W38" s="7" t="s">
        <v>456</v>
      </c>
      <c r="X38" s="23">
        <v>55000</v>
      </c>
      <c r="AF38" s="4"/>
      <c r="AG38" s="23">
        <v>10500</v>
      </c>
      <c r="AH38" s="23" t="s">
        <v>218</v>
      </c>
    </row>
    <row r="39" spans="3:34" x14ac:dyDescent="0.25">
      <c r="C39" s="193"/>
      <c r="D39" s="193"/>
      <c r="E39" s="193"/>
      <c r="W39" s="7" t="s">
        <v>457</v>
      </c>
      <c r="X39" s="23">
        <v>20000</v>
      </c>
      <c r="AF39" s="4"/>
      <c r="AG39" s="23">
        <v>8000</v>
      </c>
      <c r="AH39" s="23" t="s">
        <v>441</v>
      </c>
    </row>
    <row r="40" spans="3:34" ht="15.75" x14ac:dyDescent="0.25">
      <c r="I40" s="25" t="s">
        <v>31</v>
      </c>
      <c r="J40" s="25" t="s">
        <v>207</v>
      </c>
      <c r="K40" s="25" t="s">
        <v>39</v>
      </c>
      <c r="W40" s="4" t="s">
        <v>458</v>
      </c>
      <c r="X40" s="110">
        <f>SUM(X38:X39)</f>
        <v>75000</v>
      </c>
      <c r="AF40" s="4"/>
      <c r="AG40" s="23">
        <v>10400</v>
      </c>
      <c r="AH40" s="23" t="s">
        <v>220</v>
      </c>
    </row>
    <row r="41" spans="3:34" ht="15.75" x14ac:dyDescent="0.25">
      <c r="C41" s="25" t="s">
        <v>31</v>
      </c>
      <c r="D41" s="25" t="s">
        <v>207</v>
      </c>
      <c r="E41" s="25" t="s">
        <v>39</v>
      </c>
      <c r="I41" s="4"/>
      <c r="J41" s="23" t="s">
        <v>229</v>
      </c>
      <c r="K41" s="25">
        <v>12000</v>
      </c>
      <c r="AF41" s="4"/>
      <c r="AG41" s="23">
        <v>46500</v>
      </c>
      <c r="AH41" s="23" t="s">
        <v>221</v>
      </c>
    </row>
    <row r="42" spans="3:34" ht="15.75" x14ac:dyDescent="0.25">
      <c r="C42" s="4"/>
      <c r="D42" s="23" t="s">
        <v>238</v>
      </c>
      <c r="E42" s="25">
        <v>125000</v>
      </c>
      <c r="I42" s="4"/>
      <c r="J42" s="23" t="s">
        <v>217</v>
      </c>
      <c r="K42" s="25">
        <v>18000</v>
      </c>
      <c r="AF42" s="4"/>
      <c r="AG42" s="23">
        <v>30000</v>
      </c>
      <c r="AH42" s="23" t="s">
        <v>222</v>
      </c>
    </row>
    <row r="43" spans="3:34" ht="15.75" x14ac:dyDescent="0.25">
      <c r="C43" s="4"/>
      <c r="D43" s="23" t="s">
        <v>239</v>
      </c>
      <c r="E43" s="25">
        <v>200000</v>
      </c>
      <c r="I43" s="4"/>
      <c r="J43" s="23" t="s">
        <v>226</v>
      </c>
      <c r="K43" s="25">
        <v>5000</v>
      </c>
      <c r="AF43" s="7">
        <v>1</v>
      </c>
      <c r="AG43" s="23">
        <v>17800</v>
      </c>
      <c r="AH43" s="23" t="s">
        <v>223</v>
      </c>
    </row>
    <row r="44" spans="3:34" ht="15.75" x14ac:dyDescent="0.25">
      <c r="C44" s="26" t="s">
        <v>240</v>
      </c>
      <c r="D44" s="23"/>
      <c r="E44" s="25">
        <v>25000</v>
      </c>
      <c r="I44" s="4"/>
      <c r="J44" s="23" t="s">
        <v>42</v>
      </c>
      <c r="K44" s="25">
        <v>1900</v>
      </c>
      <c r="AF44" s="7">
        <v>2</v>
      </c>
      <c r="AG44" s="23">
        <v>17800</v>
      </c>
      <c r="AH44" s="23" t="s">
        <v>223</v>
      </c>
    </row>
    <row r="45" spans="3:34" ht="15.75" x14ac:dyDescent="0.25">
      <c r="D45" s="23">
        <f>SUM(E42:E44)</f>
        <v>350000</v>
      </c>
      <c r="E45" s="25" t="s">
        <v>243</v>
      </c>
      <c r="I45" s="4"/>
      <c r="J45" s="23" t="s">
        <v>230</v>
      </c>
      <c r="K45" s="25">
        <v>2800</v>
      </c>
      <c r="AF45" s="4"/>
      <c r="AG45" s="23">
        <v>2500</v>
      </c>
      <c r="AH45" s="23" t="s">
        <v>215</v>
      </c>
    </row>
    <row r="46" spans="3:34" ht="15.75" x14ac:dyDescent="0.25">
      <c r="I46" s="4"/>
      <c r="J46" s="23" t="s">
        <v>231</v>
      </c>
      <c r="K46" s="25">
        <v>220</v>
      </c>
      <c r="AF46" s="4"/>
      <c r="AG46" s="23">
        <v>10000</v>
      </c>
      <c r="AH46" s="23" t="s">
        <v>452</v>
      </c>
    </row>
    <row r="47" spans="3:34" ht="15.75" x14ac:dyDescent="0.25">
      <c r="C47" s="23" t="s">
        <v>241</v>
      </c>
      <c r="D47" s="23">
        <v>320000</v>
      </c>
      <c r="E47" s="23" t="s">
        <v>234</v>
      </c>
      <c r="I47" s="4"/>
      <c r="J47" s="23" t="s">
        <v>228</v>
      </c>
      <c r="K47" s="25">
        <v>220</v>
      </c>
      <c r="AG47" s="23">
        <f>SUM(AG35:AG46)</f>
        <v>198000</v>
      </c>
      <c r="AH47" s="23" t="s">
        <v>442</v>
      </c>
    </row>
    <row r="48" spans="3:34" ht="19.5" customHeight="1" x14ac:dyDescent="0.25">
      <c r="C48" s="23" t="s">
        <v>242</v>
      </c>
      <c r="D48" s="23">
        <v>10000</v>
      </c>
      <c r="E48" s="23" t="s">
        <v>234</v>
      </c>
      <c r="I48" s="4"/>
      <c r="J48" s="28">
        <f>SUM(K41:K47)</f>
        <v>40140</v>
      </c>
      <c r="K48" s="23" t="s">
        <v>236</v>
      </c>
      <c r="AG48" s="23">
        <v>848363</v>
      </c>
      <c r="AH48" s="23" t="s">
        <v>459</v>
      </c>
    </row>
    <row r="49" spans="9:11" ht="19.5" customHeight="1" x14ac:dyDescent="0.25"/>
    <row r="50" spans="9:11" ht="17.25" customHeight="1" x14ac:dyDescent="0.25">
      <c r="I50" s="4"/>
      <c r="J50" s="28">
        <v>3870</v>
      </c>
      <c r="K50" s="25" t="s">
        <v>232</v>
      </c>
    </row>
    <row r="51" spans="9:11" ht="18" customHeight="1" x14ac:dyDescent="0.25">
      <c r="I51" s="4"/>
      <c r="J51" s="28">
        <f>J48-J50</f>
        <v>36270</v>
      </c>
      <c r="K51" s="23" t="s">
        <v>233</v>
      </c>
    </row>
    <row r="52" spans="9:11" ht="15.75" x14ac:dyDescent="0.25">
      <c r="I52" s="23" t="s">
        <v>235</v>
      </c>
      <c r="J52" s="41">
        <v>40000</v>
      </c>
      <c r="K52" s="25" t="s">
        <v>234</v>
      </c>
    </row>
    <row r="53" spans="9:11" x14ac:dyDescent="0.25">
      <c r="I53" s="23" t="s">
        <v>235</v>
      </c>
      <c r="J53" s="41">
        <v>68000</v>
      </c>
      <c r="K53" s="23" t="s">
        <v>234</v>
      </c>
    </row>
    <row r="54" spans="9:11" x14ac:dyDescent="0.25">
      <c r="I54" s="23" t="s">
        <v>244</v>
      </c>
      <c r="J54" s="41">
        <v>21000</v>
      </c>
      <c r="K54" s="23" t="s">
        <v>234</v>
      </c>
    </row>
    <row r="55" spans="9:11" x14ac:dyDescent="0.25">
      <c r="I55" s="4"/>
      <c r="J55" s="23">
        <f>SUM(J51:J54)</f>
        <v>165270</v>
      </c>
      <c r="K55" s="23" t="s">
        <v>47</v>
      </c>
    </row>
  </sheetData>
  <mergeCells count="9">
    <mergeCell ref="AF5:AH6"/>
    <mergeCell ref="W5:Z6"/>
    <mergeCell ref="F4:H4"/>
    <mergeCell ref="G5:I6"/>
    <mergeCell ref="I37:K38"/>
    <mergeCell ref="C38:E39"/>
    <mergeCell ref="O5:R6"/>
    <mergeCell ref="W27:X27"/>
    <mergeCell ref="W36:X3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9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7</vt:i4>
      </vt:variant>
    </vt:vector>
  </HeadingPairs>
  <TitlesOfParts>
    <vt:vector size="24" baseType="lpstr">
      <vt:lpstr>الموظفين</vt:lpstr>
      <vt:lpstr>المشتريات اليومية</vt:lpstr>
      <vt:lpstr>المصروفات النثرية</vt:lpstr>
      <vt:lpstr>سلف الموظفين</vt:lpstr>
      <vt:lpstr>تفصيلة اليوم</vt:lpstr>
      <vt:lpstr>سلف كل موظف</vt:lpstr>
      <vt:lpstr>ملخص شهري</vt:lpstr>
      <vt:lpstr>تقفيلة اليوم</vt:lpstr>
      <vt:lpstr>الإيرادات اليومية</vt:lpstr>
      <vt:lpstr>test</vt:lpstr>
      <vt:lpstr>فواتير</vt:lpstr>
      <vt:lpstr>الرواتب</vt:lpstr>
      <vt:lpstr>حضور وانصراف</vt:lpstr>
      <vt:lpstr>المخزون</vt:lpstr>
      <vt:lpstr>الجرد</vt:lpstr>
      <vt:lpstr>الموردين</vt:lpstr>
      <vt:lpstr>حساب م جمعة و طارق و هشام</vt:lpstr>
      <vt:lpstr>'المشتريات اليومية'!Print_Area</vt:lpstr>
      <vt:lpstr>الموظفين!Print_Area</vt:lpstr>
      <vt:lpstr>'تقفيلة اليوم'!Print_Area</vt:lpstr>
      <vt:lpstr>'حساب م جمعة و طارق و هشام'!Print_Area</vt:lpstr>
      <vt:lpstr>'سلف الموظفين'!Print_Area</vt:lpstr>
      <vt:lpstr>'سلف كل موظف'!Print_Area</vt:lpstr>
      <vt:lpstr>'ملخص شهري'!Print_Area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Eid Noh Eid Noh Saleh</dc:creator>
  <dc:description/>
  <cp:lastModifiedBy>eidnouh55@outlook.com</cp:lastModifiedBy>
  <cp:revision>0</cp:revision>
  <cp:lastPrinted>2026-07-23T18:34:24Z</cp:lastPrinted>
  <dcterms:created xsi:type="dcterms:W3CDTF">2026-06-27T05:51:50Z</dcterms:created>
  <dcterms:modified xsi:type="dcterms:W3CDTF">2026-07-24T09:01:43Z</dcterms:modified>
  <dc:language>en-US</dc:language>
</cp:coreProperties>
</file>