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trlProps/ctrlProp1.xml" ContentType="application/vnd.ms-excel.controlpropertie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7.xml" ContentType="application/vnd.openxmlformats-officedocument.drawingml.chartshape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koriDynasty\Desktop\Uni\maga\2sem\baklonovsky\"/>
    </mc:Choice>
  </mc:AlternateContent>
  <xr:revisionPtr revIDLastSave="0" documentId="13_ncr:1_{14DA536E-93CC-481B-BAA4-6118F401E2AA}" xr6:coauthVersionLast="36" xr6:coauthVersionMax="47" xr10:uidLastSave="{00000000-0000-0000-0000-000000000000}"/>
  <bookViews>
    <workbookView xWindow="0" yWindow="0" windowWidth="28800" windowHeight="12105" activeTab="8" xr2:uid="{00000000-000D-0000-FFFF-FFFF00000000}"/>
  </bookViews>
  <sheets>
    <sheet name="Титул" sheetId="1" r:id="rId1"/>
    <sheet name="Данные для анализа" sheetId="3" r:id="rId2"/>
    <sheet name="База" sheetId="18" r:id="rId3"/>
    <sheet name="Ошибки" sheetId="19" r:id="rId4"/>
    <sheet name="NPV" sheetId="20" r:id="rId5"/>
    <sheet name="ВДС" sheetId="22" r:id="rId6"/>
    <sheet name="ОФ" sheetId="23" r:id="rId7"/>
    <sheet name="ЗП" sheetId="26" r:id="rId8"/>
    <sheet name="ССЧ" sheetId="25" r:id="rId9"/>
    <sheet name="ИТОГ" sheetId="17" r:id="rId10"/>
    <sheet name="Рисунки" sheetId="4" r:id="rId11"/>
  </sheets>
  <definedNames>
    <definedName name="solver_adj" localSheetId="3" hidden="1">Ошибки!$T$4:$T$5</definedName>
    <definedName name="solver_cvg" localSheetId="3" hidden="1">0.0001</definedName>
    <definedName name="solver_drv" localSheetId="3" hidden="1">1</definedName>
    <definedName name="solver_eng" localSheetId="4" hidden="1">1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4" hidden="1">1</definedName>
    <definedName name="solver_neg" localSheetId="3" hidden="1">1</definedName>
    <definedName name="solver_nod" localSheetId="3" hidden="1">2147483647</definedName>
    <definedName name="solver_num" localSheetId="4" hidden="1">0</definedName>
    <definedName name="solver_num" localSheetId="3" hidden="1">0</definedName>
    <definedName name="solver_nwt" localSheetId="3" hidden="1">1</definedName>
    <definedName name="solver_opt" localSheetId="4" hidden="1">NPV!$I$9</definedName>
    <definedName name="solver_opt" localSheetId="3" hidden="1">Ошибки!$W$7</definedName>
    <definedName name="solver_pre" localSheetId="3" hidden="1">0.000001</definedName>
    <definedName name="solver_rbv" localSheetId="3" hidden="1">1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4" hidden="1">1</definedName>
    <definedName name="solver_typ" localSheetId="3" hidden="1">2</definedName>
    <definedName name="solver_val" localSheetId="4" hidden="1">0</definedName>
    <definedName name="solver_val" localSheetId="3" hidden="1">0</definedName>
    <definedName name="solver_ver" localSheetId="4" hidden="1">3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" i="17" l="1"/>
  <c r="N14" i="17"/>
  <c r="C18" i="26"/>
  <c r="F4" i="17"/>
  <c r="G15" i="17"/>
  <c r="G14" i="17"/>
  <c r="G13" i="17"/>
  <c r="G12" i="17"/>
  <c r="G11" i="17"/>
  <c r="G10" i="17"/>
  <c r="G9" i="17"/>
  <c r="G8" i="17"/>
  <c r="G7" i="17"/>
  <c r="G6" i="17"/>
  <c r="G5" i="17"/>
  <c r="G4" i="17"/>
  <c r="F3" i="17"/>
  <c r="E3" i="17"/>
  <c r="C16" i="20"/>
  <c r="N6" i="1"/>
  <c r="C16" i="19"/>
  <c r="D5" i="18"/>
  <c r="D4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16" i="18"/>
  <c r="D16" i="25" l="1"/>
  <c r="D17" i="25"/>
  <c r="D18" i="25"/>
  <c r="D19" i="25"/>
  <c r="D20" i="25"/>
  <c r="D21" i="25"/>
  <c r="D22" i="25"/>
  <c r="G16" i="25"/>
  <c r="G17" i="25"/>
  <c r="G18" i="25"/>
  <c r="G19" i="25"/>
  <c r="G20" i="25"/>
  <c r="G21" i="25"/>
  <c r="G22" i="25"/>
  <c r="S3" i="17"/>
  <c r="C14" i="25"/>
  <c r="A17" i="25"/>
  <c r="A18" i="25"/>
  <c r="A19" i="25"/>
  <c r="A20" i="25"/>
  <c r="A21" i="25"/>
  <c r="A22" i="25"/>
  <c r="A23" i="25"/>
  <c r="A24" i="25"/>
  <c r="A25" i="25"/>
  <c r="A26" i="25"/>
  <c r="A27" i="25"/>
  <c r="A28" i="25"/>
  <c r="A29" i="25"/>
  <c r="A30" i="25"/>
  <c r="A31" i="25"/>
  <c r="A32" i="25"/>
  <c r="A33" i="25"/>
  <c r="A34" i="25"/>
  <c r="A35" i="25"/>
  <c r="A36" i="25"/>
  <c r="A37" i="25"/>
  <c r="A38" i="25"/>
  <c r="A39" i="25"/>
  <c r="A40" i="25"/>
  <c r="A41" i="25"/>
  <c r="A42" i="25"/>
  <c r="A43" i="25"/>
  <c r="A44" i="25"/>
  <c r="A45" i="25"/>
  <c r="A46" i="25"/>
  <c r="A47" i="25"/>
  <c r="A48" i="25"/>
  <c r="A49" i="25"/>
  <c r="A16" i="25"/>
  <c r="C17" i="25"/>
  <c r="S4" i="17" s="1"/>
  <c r="C18" i="25"/>
  <c r="S5" i="17" s="1"/>
  <c r="C19" i="25"/>
  <c r="S6" i="17" s="1"/>
  <c r="C20" i="25"/>
  <c r="S7" i="17" s="1"/>
  <c r="C21" i="25"/>
  <c r="S8" i="17" s="1"/>
  <c r="C22" i="25"/>
  <c r="S9" i="17" s="1"/>
  <c r="C23" i="25"/>
  <c r="S10" i="17" s="1"/>
  <c r="C24" i="25"/>
  <c r="C25" i="25"/>
  <c r="S12" i="17" s="1"/>
  <c r="C26" i="25"/>
  <c r="S13" i="17" s="1"/>
  <c r="C27" i="25"/>
  <c r="S14" i="17" s="1"/>
  <c r="C28" i="25"/>
  <c r="S15" i="17" s="1"/>
  <c r="C29" i="25"/>
  <c r="S16" i="17" s="1"/>
  <c r="C30" i="25"/>
  <c r="S17" i="17" s="1"/>
  <c r="C31" i="25"/>
  <c r="S18" i="17" s="1"/>
  <c r="C32" i="25"/>
  <c r="S19" i="17" s="1"/>
  <c r="C33" i="25"/>
  <c r="S20" i="17" s="1"/>
  <c r="C34" i="25"/>
  <c r="S21" i="17" s="1"/>
  <c r="C35" i="25"/>
  <c r="S22" i="17" s="1"/>
  <c r="C36" i="25"/>
  <c r="S23" i="17" s="1"/>
  <c r="C37" i="25"/>
  <c r="S24" i="17" s="1"/>
  <c r="C38" i="25"/>
  <c r="S25" i="17" s="1"/>
  <c r="C16" i="25"/>
  <c r="G28" i="26"/>
  <c r="G40" i="26"/>
  <c r="G18" i="26"/>
  <c r="D7" i="26"/>
  <c r="C19" i="26"/>
  <c r="O4" i="17" s="1"/>
  <c r="C20" i="26"/>
  <c r="O5" i="17" s="1"/>
  <c r="C21" i="26"/>
  <c r="O6" i="17" s="1"/>
  <c r="C22" i="26"/>
  <c r="O7" i="17" s="1"/>
  <c r="C23" i="26"/>
  <c r="O8" i="17" s="1"/>
  <c r="C24" i="26"/>
  <c r="O9" i="17" s="1"/>
  <c r="C25" i="26"/>
  <c r="O10" i="17" s="1"/>
  <c r="C26" i="26"/>
  <c r="O11" i="17" s="1"/>
  <c r="C27" i="26"/>
  <c r="O12" i="17" s="1"/>
  <c r="C28" i="26"/>
  <c r="O13" i="17" s="1"/>
  <c r="C29" i="26"/>
  <c r="O14" i="17" s="1"/>
  <c r="C30" i="26"/>
  <c r="O15" i="17" s="1"/>
  <c r="C31" i="26"/>
  <c r="O16" i="17" s="1"/>
  <c r="C32" i="26"/>
  <c r="O17" i="17" s="1"/>
  <c r="C33" i="26"/>
  <c r="O18" i="17" s="1"/>
  <c r="C34" i="26"/>
  <c r="O19" i="17" s="1"/>
  <c r="C35" i="26"/>
  <c r="O20" i="17" s="1"/>
  <c r="C36" i="26"/>
  <c r="O21" i="17" s="1"/>
  <c r="C37" i="26"/>
  <c r="O22" i="17" s="1"/>
  <c r="C38" i="26"/>
  <c r="O23" i="17" s="1"/>
  <c r="C39" i="26"/>
  <c r="O24" i="17" s="1"/>
  <c r="C40" i="26"/>
  <c r="O25" i="17" s="1"/>
  <c r="G20" i="26"/>
  <c r="C16" i="26"/>
  <c r="K13" i="17"/>
  <c r="K15" i="17"/>
  <c r="K25" i="17"/>
  <c r="G27" i="23"/>
  <c r="G39" i="23"/>
  <c r="G48" i="23"/>
  <c r="G17" i="23"/>
  <c r="D6" i="23"/>
  <c r="C18" i="23"/>
  <c r="K4" i="17" s="1"/>
  <c r="C19" i="23"/>
  <c r="K5" i="17" s="1"/>
  <c r="C20" i="23"/>
  <c r="K6" i="17" s="1"/>
  <c r="C21" i="23"/>
  <c r="K7" i="17" s="1"/>
  <c r="C22" i="23"/>
  <c r="K8" i="17" s="1"/>
  <c r="C23" i="23"/>
  <c r="K9" i="17" s="1"/>
  <c r="C24" i="23"/>
  <c r="K10" i="17" s="1"/>
  <c r="C25" i="23"/>
  <c r="K11" i="17" s="1"/>
  <c r="C26" i="23"/>
  <c r="K12" i="17" s="1"/>
  <c r="C27" i="23"/>
  <c r="C28" i="23"/>
  <c r="K14" i="17" s="1"/>
  <c r="C29" i="23"/>
  <c r="C30" i="23"/>
  <c r="K16" i="17" s="1"/>
  <c r="C31" i="23"/>
  <c r="K17" i="17" s="1"/>
  <c r="C32" i="23"/>
  <c r="K18" i="17" s="1"/>
  <c r="C33" i="23"/>
  <c r="K19" i="17" s="1"/>
  <c r="C34" i="23"/>
  <c r="K20" i="17" s="1"/>
  <c r="C35" i="23"/>
  <c r="K21" i="17" s="1"/>
  <c r="C36" i="23"/>
  <c r="K22" i="17" s="1"/>
  <c r="C37" i="23"/>
  <c r="K23" i="17" s="1"/>
  <c r="C38" i="23"/>
  <c r="K24" i="17" s="1"/>
  <c r="C39" i="23"/>
  <c r="C17" i="23"/>
  <c r="K3" i="17" s="1"/>
  <c r="C15" i="23"/>
  <c r="G23" i="17"/>
  <c r="G24" i="17"/>
  <c r="G25" i="17"/>
  <c r="G26" i="17"/>
  <c r="C39" i="22"/>
  <c r="C38" i="22"/>
  <c r="C37" i="22"/>
  <c r="C36" i="22"/>
  <c r="C35" i="22"/>
  <c r="G22" i="17" s="1"/>
  <c r="C34" i="22"/>
  <c r="G21" i="17" s="1"/>
  <c r="C33" i="22"/>
  <c r="G20" i="17" s="1"/>
  <c r="C32" i="22"/>
  <c r="G19" i="17" s="1"/>
  <c r="C31" i="22"/>
  <c r="G18" i="17" s="1"/>
  <c r="C30" i="22"/>
  <c r="G17" i="17" s="1"/>
  <c r="C29" i="22"/>
  <c r="G16" i="17" s="1"/>
  <c r="C28" i="22"/>
  <c r="C27" i="22"/>
  <c r="C26" i="22"/>
  <c r="C25" i="22"/>
  <c r="C24" i="22"/>
  <c r="C23" i="22"/>
  <c r="C22" i="22"/>
  <c r="C21" i="22"/>
  <c r="C20" i="22"/>
  <c r="C19" i="22"/>
  <c r="C18" i="22"/>
  <c r="D5" i="22" s="1"/>
  <c r="C17" i="22"/>
  <c r="C16" i="22"/>
  <c r="G3" i="17" s="1"/>
  <c r="C14" i="22"/>
  <c r="D40" i="20"/>
  <c r="D41" i="20"/>
  <c r="D42" i="20"/>
  <c r="D43" i="20"/>
  <c r="D44" i="20"/>
  <c r="D45" i="20"/>
  <c r="D46" i="20"/>
  <c r="D47" i="20"/>
  <c r="D48" i="20"/>
  <c r="D49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16" i="20"/>
  <c r="T17" i="19"/>
  <c r="T18" i="19"/>
  <c r="T19" i="19"/>
  <c r="T20" i="19"/>
  <c r="T21" i="19"/>
  <c r="T22" i="19"/>
  <c r="T23" i="19"/>
  <c r="T24" i="19"/>
  <c r="T25" i="19"/>
  <c r="T26" i="19"/>
  <c r="T27" i="19"/>
  <c r="T28" i="19"/>
  <c r="T29" i="19"/>
  <c r="T30" i="19"/>
  <c r="T31" i="19"/>
  <c r="T32" i="19"/>
  <c r="T33" i="19"/>
  <c r="T34" i="19"/>
  <c r="T35" i="19"/>
  <c r="T36" i="19"/>
  <c r="T37" i="19"/>
  <c r="T38" i="19"/>
  <c r="T39" i="19"/>
  <c r="T40" i="19"/>
  <c r="T41" i="19"/>
  <c r="T42" i="19"/>
  <c r="T43" i="19"/>
  <c r="T44" i="19"/>
  <c r="T45" i="19"/>
  <c r="T46" i="19"/>
  <c r="T47" i="19"/>
  <c r="T48" i="19"/>
  <c r="T49" i="19"/>
  <c r="T16" i="19"/>
  <c r="L17" i="19"/>
  <c r="L18" i="19"/>
  <c r="L19" i="19"/>
  <c r="L20" i="19"/>
  <c r="L21" i="19"/>
  <c r="L22" i="19"/>
  <c r="L23" i="19"/>
  <c r="L24" i="19"/>
  <c r="L25" i="19"/>
  <c r="L26" i="19"/>
  <c r="L27" i="19"/>
  <c r="L28" i="19"/>
  <c r="L29" i="19"/>
  <c r="L30" i="19"/>
  <c r="L31" i="19"/>
  <c r="L32" i="19"/>
  <c r="L33" i="19"/>
  <c r="L34" i="19"/>
  <c r="L35" i="19"/>
  <c r="L36" i="19"/>
  <c r="L37" i="19"/>
  <c r="L38" i="19"/>
  <c r="L39" i="19"/>
  <c r="L40" i="19"/>
  <c r="L41" i="19"/>
  <c r="L42" i="19"/>
  <c r="L43" i="19"/>
  <c r="L44" i="19"/>
  <c r="L45" i="19"/>
  <c r="L46" i="19"/>
  <c r="L47" i="19"/>
  <c r="L48" i="19"/>
  <c r="L49" i="19"/>
  <c r="L16" i="19"/>
  <c r="G29" i="22" l="1"/>
  <c r="G42" i="23"/>
  <c r="G30" i="23"/>
  <c r="G18" i="23"/>
  <c r="G43" i="26"/>
  <c r="G31" i="26"/>
  <c r="G19" i="26"/>
  <c r="G41" i="23"/>
  <c r="D5" i="26"/>
  <c r="G42" i="26"/>
  <c r="G30" i="26"/>
  <c r="O3" i="17"/>
  <c r="G29" i="23"/>
  <c r="D4" i="23"/>
  <c r="G40" i="23"/>
  <c r="G28" i="23"/>
  <c r="D4" i="26"/>
  <c r="G41" i="26"/>
  <c r="G29" i="26"/>
  <c r="D5" i="23"/>
  <c r="G50" i="23"/>
  <c r="G38" i="23"/>
  <c r="G26" i="23"/>
  <c r="D6" i="26"/>
  <c r="G51" i="26"/>
  <c r="G39" i="26"/>
  <c r="G27" i="26"/>
  <c r="G49" i="23"/>
  <c r="G37" i="23"/>
  <c r="G25" i="23"/>
  <c r="G50" i="26"/>
  <c r="G38" i="26"/>
  <c r="G26" i="26"/>
  <c r="G24" i="23"/>
  <c r="G49" i="26"/>
  <c r="G37" i="26"/>
  <c r="G25" i="26"/>
  <c r="G29" i="25"/>
  <c r="D4" i="22"/>
  <c r="G47" i="23"/>
  <c r="G35" i="23"/>
  <c r="G23" i="23"/>
  <c r="G48" i="26"/>
  <c r="G36" i="26"/>
  <c r="G24" i="26"/>
  <c r="G46" i="23"/>
  <c r="G34" i="23"/>
  <c r="G22" i="23"/>
  <c r="G47" i="26"/>
  <c r="G35" i="26"/>
  <c r="G23" i="26"/>
  <c r="G36" i="23"/>
  <c r="G45" i="23"/>
  <c r="G33" i="23"/>
  <c r="G21" i="23"/>
  <c r="G46" i="26"/>
  <c r="G34" i="26"/>
  <c r="G22" i="26"/>
  <c r="G44" i="23"/>
  <c r="G32" i="23"/>
  <c r="G20" i="23"/>
  <c r="G45" i="26"/>
  <c r="G33" i="26"/>
  <c r="G21" i="26"/>
  <c r="G43" i="23"/>
  <c r="G31" i="23"/>
  <c r="G19" i="23"/>
  <c r="G44" i="26"/>
  <c r="G32" i="26"/>
  <c r="G40" i="25"/>
  <c r="G28" i="25"/>
  <c r="G39" i="25"/>
  <c r="G27" i="25"/>
  <c r="G38" i="25"/>
  <c r="G26" i="25"/>
  <c r="G49" i="25"/>
  <c r="G37" i="25"/>
  <c r="G25" i="25"/>
  <c r="G48" i="25"/>
  <c r="G36" i="25"/>
  <c r="G24" i="25"/>
  <c r="D4" i="25"/>
  <c r="G47" i="25"/>
  <c r="G35" i="25"/>
  <c r="D5" i="25"/>
  <c r="G46" i="25"/>
  <c r="G34" i="25"/>
  <c r="G23" i="25"/>
  <c r="G45" i="25"/>
  <c r="G33" i="25"/>
  <c r="G44" i="25"/>
  <c r="G32" i="25"/>
  <c r="S11" i="17"/>
  <c r="G43" i="25"/>
  <c r="G31" i="25"/>
  <c r="G42" i="25"/>
  <c r="G30" i="25"/>
  <c r="G41" i="25"/>
  <c r="F17" i="25"/>
  <c r="U4" i="17" s="1"/>
  <c r="E17" i="25"/>
  <c r="V4" i="17" s="1"/>
  <c r="E18" i="25"/>
  <c r="V5" i="17" s="1"/>
  <c r="F18" i="25"/>
  <c r="U5" i="17" s="1"/>
  <c r="F19" i="25"/>
  <c r="U6" i="17" s="1"/>
  <c r="E19" i="25"/>
  <c r="V6" i="17" s="1"/>
  <c r="F20" i="25"/>
  <c r="U7" i="17" s="1"/>
  <c r="E20" i="25"/>
  <c r="V7" i="17" s="1"/>
  <c r="F21" i="25"/>
  <c r="U8" i="17" s="1"/>
  <c r="E21" i="25"/>
  <c r="V8" i="17" s="1"/>
  <c r="F16" i="25"/>
  <c r="U3" i="17" s="1"/>
  <c r="E16" i="25"/>
  <c r="V3" i="17" s="1"/>
  <c r="G30" i="22"/>
  <c r="G19" i="22"/>
  <c r="G47" i="22"/>
  <c r="G18" i="22"/>
  <c r="G46" i="22"/>
  <c r="G45" i="22"/>
  <c r="G16" i="22"/>
  <c r="G44" i="22"/>
  <c r="G48" i="22"/>
  <c r="G42" i="22"/>
  <c r="G40" i="22"/>
  <c r="G39" i="22"/>
  <c r="G43" i="22"/>
  <c r="G38" i="22"/>
  <c r="G41" i="22"/>
  <c r="G37" i="22"/>
  <c r="G36" i="22"/>
  <c r="G35" i="22"/>
  <c r="G34" i="22"/>
  <c r="G33" i="22"/>
  <c r="G32" i="22"/>
  <c r="G31" i="22"/>
  <c r="G49" i="22"/>
  <c r="G27" i="22"/>
  <c r="G26" i="22"/>
  <c r="G25" i="22"/>
  <c r="G28" i="22"/>
  <c r="G24" i="22"/>
  <c r="G23" i="22"/>
  <c r="G22" i="22"/>
  <c r="G21" i="22"/>
  <c r="G17" i="22"/>
  <c r="G20" i="22"/>
  <c r="D48" i="22"/>
  <c r="D47" i="22"/>
  <c r="D46" i="22"/>
  <c r="D45" i="22"/>
  <c r="D43" i="22"/>
  <c r="H30" i="17" s="1"/>
  <c r="D39" i="22"/>
  <c r="H26" i="17" s="1"/>
  <c r="D38" i="22"/>
  <c r="H25" i="17" s="1"/>
  <c r="D26" i="22"/>
  <c r="H13" i="17" s="1"/>
  <c r="D22" i="22"/>
  <c r="H9" i="17" s="1"/>
  <c r="D34" i="22"/>
  <c r="H21" i="17" s="1"/>
  <c r="D31" i="22"/>
  <c r="H18" i="17" s="1"/>
  <c r="D28" i="22"/>
  <c r="H15" i="17" s="1"/>
  <c r="D35" i="22"/>
  <c r="H22" i="17" s="1"/>
  <c r="D25" i="22"/>
  <c r="H12" i="17" s="1"/>
  <c r="D20" i="22"/>
  <c r="H7" i="17" s="1"/>
  <c r="D36" i="22"/>
  <c r="H23" i="17" s="1"/>
  <c r="D27" i="22"/>
  <c r="H14" i="17" s="1"/>
  <c r="D19" i="22"/>
  <c r="H6" i="17" s="1"/>
  <c r="D41" i="22"/>
  <c r="H28" i="17" s="1"/>
  <c r="D30" i="22"/>
  <c r="D18" i="22"/>
  <c r="H5" i="17" s="1"/>
  <c r="D37" i="22"/>
  <c r="H24" i="17" s="1"/>
  <c r="D21" i="22"/>
  <c r="H8" i="17" s="1"/>
  <c r="D17" i="22"/>
  <c r="H4" i="17" s="1"/>
  <c r="D24" i="22"/>
  <c r="H11" i="17" s="1"/>
  <c r="D32" i="22"/>
  <c r="H19" i="17" s="1"/>
  <c r="D16" i="22"/>
  <c r="D49" i="22"/>
  <c r="D29" i="22"/>
  <c r="H16" i="17" s="1"/>
  <c r="D44" i="22"/>
  <c r="H31" i="17" s="1"/>
  <c r="D23" i="22"/>
  <c r="H10" i="17" s="1"/>
  <c r="D42" i="22"/>
  <c r="H29" i="17" s="1"/>
  <c r="D33" i="22"/>
  <c r="H20" i="17" s="1"/>
  <c r="D40" i="22"/>
  <c r="H27" i="17" s="1"/>
  <c r="C17" i="19"/>
  <c r="K17" i="19" s="1"/>
  <c r="S17" i="19" s="1"/>
  <c r="W17" i="19" s="1"/>
  <c r="C17" i="20"/>
  <c r="C17" i="18"/>
  <c r="C18" i="20"/>
  <c r="C18" i="18"/>
  <c r="C18" i="19"/>
  <c r="K18" i="19" s="1"/>
  <c r="C19" i="19"/>
  <c r="K19" i="19" s="1"/>
  <c r="S19" i="19" s="1"/>
  <c r="W19" i="19" s="1"/>
  <c r="C19" i="18"/>
  <c r="C19" i="20"/>
  <c r="C20" i="20"/>
  <c r="C20" i="19"/>
  <c r="K20" i="19" s="1"/>
  <c r="C20" i="18"/>
  <c r="C21" i="19"/>
  <c r="K21" i="19" s="1"/>
  <c r="S21" i="19" s="1"/>
  <c r="W21" i="19" s="1"/>
  <c r="C21" i="18"/>
  <c r="C21" i="20"/>
  <c r="C22" i="18"/>
  <c r="C22" i="20"/>
  <c r="C22" i="19"/>
  <c r="K22" i="19" s="1"/>
  <c r="C23" i="18"/>
  <c r="C23" i="20"/>
  <c r="C23" i="19"/>
  <c r="K23" i="19" s="1"/>
  <c r="S23" i="19" s="1"/>
  <c r="W23" i="19" s="1"/>
  <c r="C24" i="18"/>
  <c r="C24" i="20"/>
  <c r="C24" i="19"/>
  <c r="K24" i="19" s="1"/>
  <c r="C25" i="18"/>
  <c r="C25" i="20"/>
  <c r="C25" i="19"/>
  <c r="K25" i="19" s="1"/>
  <c r="S25" i="19" s="1"/>
  <c r="W25" i="19" s="1"/>
  <c r="C26" i="20"/>
  <c r="C26" i="19"/>
  <c r="K26" i="19" s="1"/>
  <c r="C26" i="18"/>
  <c r="C27" i="19"/>
  <c r="K27" i="19" s="1"/>
  <c r="S27" i="19" s="1"/>
  <c r="W27" i="19" s="1"/>
  <c r="C27" i="20"/>
  <c r="C27" i="18"/>
  <c r="C28" i="20"/>
  <c r="C28" i="19"/>
  <c r="K28" i="19" s="1"/>
  <c r="C28" i="18"/>
  <c r="C29" i="20"/>
  <c r="C29" i="19"/>
  <c r="K29" i="19" s="1"/>
  <c r="S29" i="19" s="1"/>
  <c r="W29" i="19" s="1"/>
  <c r="C29" i="18"/>
  <c r="C30" i="19"/>
  <c r="K30" i="19" s="1"/>
  <c r="C30" i="20"/>
  <c r="C30" i="18"/>
  <c r="C31" i="20"/>
  <c r="C31" i="19"/>
  <c r="K31" i="19" s="1"/>
  <c r="S31" i="19" s="1"/>
  <c r="W31" i="19" s="1"/>
  <c r="C31" i="18"/>
  <c r="C32" i="20"/>
  <c r="C32" i="19"/>
  <c r="K32" i="19" s="1"/>
  <c r="C32" i="18"/>
  <c r="C33" i="20"/>
  <c r="C33" i="19"/>
  <c r="K33" i="19" s="1"/>
  <c r="S33" i="19" s="1"/>
  <c r="W33" i="19" s="1"/>
  <c r="C33" i="18"/>
  <c r="C34" i="20"/>
  <c r="C34" i="19"/>
  <c r="K34" i="19" s="1"/>
  <c r="C34" i="18"/>
  <c r="C35" i="20"/>
  <c r="C35" i="19"/>
  <c r="K35" i="19" s="1"/>
  <c r="S35" i="19" s="1"/>
  <c r="W35" i="19" s="1"/>
  <c r="C35" i="18"/>
  <c r="C36" i="19"/>
  <c r="K36" i="19" s="1"/>
  <c r="C36" i="20"/>
  <c r="C36" i="18"/>
  <c r="C37" i="19"/>
  <c r="K37" i="19" s="1"/>
  <c r="S37" i="19" s="1"/>
  <c r="W37" i="19" s="1"/>
  <c r="C37" i="20"/>
  <c r="C37" i="18"/>
  <c r="C38" i="19"/>
  <c r="K38" i="19" s="1"/>
  <c r="C38" i="20"/>
  <c r="C38" i="18"/>
  <c r="C39" i="19"/>
  <c r="K39" i="19" s="1"/>
  <c r="S39" i="19" s="1"/>
  <c r="W39" i="19" s="1"/>
  <c r="C39" i="20"/>
  <c r="C39" i="18"/>
  <c r="K16" i="19"/>
  <c r="C16" i="18"/>
  <c r="O37" i="19"/>
  <c r="O29" i="19"/>
  <c r="O27" i="19"/>
  <c r="O25" i="19"/>
  <c r="O23" i="19"/>
  <c r="O21" i="19"/>
  <c r="O19" i="19"/>
  <c r="O17" i="19"/>
  <c r="D36" i="19"/>
  <c r="D21" i="19"/>
  <c r="D25" i="19"/>
  <c r="D29" i="19"/>
  <c r="D33" i="19"/>
  <c r="D37" i="19"/>
  <c r="D27" i="25" l="1"/>
  <c r="T14" i="17" s="1"/>
  <c r="D46" i="25"/>
  <c r="D41" i="25"/>
  <c r="T28" i="17" s="1"/>
  <c r="D48" i="25"/>
  <c r="D45" i="25"/>
  <c r="D37" i="25"/>
  <c r="T24" i="17" s="1"/>
  <c r="D36" i="25"/>
  <c r="T23" i="17" s="1"/>
  <c r="D35" i="25"/>
  <c r="T22" i="17" s="1"/>
  <c r="D29" i="25"/>
  <c r="T16" i="17" s="1"/>
  <c r="D28" i="25"/>
  <c r="T15" i="17" s="1"/>
  <c r="D24" i="25"/>
  <c r="T11" i="17" s="1"/>
  <c r="D42" i="25"/>
  <c r="T29" i="17" s="1"/>
  <c r="D40" i="25"/>
  <c r="T27" i="17" s="1"/>
  <c r="H30" i="22"/>
  <c r="H17" i="17"/>
  <c r="O31" i="19"/>
  <c r="H16" i="22"/>
  <c r="H3" i="17"/>
  <c r="D22" i="26"/>
  <c r="P7" i="17" s="1"/>
  <c r="D34" i="26"/>
  <c r="P19" i="17" s="1"/>
  <c r="D46" i="26"/>
  <c r="P31" i="17" s="1"/>
  <c r="D23" i="26"/>
  <c r="P8" i="17" s="1"/>
  <c r="D35" i="26"/>
  <c r="P20" i="17" s="1"/>
  <c r="D47" i="26"/>
  <c r="D24" i="26"/>
  <c r="P9" i="17" s="1"/>
  <c r="D36" i="26"/>
  <c r="P21" i="17" s="1"/>
  <c r="D48" i="26"/>
  <c r="D25" i="26"/>
  <c r="P10" i="17" s="1"/>
  <c r="D37" i="26"/>
  <c r="P22" i="17" s="1"/>
  <c r="D49" i="26"/>
  <c r="D30" i="26"/>
  <c r="P15" i="17" s="1"/>
  <c r="D26" i="26"/>
  <c r="P11" i="17" s="1"/>
  <c r="D38" i="26"/>
  <c r="P23" i="17" s="1"/>
  <c r="D50" i="26"/>
  <c r="D27" i="26"/>
  <c r="P12" i="17" s="1"/>
  <c r="D39" i="26"/>
  <c r="P24" i="17" s="1"/>
  <c r="D51" i="26"/>
  <c r="D28" i="26"/>
  <c r="P13" i="17" s="1"/>
  <c r="D40" i="26"/>
  <c r="P25" i="17" s="1"/>
  <c r="D18" i="26"/>
  <c r="D29" i="26"/>
  <c r="P14" i="17" s="1"/>
  <c r="D41" i="26"/>
  <c r="P26" i="17" s="1"/>
  <c r="D19" i="26"/>
  <c r="P4" i="17" s="1"/>
  <c r="D31" i="26"/>
  <c r="P16" i="17" s="1"/>
  <c r="D43" i="26"/>
  <c r="P28" i="17" s="1"/>
  <c r="D20" i="26"/>
  <c r="P5" i="17" s="1"/>
  <c r="D32" i="26"/>
  <c r="P17" i="17" s="1"/>
  <c r="D44" i="26"/>
  <c r="P29" i="17" s="1"/>
  <c r="D21" i="26"/>
  <c r="P6" i="17" s="1"/>
  <c r="D33" i="26"/>
  <c r="P18" i="17" s="1"/>
  <c r="D45" i="26"/>
  <c r="P30" i="17" s="1"/>
  <c r="D42" i="26"/>
  <c r="P27" i="17" s="1"/>
  <c r="O33" i="19"/>
  <c r="D44" i="25"/>
  <c r="T31" i="17" s="1"/>
  <c r="O35" i="19"/>
  <c r="D21" i="23"/>
  <c r="D33" i="23"/>
  <c r="D45" i="23"/>
  <c r="D26" i="23"/>
  <c r="D22" i="23"/>
  <c r="D34" i="23"/>
  <c r="D46" i="23"/>
  <c r="D23" i="23"/>
  <c r="D35" i="23"/>
  <c r="D47" i="23"/>
  <c r="D24" i="23"/>
  <c r="D36" i="23"/>
  <c r="D48" i="23"/>
  <c r="D38" i="23"/>
  <c r="D50" i="23"/>
  <c r="D25" i="23"/>
  <c r="D37" i="23"/>
  <c r="D49" i="23"/>
  <c r="D27" i="23"/>
  <c r="D39" i="23"/>
  <c r="D17" i="23"/>
  <c r="D28" i="23"/>
  <c r="D40" i="23"/>
  <c r="D18" i="23"/>
  <c r="D30" i="23"/>
  <c r="D42" i="23"/>
  <c r="D19" i="23"/>
  <c r="D31" i="23"/>
  <c r="D43" i="23"/>
  <c r="D20" i="23"/>
  <c r="D32" i="23"/>
  <c r="D44" i="23"/>
  <c r="D29" i="23"/>
  <c r="D41" i="23"/>
  <c r="O39" i="19"/>
  <c r="D31" i="25"/>
  <c r="T18" i="17" s="1"/>
  <c r="D25" i="25"/>
  <c r="T12" i="17" s="1"/>
  <c r="D30" i="25"/>
  <c r="T17" i="17" s="1"/>
  <c r="D43" i="25"/>
  <c r="T30" i="17" s="1"/>
  <c r="D26" i="25"/>
  <c r="T13" i="17" s="1"/>
  <c r="D47" i="25"/>
  <c r="D39" i="25"/>
  <c r="T26" i="17" s="1"/>
  <c r="D23" i="25"/>
  <c r="T10" i="17" s="1"/>
  <c r="D38" i="25"/>
  <c r="T25" i="17" s="1"/>
  <c r="D33" i="25"/>
  <c r="T20" i="17" s="1"/>
  <c r="D34" i="25"/>
  <c r="T21" i="17" s="1"/>
  <c r="D32" i="25"/>
  <c r="T19" i="17" s="1"/>
  <c r="D49" i="25"/>
  <c r="T9" i="17"/>
  <c r="H38" i="26"/>
  <c r="H37" i="26"/>
  <c r="H35" i="26"/>
  <c r="H29" i="26"/>
  <c r="H28" i="26"/>
  <c r="H30" i="26"/>
  <c r="H40" i="26"/>
  <c r="H25" i="26"/>
  <c r="H34" i="26"/>
  <c r="H36" i="26"/>
  <c r="H19" i="26"/>
  <c r="H33" i="26"/>
  <c r="H39" i="22"/>
  <c r="H38" i="22"/>
  <c r="H26" i="22"/>
  <c r="H22" i="22"/>
  <c r="H34" i="22"/>
  <c r="H31" i="22"/>
  <c r="H28" i="22"/>
  <c r="H35" i="22"/>
  <c r="H25" i="22"/>
  <c r="H20" i="22"/>
  <c r="H36" i="22"/>
  <c r="H27" i="22"/>
  <c r="H19" i="22"/>
  <c r="H18" i="22"/>
  <c r="H37" i="22"/>
  <c r="H21" i="22"/>
  <c r="H17" i="22"/>
  <c r="H24" i="22"/>
  <c r="H32" i="22"/>
  <c r="H29" i="22"/>
  <c r="H23" i="22"/>
  <c r="H33" i="22"/>
  <c r="E17" i="20"/>
  <c r="E18" i="20"/>
  <c r="O18" i="19"/>
  <c r="S18" i="19"/>
  <c r="W18" i="19" s="1"/>
  <c r="E19" i="20"/>
  <c r="E20" i="20"/>
  <c r="O20" i="19"/>
  <c r="S20" i="19"/>
  <c r="W20" i="19" s="1"/>
  <c r="E21" i="20"/>
  <c r="E22" i="20"/>
  <c r="O22" i="19"/>
  <c r="S22" i="19"/>
  <c r="W22" i="19" s="1"/>
  <c r="E23" i="20"/>
  <c r="E24" i="20"/>
  <c r="O24" i="19"/>
  <c r="S24" i="19"/>
  <c r="W24" i="19" s="1"/>
  <c r="E25" i="20"/>
  <c r="E26" i="20"/>
  <c r="O26" i="19"/>
  <c r="S26" i="19"/>
  <c r="W26" i="19" s="1"/>
  <c r="E27" i="20"/>
  <c r="E28" i="20"/>
  <c r="O28" i="19"/>
  <c r="S28" i="19"/>
  <c r="W28" i="19" s="1"/>
  <c r="E29" i="20"/>
  <c r="O30" i="19"/>
  <c r="S30" i="19"/>
  <c r="W30" i="19" s="1"/>
  <c r="E30" i="20"/>
  <c r="E31" i="20"/>
  <c r="E32" i="20"/>
  <c r="O32" i="19"/>
  <c r="S32" i="19"/>
  <c r="W32" i="19" s="1"/>
  <c r="E33" i="20"/>
  <c r="E34" i="20"/>
  <c r="O34" i="19"/>
  <c r="S34" i="19"/>
  <c r="W34" i="19" s="1"/>
  <c r="E35" i="20"/>
  <c r="O36" i="19"/>
  <c r="S36" i="19"/>
  <c r="W36" i="19" s="1"/>
  <c r="E36" i="20"/>
  <c r="E37" i="20"/>
  <c r="O38" i="19"/>
  <c r="S38" i="19"/>
  <c r="W38" i="19" s="1"/>
  <c r="E38" i="20"/>
  <c r="E39" i="20"/>
  <c r="E16" i="20"/>
  <c r="O16" i="19"/>
  <c r="S16" i="19"/>
  <c r="W16" i="19" s="1"/>
  <c r="G36" i="19"/>
  <c r="G37" i="19"/>
  <c r="G33" i="19"/>
  <c r="G29" i="19"/>
  <c r="G25" i="19"/>
  <c r="G21" i="19"/>
  <c r="D48" i="19"/>
  <c r="D46" i="19"/>
  <c r="D44" i="19"/>
  <c r="D42" i="19"/>
  <c r="D40" i="19"/>
  <c r="D18" i="19"/>
  <c r="D16" i="19"/>
  <c r="D22" i="19"/>
  <c r="D26" i="19"/>
  <c r="D30" i="19"/>
  <c r="D34" i="19"/>
  <c r="D38" i="19"/>
  <c r="D39" i="19"/>
  <c r="D35" i="19"/>
  <c r="D31" i="19"/>
  <c r="D27" i="19"/>
  <c r="D23" i="19"/>
  <c r="D19" i="19"/>
  <c r="D17" i="19"/>
  <c r="D49" i="19"/>
  <c r="D47" i="19"/>
  <c r="D45" i="19"/>
  <c r="D43" i="19"/>
  <c r="D41" i="19"/>
  <c r="D20" i="19"/>
  <c r="D24" i="19"/>
  <c r="D28" i="19"/>
  <c r="D32" i="19"/>
  <c r="D17" i="18"/>
  <c r="H17" i="18" s="1"/>
  <c r="D19" i="18"/>
  <c r="H19" i="18" s="1"/>
  <c r="D21" i="18"/>
  <c r="H21" i="18" s="1"/>
  <c r="D23" i="18"/>
  <c r="H23" i="18" s="1"/>
  <c r="D25" i="18"/>
  <c r="H25" i="18" s="1"/>
  <c r="D27" i="18"/>
  <c r="H27" i="18" s="1"/>
  <c r="D29" i="18"/>
  <c r="H29" i="18" s="1"/>
  <c r="D31" i="18"/>
  <c r="H31" i="18" s="1"/>
  <c r="D33" i="18"/>
  <c r="H33" i="18" s="1"/>
  <c r="D39" i="18"/>
  <c r="H39" i="18" s="1"/>
  <c r="D41" i="18"/>
  <c r="D43" i="18"/>
  <c r="D45" i="18"/>
  <c r="D47" i="18"/>
  <c r="D49" i="18"/>
  <c r="D18" i="18"/>
  <c r="H18" i="18" s="1"/>
  <c r="D20" i="18"/>
  <c r="H20" i="18" s="1"/>
  <c r="D22" i="18"/>
  <c r="H22" i="18" s="1"/>
  <c r="D24" i="18"/>
  <c r="H24" i="18" s="1"/>
  <c r="D30" i="18"/>
  <c r="H30" i="18" s="1"/>
  <c r="D32" i="18"/>
  <c r="H32" i="18" s="1"/>
  <c r="D34" i="18"/>
  <c r="H34" i="18" s="1"/>
  <c r="D36" i="18"/>
  <c r="H36" i="18" s="1"/>
  <c r="D38" i="18"/>
  <c r="H38" i="18" s="1"/>
  <c r="D40" i="18"/>
  <c r="D42" i="18"/>
  <c r="D44" i="18"/>
  <c r="D46" i="18"/>
  <c r="D48" i="18"/>
  <c r="H32" i="26" l="1"/>
  <c r="H27" i="26"/>
  <c r="H26" i="26"/>
  <c r="H22" i="26"/>
  <c r="K12" i="19"/>
  <c r="N27" i="19" s="1"/>
  <c r="D35" i="18"/>
  <c r="H35" i="18" s="1"/>
  <c r="L28" i="17"/>
  <c r="L24" i="17"/>
  <c r="L19" i="17"/>
  <c r="L4" i="17"/>
  <c r="L22" i="17"/>
  <c r="L26" i="17"/>
  <c r="H24" i="26"/>
  <c r="L15" i="17"/>
  <c r="L3" i="17"/>
  <c r="L21" i="17"/>
  <c r="L16" i="17"/>
  <c r="L30" i="17"/>
  <c r="L25" i="17"/>
  <c r="L9" i="17"/>
  <c r="L10" i="17"/>
  <c r="L14" i="17"/>
  <c r="L20" i="17"/>
  <c r="L18" i="17"/>
  <c r="L13" i="17"/>
  <c r="H21" i="26"/>
  <c r="L6" i="17"/>
  <c r="H31" i="26"/>
  <c r="L29" i="17"/>
  <c r="L23" i="17"/>
  <c r="L8" i="17"/>
  <c r="P3" i="17"/>
  <c r="H18" i="26"/>
  <c r="I19" i="26" s="1"/>
  <c r="D28" i="18"/>
  <c r="H28" i="18" s="1"/>
  <c r="D37" i="18"/>
  <c r="H37" i="18" s="1"/>
  <c r="D16" i="18"/>
  <c r="D26" i="18"/>
  <c r="H26" i="18" s="1"/>
  <c r="H23" i="26"/>
  <c r="L17" i="17"/>
  <c r="L11" i="17"/>
  <c r="L12" i="17"/>
  <c r="L7" i="17"/>
  <c r="L27" i="17"/>
  <c r="H39" i="26"/>
  <c r="H20" i="26"/>
  <c r="L5" i="17"/>
  <c r="L31" i="17"/>
  <c r="H17" i="25"/>
  <c r="T4" i="17"/>
  <c r="H16" i="25"/>
  <c r="H19" i="25"/>
  <c r="T6" i="17"/>
  <c r="H18" i="25"/>
  <c r="T5" i="17"/>
  <c r="H21" i="25"/>
  <c r="T8" i="17"/>
  <c r="H20" i="25"/>
  <c r="T7" i="17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23" i="25"/>
  <c r="H22" i="25"/>
  <c r="I38" i="26"/>
  <c r="F14" i="26"/>
  <c r="I25" i="26"/>
  <c r="I29" i="26"/>
  <c r="I20" i="26"/>
  <c r="H17" i="23"/>
  <c r="H18" i="23"/>
  <c r="H19" i="23"/>
  <c r="H20" i="23"/>
  <c r="H21" i="23"/>
  <c r="H22" i="23"/>
  <c r="H23" i="23"/>
  <c r="H24" i="23"/>
  <c r="H25" i="23"/>
  <c r="H26" i="23"/>
  <c r="H27" i="23"/>
  <c r="H30" i="23"/>
  <c r="H31" i="23"/>
  <c r="H32" i="23"/>
  <c r="H33" i="23"/>
  <c r="H34" i="23"/>
  <c r="H35" i="23"/>
  <c r="H36" i="23"/>
  <c r="H37" i="23"/>
  <c r="H38" i="23"/>
  <c r="H39" i="23"/>
  <c r="H28" i="23"/>
  <c r="H29" i="23"/>
  <c r="I18" i="22"/>
  <c r="I31" i="22"/>
  <c r="I36" i="22"/>
  <c r="I17" i="22"/>
  <c r="I19" i="22"/>
  <c r="I21" i="22"/>
  <c r="I24" i="22"/>
  <c r="I25" i="22"/>
  <c r="I27" i="22"/>
  <c r="I30" i="22"/>
  <c r="I32" i="22"/>
  <c r="I34" i="22"/>
  <c r="I38" i="22"/>
  <c r="C12" i="22"/>
  <c r="I16" i="22"/>
  <c r="I20" i="22"/>
  <c r="I22" i="22"/>
  <c r="I23" i="22"/>
  <c r="I26" i="22"/>
  <c r="I28" i="22"/>
  <c r="I29" i="22"/>
  <c r="I33" i="22"/>
  <c r="I35" i="22"/>
  <c r="I37" i="22"/>
  <c r="I39" i="22"/>
  <c r="F4" i="20"/>
  <c r="F5" i="20"/>
  <c r="W7" i="19" a="1"/>
  <c r="W7" i="19" s="1"/>
  <c r="S12" i="19"/>
  <c r="O7" i="19" a="1"/>
  <c r="O7" i="19" s="1"/>
  <c r="G32" i="19"/>
  <c r="G24" i="19"/>
  <c r="G19" i="19"/>
  <c r="G27" i="19"/>
  <c r="G35" i="19"/>
  <c r="G38" i="19"/>
  <c r="G30" i="19"/>
  <c r="G22" i="19"/>
  <c r="G18" i="19"/>
  <c r="G28" i="19"/>
  <c r="G20" i="19"/>
  <c r="G17" i="19"/>
  <c r="G23" i="19"/>
  <c r="G31" i="19"/>
  <c r="G39" i="19"/>
  <c r="G34" i="19"/>
  <c r="G26" i="19"/>
  <c r="G16" i="19"/>
  <c r="H16" i="18"/>
  <c r="I34" i="26" l="1"/>
  <c r="I26" i="26"/>
  <c r="I30" i="26"/>
  <c r="I24" i="26"/>
  <c r="I28" i="26"/>
  <c r="I18" i="26"/>
  <c r="E14" i="26"/>
  <c r="E29" i="26" s="1"/>
  <c r="R14" i="17" s="1"/>
  <c r="I37" i="26"/>
  <c r="I31" i="26"/>
  <c r="I22" i="26"/>
  <c r="I33" i="26"/>
  <c r="N38" i="19"/>
  <c r="M40" i="19"/>
  <c r="M49" i="19"/>
  <c r="M25" i="19"/>
  <c r="N36" i="19"/>
  <c r="N45" i="19"/>
  <c r="N21" i="19"/>
  <c r="N40" i="19"/>
  <c r="M38" i="19"/>
  <c r="M20" i="19"/>
  <c r="N23" i="19"/>
  <c r="M23" i="19"/>
  <c r="M45" i="19"/>
  <c r="M34" i="19"/>
  <c r="N25" i="19"/>
  <c r="M27" i="19"/>
  <c r="M47" i="19"/>
  <c r="M41" i="19"/>
  <c r="M44" i="19"/>
  <c r="M18" i="19"/>
  <c r="N34" i="19"/>
  <c r="N32" i="19"/>
  <c r="M19" i="19"/>
  <c r="M30" i="19"/>
  <c r="N37" i="19"/>
  <c r="N48" i="19"/>
  <c r="M29" i="19"/>
  <c r="M42" i="19"/>
  <c r="N43" i="19"/>
  <c r="M21" i="19"/>
  <c r="M43" i="19"/>
  <c r="M17" i="19"/>
  <c r="N16" i="19"/>
  <c r="N35" i="19"/>
  <c r="M28" i="19"/>
  <c r="N33" i="19"/>
  <c r="M26" i="19"/>
  <c r="N22" i="19"/>
  <c r="N31" i="19"/>
  <c r="N49" i="19"/>
  <c r="M36" i="19"/>
  <c r="N17" i="19"/>
  <c r="N39" i="19"/>
  <c r="M32" i="19"/>
  <c r="N28" i="19"/>
  <c r="M39" i="19"/>
  <c r="N26" i="19"/>
  <c r="M37" i="19"/>
  <c r="N24" i="19"/>
  <c r="M16" i="19"/>
  <c r="M35" i="19"/>
  <c r="N46" i="19"/>
  <c r="M48" i="19"/>
  <c r="M24" i="19"/>
  <c r="M33" i="19"/>
  <c r="N44" i="19"/>
  <c r="N20" i="19"/>
  <c r="N29" i="19"/>
  <c r="N47" i="19"/>
  <c r="N19" i="19"/>
  <c r="N41" i="19"/>
  <c r="N30" i="19"/>
  <c r="M46" i="19"/>
  <c r="M22" i="19"/>
  <c r="M31" i="19"/>
  <c r="N42" i="19"/>
  <c r="N18" i="19"/>
  <c r="I18" i="18"/>
  <c r="C12" i="18"/>
  <c r="F17" i="18" s="1"/>
  <c r="I39" i="26"/>
  <c r="I36" i="26"/>
  <c r="I32" i="26"/>
  <c r="I35" i="18"/>
  <c r="I27" i="18"/>
  <c r="F13" i="23"/>
  <c r="E13" i="23"/>
  <c r="I19" i="18"/>
  <c r="I40" i="26"/>
  <c r="I34" i="18"/>
  <c r="I35" i="26"/>
  <c r="I26" i="18"/>
  <c r="I27" i="26"/>
  <c r="I23" i="26"/>
  <c r="I21" i="26"/>
  <c r="C12" i="25"/>
  <c r="F39" i="25" s="1"/>
  <c r="U26" i="17" s="1"/>
  <c r="F22" i="25"/>
  <c r="U9" i="17" s="1"/>
  <c r="E22" i="25"/>
  <c r="V9" i="17" s="1"/>
  <c r="E19" i="26"/>
  <c r="R4" i="17" s="1"/>
  <c r="E47" i="26"/>
  <c r="E36" i="26"/>
  <c r="R21" i="17" s="1"/>
  <c r="E21" i="26"/>
  <c r="R6" i="17" s="1"/>
  <c r="E51" i="26"/>
  <c r="E34" i="26"/>
  <c r="R19" i="17" s="1"/>
  <c r="E23" i="26"/>
  <c r="R8" i="17" s="1"/>
  <c r="E24" i="26"/>
  <c r="R9" i="17" s="1"/>
  <c r="E28" i="26"/>
  <c r="R13" i="17" s="1"/>
  <c r="E50" i="26"/>
  <c r="E35" i="26"/>
  <c r="R20" i="17" s="1"/>
  <c r="E41" i="26"/>
  <c r="R26" i="17" s="1"/>
  <c r="E46" i="26"/>
  <c r="R31" i="17" s="1"/>
  <c r="E39" i="26"/>
  <c r="R24" i="17" s="1"/>
  <c r="E32" i="26"/>
  <c r="R17" i="17" s="1"/>
  <c r="E25" i="26"/>
  <c r="R10" i="17" s="1"/>
  <c r="E40" i="26"/>
  <c r="R25" i="17" s="1"/>
  <c r="E27" i="26"/>
  <c r="R12" i="17" s="1"/>
  <c r="E44" i="26"/>
  <c r="R29" i="17" s="1"/>
  <c r="E20" i="26"/>
  <c r="R5" i="17" s="1"/>
  <c r="E49" i="26"/>
  <c r="E18" i="26"/>
  <c r="R3" i="17" s="1"/>
  <c r="E37" i="26"/>
  <c r="R22" i="17" s="1"/>
  <c r="E38" i="26"/>
  <c r="R23" i="17" s="1"/>
  <c r="E43" i="26"/>
  <c r="R28" i="17" s="1"/>
  <c r="E45" i="26"/>
  <c r="R30" i="17" s="1"/>
  <c r="E30" i="26"/>
  <c r="R15" i="17" s="1"/>
  <c r="F30" i="26"/>
  <c r="Q15" i="17" s="1"/>
  <c r="F48" i="26"/>
  <c r="F22" i="26"/>
  <c r="Q7" i="17" s="1"/>
  <c r="F50" i="26"/>
  <c r="F35" i="26"/>
  <c r="Q20" i="17" s="1"/>
  <c r="F38" i="26"/>
  <c r="Q23" i="17" s="1"/>
  <c r="F41" i="26"/>
  <c r="Q26" i="17" s="1"/>
  <c r="F46" i="26"/>
  <c r="Q31" i="17" s="1"/>
  <c r="F27" i="26"/>
  <c r="Q12" i="17" s="1"/>
  <c r="F24" i="26"/>
  <c r="Q9" i="17" s="1"/>
  <c r="F28" i="26"/>
  <c r="Q13" i="17" s="1"/>
  <c r="F33" i="26"/>
  <c r="Q18" i="17" s="1"/>
  <c r="F19" i="26"/>
  <c r="Q4" i="17" s="1"/>
  <c r="F47" i="26"/>
  <c r="F36" i="26"/>
  <c r="Q21" i="17" s="1"/>
  <c r="F21" i="26"/>
  <c r="Q6" i="17" s="1"/>
  <c r="F51" i="26"/>
  <c r="F34" i="26"/>
  <c r="Q19" i="17" s="1"/>
  <c r="F23" i="26"/>
  <c r="Q8" i="17" s="1"/>
  <c r="F39" i="26"/>
  <c r="Q24" i="17" s="1"/>
  <c r="F32" i="26"/>
  <c r="Q17" i="17" s="1"/>
  <c r="F25" i="26"/>
  <c r="Q10" i="17" s="1"/>
  <c r="F40" i="26"/>
  <c r="Q25" i="17" s="1"/>
  <c r="F29" i="26"/>
  <c r="Q14" i="17" s="1"/>
  <c r="F42" i="26"/>
  <c r="Q27" i="17" s="1"/>
  <c r="F26" i="26"/>
  <c r="Q11" i="17" s="1"/>
  <c r="F31" i="26"/>
  <c r="Q16" i="17" s="1"/>
  <c r="F44" i="26"/>
  <c r="Q29" i="17" s="1"/>
  <c r="F20" i="26"/>
  <c r="Q5" i="17" s="1"/>
  <c r="F49" i="26"/>
  <c r="F18" i="26"/>
  <c r="Q3" i="17" s="1"/>
  <c r="F37" i="26"/>
  <c r="Q22" i="17" s="1"/>
  <c r="F43" i="26"/>
  <c r="Q28" i="17" s="1"/>
  <c r="F45" i="26"/>
  <c r="Q30" i="17" s="1"/>
  <c r="I28" i="23"/>
  <c r="I37" i="23"/>
  <c r="I39" i="23"/>
  <c r="I38" i="23"/>
  <c r="I36" i="23"/>
  <c r="I35" i="23"/>
  <c r="I34" i="23"/>
  <c r="I33" i="23"/>
  <c r="I32" i="23"/>
  <c r="I31" i="23"/>
  <c r="I30" i="23"/>
  <c r="I29" i="23"/>
  <c r="I27" i="23"/>
  <c r="I26" i="23"/>
  <c r="I25" i="23"/>
  <c r="I24" i="23"/>
  <c r="I23" i="23"/>
  <c r="I22" i="23"/>
  <c r="I21" i="23"/>
  <c r="I20" i="23"/>
  <c r="I19" i="23"/>
  <c r="I18" i="23"/>
  <c r="I17" i="23"/>
  <c r="F33" i="22"/>
  <c r="I20" i="17" s="1"/>
  <c r="E44" i="22"/>
  <c r="J31" i="17" s="1"/>
  <c r="E17" i="22"/>
  <c r="J4" i="17" s="1"/>
  <c r="F21" i="22"/>
  <c r="I8" i="17" s="1"/>
  <c r="F37" i="22"/>
  <c r="I24" i="17" s="1"/>
  <c r="F18" i="22"/>
  <c r="I5" i="17" s="1"/>
  <c r="E41" i="22"/>
  <c r="J28" i="17" s="1"/>
  <c r="F20" i="22"/>
  <c r="I7" i="17" s="1"/>
  <c r="F25" i="22"/>
  <c r="I12" i="17" s="1"/>
  <c r="F35" i="22"/>
  <c r="I22" i="17" s="1"/>
  <c r="F28" i="22"/>
  <c r="I15" i="17" s="1"/>
  <c r="F34" i="22"/>
  <c r="I21" i="17" s="1"/>
  <c r="F22" i="22"/>
  <c r="I9" i="17" s="1"/>
  <c r="F38" i="22"/>
  <c r="I25" i="17" s="1"/>
  <c r="E43" i="22"/>
  <c r="J30" i="17" s="1"/>
  <c r="F46" i="22"/>
  <c r="E48" i="22"/>
  <c r="F40" i="22"/>
  <c r="I27" i="17" s="1"/>
  <c r="E33" i="22"/>
  <c r="J20" i="17" s="1"/>
  <c r="F42" i="22"/>
  <c r="I29" i="17" s="1"/>
  <c r="F23" i="22"/>
  <c r="I10" i="17" s="1"/>
  <c r="E29" i="22"/>
  <c r="J16" i="17" s="1"/>
  <c r="E49" i="22"/>
  <c r="E16" i="22"/>
  <c r="J3" i="17" s="1"/>
  <c r="E32" i="22"/>
  <c r="J19" i="17" s="1"/>
  <c r="E24" i="22"/>
  <c r="J11" i="17" s="1"/>
  <c r="F17" i="22"/>
  <c r="I4" i="17" s="1"/>
  <c r="E30" i="22"/>
  <c r="J17" i="17" s="1"/>
  <c r="E19" i="22"/>
  <c r="J6" i="17" s="1"/>
  <c r="F27" i="22"/>
  <c r="I14" i="17" s="1"/>
  <c r="F36" i="22"/>
  <c r="I23" i="17" s="1"/>
  <c r="E35" i="22"/>
  <c r="J22" i="17" s="1"/>
  <c r="E28" i="22"/>
  <c r="J15" i="17" s="1"/>
  <c r="F31" i="22"/>
  <c r="I18" i="17" s="1"/>
  <c r="E26" i="22"/>
  <c r="J13" i="17" s="1"/>
  <c r="E39" i="22"/>
  <c r="J26" i="17" s="1"/>
  <c r="F43" i="22"/>
  <c r="I30" i="17" s="1"/>
  <c r="F45" i="22"/>
  <c r="E46" i="22"/>
  <c r="F47" i="22"/>
  <c r="E47" i="22"/>
  <c r="F48" i="22"/>
  <c r="E40" i="22"/>
  <c r="J27" i="17" s="1"/>
  <c r="E42" i="22"/>
  <c r="J29" i="17" s="1"/>
  <c r="E23" i="22"/>
  <c r="J10" i="17" s="1"/>
  <c r="F44" i="22"/>
  <c r="I31" i="17" s="1"/>
  <c r="F29" i="22"/>
  <c r="I16" i="17" s="1"/>
  <c r="F49" i="22"/>
  <c r="F16" i="22"/>
  <c r="I3" i="17" s="1"/>
  <c r="F32" i="22"/>
  <c r="I19" i="17" s="1"/>
  <c r="F24" i="22"/>
  <c r="I11" i="17" s="1"/>
  <c r="E21" i="22"/>
  <c r="J8" i="17" s="1"/>
  <c r="E37" i="22"/>
  <c r="J24" i="17" s="1"/>
  <c r="E18" i="22"/>
  <c r="J5" i="17" s="1"/>
  <c r="F30" i="22"/>
  <c r="I17" i="17" s="1"/>
  <c r="F41" i="22"/>
  <c r="I28" i="17" s="1"/>
  <c r="F19" i="22"/>
  <c r="I6" i="17" s="1"/>
  <c r="E27" i="22"/>
  <c r="J14" i="17" s="1"/>
  <c r="E36" i="22"/>
  <c r="J23" i="17" s="1"/>
  <c r="E20" i="22"/>
  <c r="J7" i="17" s="1"/>
  <c r="E25" i="22"/>
  <c r="J12" i="17" s="1"/>
  <c r="E31" i="22"/>
  <c r="J18" i="17" s="1"/>
  <c r="E34" i="22"/>
  <c r="J21" i="17" s="1"/>
  <c r="E22" i="22"/>
  <c r="J9" i="17" s="1"/>
  <c r="F26" i="22"/>
  <c r="I13" i="17" s="1"/>
  <c r="E38" i="22"/>
  <c r="J25" i="17" s="1"/>
  <c r="F39" i="22"/>
  <c r="I26" i="17" s="1"/>
  <c r="E45" i="22"/>
  <c r="F32" i="20"/>
  <c r="F28" i="20"/>
  <c r="F24" i="20"/>
  <c r="F20" i="20"/>
  <c r="F41" i="20"/>
  <c r="J41" i="20" s="1"/>
  <c r="D28" i="17" s="1"/>
  <c r="F43" i="20"/>
  <c r="J43" i="20" s="1"/>
  <c r="D30" i="17" s="1"/>
  <c r="F45" i="20"/>
  <c r="J45" i="20" s="1"/>
  <c r="F47" i="20"/>
  <c r="J47" i="20" s="1"/>
  <c r="F49" i="20"/>
  <c r="J49" i="20" s="1"/>
  <c r="F17" i="20"/>
  <c r="F19" i="20"/>
  <c r="F23" i="20"/>
  <c r="F27" i="20"/>
  <c r="F31" i="20"/>
  <c r="F35" i="20"/>
  <c r="F39" i="20"/>
  <c r="F38" i="20"/>
  <c r="F34" i="20"/>
  <c r="F30" i="20"/>
  <c r="F26" i="20"/>
  <c r="F22" i="20"/>
  <c r="F18" i="20"/>
  <c r="F40" i="20"/>
  <c r="J40" i="20" s="1"/>
  <c r="D27" i="17" s="1"/>
  <c r="F42" i="20"/>
  <c r="J42" i="20" s="1"/>
  <c r="D29" i="17" s="1"/>
  <c r="F44" i="20"/>
  <c r="J44" i="20" s="1"/>
  <c r="D31" i="17" s="1"/>
  <c r="F46" i="20"/>
  <c r="J46" i="20" s="1"/>
  <c r="F48" i="20"/>
  <c r="J48" i="20" s="1"/>
  <c r="F21" i="20"/>
  <c r="F29" i="20"/>
  <c r="F37" i="20"/>
  <c r="F16" i="20"/>
  <c r="F36" i="20"/>
  <c r="F25" i="20"/>
  <c r="F33" i="20"/>
  <c r="U17" i="19"/>
  <c r="U44" i="19"/>
  <c r="U23" i="19"/>
  <c r="U31" i="19"/>
  <c r="U39" i="19"/>
  <c r="U49" i="19"/>
  <c r="U48" i="19"/>
  <c r="U40" i="19"/>
  <c r="U36" i="19"/>
  <c r="U32" i="19"/>
  <c r="U28" i="19"/>
  <c r="U24" i="19"/>
  <c r="U20" i="19"/>
  <c r="U41" i="19"/>
  <c r="U21" i="19"/>
  <c r="U25" i="19"/>
  <c r="U29" i="19"/>
  <c r="U33" i="19"/>
  <c r="U37" i="19"/>
  <c r="U43" i="19"/>
  <c r="U47" i="19"/>
  <c r="U46" i="19"/>
  <c r="U42" i="19"/>
  <c r="U38" i="19"/>
  <c r="U34" i="19"/>
  <c r="U30" i="19"/>
  <c r="U26" i="19"/>
  <c r="U22" i="19"/>
  <c r="U18" i="19"/>
  <c r="U27" i="19"/>
  <c r="U35" i="19"/>
  <c r="U45" i="19"/>
  <c r="U19" i="19"/>
  <c r="V20" i="19"/>
  <c r="V24" i="19"/>
  <c r="V28" i="19"/>
  <c r="V32" i="19"/>
  <c r="V36" i="19"/>
  <c r="V40" i="19"/>
  <c r="V44" i="19"/>
  <c r="V46" i="19"/>
  <c r="V16" i="19"/>
  <c r="V19" i="19"/>
  <c r="V23" i="19"/>
  <c r="V27" i="19"/>
  <c r="V31" i="19"/>
  <c r="V35" i="19"/>
  <c r="V39" i="19"/>
  <c r="V43" i="19"/>
  <c r="V49" i="19"/>
  <c r="V18" i="19"/>
  <c r="V22" i="19"/>
  <c r="V26" i="19"/>
  <c r="V30" i="19"/>
  <c r="V34" i="19"/>
  <c r="V38" i="19"/>
  <c r="V42" i="19"/>
  <c r="V48" i="19"/>
  <c r="V17" i="19"/>
  <c r="V21" i="19"/>
  <c r="V25" i="19"/>
  <c r="V29" i="19"/>
  <c r="V33" i="19"/>
  <c r="V37" i="19"/>
  <c r="V41" i="19"/>
  <c r="V45" i="19"/>
  <c r="V47" i="19"/>
  <c r="U16" i="19"/>
  <c r="G7" i="19"/>
  <c r="C12" i="19"/>
  <c r="I17" i="18"/>
  <c r="I39" i="18"/>
  <c r="I31" i="18"/>
  <c r="I23" i="18"/>
  <c r="I38" i="18"/>
  <c r="I30" i="18"/>
  <c r="I22" i="18"/>
  <c r="I37" i="18"/>
  <c r="I33" i="18"/>
  <c r="I29" i="18"/>
  <c r="I25" i="18"/>
  <c r="I21" i="18"/>
  <c r="I16" i="18"/>
  <c r="I36" i="18"/>
  <c r="I32" i="18"/>
  <c r="I28" i="18"/>
  <c r="I24" i="18"/>
  <c r="I20" i="18"/>
  <c r="E31" i="26" l="1"/>
  <c r="R16" i="17" s="1"/>
  <c r="E22" i="26"/>
  <c r="R7" i="17" s="1"/>
  <c r="E33" i="26"/>
  <c r="R18" i="17" s="1"/>
  <c r="E26" i="26"/>
  <c r="R11" i="17" s="1"/>
  <c r="E48" i="26"/>
  <c r="E42" i="26"/>
  <c r="R27" i="17" s="1"/>
  <c r="F43" i="18"/>
  <c r="F19" i="18"/>
  <c r="F39" i="18"/>
  <c r="F35" i="18"/>
  <c r="E42" i="23"/>
  <c r="N28" i="17" s="1"/>
  <c r="E36" i="23"/>
  <c r="N22" i="17" s="1"/>
  <c r="E43" i="23"/>
  <c r="N29" i="17" s="1"/>
  <c r="E31" i="23"/>
  <c r="N17" i="17" s="1"/>
  <c r="E32" i="23"/>
  <c r="N18" i="17" s="1"/>
  <c r="E47" i="23"/>
  <c r="E41" i="23"/>
  <c r="N27" i="17" s="1"/>
  <c r="E38" i="23"/>
  <c r="N24" i="17" s="1"/>
  <c r="E35" i="23"/>
  <c r="N21" i="17" s="1"/>
  <c r="E23" i="23"/>
  <c r="N9" i="17" s="1"/>
  <c r="E37" i="23"/>
  <c r="N23" i="17" s="1"/>
  <c r="E46" i="23"/>
  <c r="E25" i="23"/>
  <c r="N11" i="17" s="1"/>
  <c r="E40" i="23"/>
  <c r="N26" i="17" s="1"/>
  <c r="E30" i="23"/>
  <c r="N16" i="17" s="1"/>
  <c r="E24" i="23"/>
  <c r="N10" i="17" s="1"/>
  <c r="E27" i="23"/>
  <c r="N13" i="17" s="1"/>
  <c r="E49" i="23"/>
  <c r="E22" i="23"/>
  <c r="N8" i="17" s="1"/>
  <c r="E26" i="23"/>
  <c r="N12" i="17" s="1"/>
  <c r="E19" i="23"/>
  <c r="N5" i="17" s="1"/>
  <c r="E33" i="23"/>
  <c r="N19" i="17" s="1"/>
  <c r="E44" i="23"/>
  <c r="N30" i="17" s="1"/>
  <c r="E28" i="23"/>
  <c r="E50" i="23"/>
  <c r="E18" i="23"/>
  <c r="N4" i="17" s="1"/>
  <c r="E29" i="23"/>
  <c r="N15" i="17" s="1"/>
  <c r="E20" i="23"/>
  <c r="N6" i="17" s="1"/>
  <c r="E34" i="23"/>
  <c r="N20" i="17" s="1"/>
  <c r="E21" i="23"/>
  <c r="N7" i="17" s="1"/>
  <c r="E45" i="23"/>
  <c r="N31" i="17" s="1"/>
  <c r="E17" i="23"/>
  <c r="N3" i="17" s="1"/>
  <c r="E39" i="23"/>
  <c r="N25" i="17" s="1"/>
  <c r="E48" i="23"/>
  <c r="F37" i="18"/>
  <c r="F27" i="18"/>
  <c r="F39" i="23"/>
  <c r="M25" i="17" s="1"/>
  <c r="F48" i="23"/>
  <c r="F41" i="23"/>
  <c r="M27" i="17" s="1"/>
  <c r="F45" i="23"/>
  <c r="M31" i="17" s="1"/>
  <c r="F42" i="23"/>
  <c r="M28" i="17" s="1"/>
  <c r="F36" i="23"/>
  <c r="M22" i="17" s="1"/>
  <c r="F35" i="23"/>
  <c r="M21" i="17" s="1"/>
  <c r="F23" i="23"/>
  <c r="M9" i="17" s="1"/>
  <c r="F47" i="23"/>
  <c r="F43" i="23"/>
  <c r="M29" i="17" s="1"/>
  <c r="F31" i="23"/>
  <c r="M17" i="17" s="1"/>
  <c r="F32" i="23"/>
  <c r="M18" i="17" s="1"/>
  <c r="F38" i="23"/>
  <c r="M24" i="17" s="1"/>
  <c r="F37" i="23"/>
  <c r="M23" i="17" s="1"/>
  <c r="F46" i="23"/>
  <c r="F25" i="23"/>
  <c r="M11" i="17" s="1"/>
  <c r="F40" i="23"/>
  <c r="M26" i="17" s="1"/>
  <c r="F30" i="23"/>
  <c r="M16" i="17" s="1"/>
  <c r="F24" i="23"/>
  <c r="M10" i="17" s="1"/>
  <c r="F33" i="23"/>
  <c r="M19" i="17" s="1"/>
  <c r="F27" i="23"/>
  <c r="M13" i="17" s="1"/>
  <c r="F49" i="23"/>
  <c r="F29" i="23"/>
  <c r="M15" i="17" s="1"/>
  <c r="F22" i="23"/>
  <c r="M8" i="17" s="1"/>
  <c r="F26" i="23"/>
  <c r="M12" i="17" s="1"/>
  <c r="F19" i="23"/>
  <c r="M5" i="17" s="1"/>
  <c r="F44" i="23"/>
  <c r="M30" i="17" s="1"/>
  <c r="F28" i="23"/>
  <c r="M14" i="17" s="1"/>
  <c r="F50" i="23"/>
  <c r="F18" i="23"/>
  <c r="M4" i="17" s="1"/>
  <c r="F17" i="23"/>
  <c r="M3" i="17" s="1"/>
  <c r="F20" i="23"/>
  <c r="M6" i="17" s="1"/>
  <c r="F34" i="23"/>
  <c r="M20" i="17" s="1"/>
  <c r="F21" i="23"/>
  <c r="M7" i="17" s="1"/>
  <c r="F33" i="18"/>
  <c r="F31" i="18"/>
  <c r="F23" i="18"/>
  <c r="F21" i="18"/>
  <c r="F29" i="18"/>
  <c r="F25" i="18"/>
  <c r="F41" i="18"/>
  <c r="F36" i="25"/>
  <c r="U23" i="17" s="1"/>
  <c r="E31" i="25"/>
  <c r="V18" i="17" s="1"/>
  <c r="E28" i="25"/>
  <c r="V15" i="17" s="1"/>
  <c r="F32" i="25"/>
  <c r="U19" i="17" s="1"/>
  <c r="F34" i="25"/>
  <c r="U21" i="17" s="1"/>
  <c r="E48" i="25"/>
  <c r="E27" i="25"/>
  <c r="V14" i="17" s="1"/>
  <c r="F26" i="25"/>
  <c r="U13" i="17" s="1"/>
  <c r="F33" i="25"/>
  <c r="U20" i="17" s="1"/>
  <c r="E46" i="25"/>
  <c r="E26" i="25"/>
  <c r="V13" i="17" s="1"/>
  <c r="F23" i="25"/>
  <c r="U10" i="17" s="1"/>
  <c r="F31" i="25"/>
  <c r="U18" i="17" s="1"/>
  <c r="E29" i="25"/>
  <c r="V16" i="17" s="1"/>
  <c r="E34" i="25"/>
  <c r="V21" i="17" s="1"/>
  <c r="E43" i="25"/>
  <c r="V30" i="17" s="1"/>
  <c r="E25" i="25"/>
  <c r="V12" i="17" s="1"/>
  <c r="F49" i="25"/>
  <c r="F30" i="25"/>
  <c r="U17" i="17" s="1"/>
  <c r="F38" i="25"/>
  <c r="U25" i="17" s="1"/>
  <c r="E49" i="25"/>
  <c r="E41" i="25"/>
  <c r="V28" i="17" s="1"/>
  <c r="E24" i="25"/>
  <c r="V11" i="17" s="1"/>
  <c r="F47" i="25"/>
  <c r="F29" i="25"/>
  <c r="U16" i="17" s="1"/>
  <c r="F28" i="25"/>
  <c r="U15" i="17" s="1"/>
  <c r="E36" i="25"/>
  <c r="V23" i="17" s="1"/>
  <c r="E23" i="25"/>
  <c r="V10" i="17" s="1"/>
  <c r="F48" i="25"/>
  <c r="F35" i="25"/>
  <c r="U22" i="17" s="1"/>
  <c r="E45" i="25"/>
  <c r="E39" i="25"/>
  <c r="V26" i="17" s="1"/>
  <c r="F46" i="25"/>
  <c r="F44" i="25"/>
  <c r="U31" i="17" s="1"/>
  <c r="E42" i="25"/>
  <c r="V29" i="17" s="1"/>
  <c r="E35" i="25"/>
  <c r="V22" i="17" s="1"/>
  <c r="F45" i="25"/>
  <c r="F42" i="25"/>
  <c r="U29" i="17" s="1"/>
  <c r="F25" i="25"/>
  <c r="U12" i="17" s="1"/>
  <c r="E30" i="25"/>
  <c r="V17" i="17" s="1"/>
  <c r="E44" i="25"/>
  <c r="V31" i="17" s="1"/>
  <c r="E38" i="25"/>
  <c r="V25" i="17" s="1"/>
  <c r="F27" i="25"/>
  <c r="U14" i="17" s="1"/>
  <c r="E40" i="25"/>
  <c r="V27" i="17" s="1"/>
  <c r="E33" i="25"/>
  <c r="V20" i="17" s="1"/>
  <c r="F43" i="25"/>
  <c r="U30" i="17" s="1"/>
  <c r="F41" i="25"/>
  <c r="U28" i="17" s="1"/>
  <c r="F24" i="25"/>
  <c r="U11" i="17" s="1"/>
  <c r="F37" i="25"/>
  <c r="U24" i="17" s="1"/>
  <c r="E47" i="25"/>
  <c r="E37" i="25"/>
  <c r="V24" i="17" s="1"/>
  <c r="E32" i="25"/>
  <c r="V19" i="17" s="1"/>
  <c r="F40" i="25"/>
  <c r="U27" i="17" s="1"/>
  <c r="I32" i="20"/>
  <c r="J32" i="20"/>
  <c r="D19" i="17" s="1"/>
  <c r="I28" i="20"/>
  <c r="J28" i="20"/>
  <c r="D15" i="17" s="1"/>
  <c r="J24" i="20"/>
  <c r="D11" i="17" s="1"/>
  <c r="I24" i="20"/>
  <c r="I20" i="20"/>
  <c r="J20" i="20"/>
  <c r="D7" i="17" s="1"/>
  <c r="I17" i="20"/>
  <c r="J17" i="20"/>
  <c r="D4" i="17" s="1"/>
  <c r="I19" i="20"/>
  <c r="J19" i="20"/>
  <c r="D6" i="17" s="1"/>
  <c r="J23" i="20"/>
  <c r="D10" i="17" s="1"/>
  <c r="I23" i="20"/>
  <c r="I27" i="20"/>
  <c r="J27" i="20"/>
  <c r="D14" i="17" s="1"/>
  <c r="I31" i="20"/>
  <c r="J31" i="20"/>
  <c r="D18" i="17" s="1"/>
  <c r="I35" i="20"/>
  <c r="J35" i="20"/>
  <c r="D22" i="17" s="1"/>
  <c r="I39" i="20"/>
  <c r="J39" i="20"/>
  <c r="D26" i="17" s="1"/>
  <c r="I38" i="20"/>
  <c r="J38" i="20"/>
  <c r="D25" i="17" s="1"/>
  <c r="I34" i="20"/>
  <c r="J34" i="20"/>
  <c r="D21" i="17" s="1"/>
  <c r="I30" i="20"/>
  <c r="J30" i="20"/>
  <c r="D17" i="17" s="1"/>
  <c r="I26" i="20"/>
  <c r="J26" i="20"/>
  <c r="D13" i="17" s="1"/>
  <c r="J22" i="20"/>
  <c r="D9" i="17" s="1"/>
  <c r="I22" i="20"/>
  <c r="I18" i="20"/>
  <c r="J18" i="20"/>
  <c r="D5" i="17" s="1"/>
  <c r="I21" i="20"/>
  <c r="J21" i="20"/>
  <c r="D8" i="17" s="1"/>
  <c r="I29" i="20"/>
  <c r="J29" i="20"/>
  <c r="D16" i="17" s="1"/>
  <c r="I37" i="20"/>
  <c r="J37" i="20"/>
  <c r="D24" i="17" s="1"/>
  <c r="I16" i="20"/>
  <c r="J16" i="20"/>
  <c r="D3" i="17" s="1"/>
  <c r="I36" i="20"/>
  <c r="J36" i="20"/>
  <c r="D23" i="17" s="1"/>
  <c r="J25" i="20"/>
  <c r="D12" i="17" s="1"/>
  <c r="I25" i="20"/>
  <c r="I33" i="20"/>
  <c r="J33" i="20"/>
  <c r="D20" i="17" s="1"/>
  <c r="E16" i="18"/>
  <c r="F45" i="18"/>
  <c r="F47" i="18"/>
  <c r="F49" i="18"/>
  <c r="E17" i="18"/>
  <c r="E19" i="18"/>
  <c r="E21" i="18"/>
  <c r="E23" i="18"/>
  <c r="E25" i="18"/>
  <c r="E27" i="18"/>
  <c r="E29" i="18"/>
  <c r="E31" i="18"/>
  <c r="E33" i="18"/>
  <c r="E35" i="18"/>
  <c r="E37" i="18"/>
  <c r="E39" i="18"/>
  <c r="E41" i="18"/>
  <c r="E43" i="18"/>
  <c r="E45" i="18"/>
  <c r="E47" i="18"/>
  <c r="E49" i="18"/>
  <c r="F18" i="18"/>
  <c r="F20" i="18"/>
  <c r="F22" i="18"/>
  <c r="F24" i="18"/>
  <c r="F26" i="18"/>
  <c r="F28" i="18"/>
  <c r="F30" i="18"/>
  <c r="F32" i="18"/>
  <c r="F34" i="18"/>
  <c r="F36" i="18"/>
  <c r="F38" i="18"/>
  <c r="F40" i="18"/>
  <c r="F42" i="18"/>
  <c r="F44" i="18"/>
  <c r="F46" i="18"/>
  <c r="F48" i="18"/>
  <c r="F16" i="18"/>
  <c r="E18" i="18"/>
  <c r="E20" i="18"/>
  <c r="E22" i="18"/>
  <c r="E24" i="18"/>
  <c r="E26" i="18"/>
  <c r="E28" i="18"/>
  <c r="E30" i="18"/>
  <c r="E32" i="18"/>
  <c r="E34" i="18"/>
  <c r="E36" i="18"/>
  <c r="E38" i="18"/>
  <c r="E40" i="18"/>
  <c r="E42" i="18"/>
  <c r="E44" i="18"/>
  <c r="E46" i="18"/>
  <c r="E48" i="18"/>
  <c r="F36" i="19"/>
  <c r="E33" i="19"/>
  <c r="F33" i="19"/>
  <c r="E25" i="19"/>
  <c r="F25" i="19"/>
  <c r="E36" i="19"/>
  <c r="E37" i="19"/>
  <c r="F37" i="19"/>
  <c r="E29" i="19"/>
  <c r="F29" i="19"/>
  <c r="E21" i="19"/>
  <c r="F21" i="19"/>
  <c r="F32" i="19"/>
  <c r="E24" i="19"/>
  <c r="E41" i="19"/>
  <c r="E45" i="19"/>
  <c r="E49" i="19"/>
  <c r="E19" i="19"/>
  <c r="F19" i="19"/>
  <c r="E35" i="19"/>
  <c r="F35" i="19"/>
  <c r="E38" i="19"/>
  <c r="F30" i="19"/>
  <c r="E22" i="19"/>
  <c r="F18" i="19"/>
  <c r="F42" i="19"/>
  <c r="F46" i="19"/>
  <c r="E28" i="19"/>
  <c r="F20" i="19"/>
  <c r="F43" i="19"/>
  <c r="F47" i="19"/>
  <c r="E17" i="19"/>
  <c r="E23" i="19"/>
  <c r="F23" i="19"/>
  <c r="E39" i="19"/>
  <c r="F39" i="19"/>
  <c r="E34" i="19"/>
  <c r="F26" i="19"/>
  <c r="E40" i="19"/>
  <c r="E44" i="19"/>
  <c r="E48" i="19"/>
  <c r="E32" i="19"/>
  <c r="F24" i="19"/>
  <c r="F41" i="19"/>
  <c r="F45" i="19"/>
  <c r="F49" i="19"/>
  <c r="E27" i="19"/>
  <c r="F27" i="19"/>
  <c r="F38" i="19"/>
  <c r="E30" i="19"/>
  <c r="F22" i="19"/>
  <c r="E18" i="19"/>
  <c r="E42" i="19"/>
  <c r="E46" i="19"/>
  <c r="F28" i="19"/>
  <c r="E20" i="19"/>
  <c r="E43" i="19"/>
  <c r="E47" i="19"/>
  <c r="F17" i="19"/>
  <c r="E31" i="19"/>
  <c r="F31" i="19"/>
  <c r="F34" i="19"/>
  <c r="E26" i="19"/>
  <c r="E16" i="19"/>
  <c r="F16" i="19"/>
  <c r="F40" i="19"/>
  <c r="F44" i="19"/>
  <c r="F48" i="19"/>
  <c r="C12" i="20" l="1"/>
  <c r="H48" i="20" l="1"/>
  <c r="L48" i="20" s="1"/>
  <c r="H44" i="20"/>
  <c r="L44" i="20" s="1"/>
  <c r="E31" i="17" s="1"/>
  <c r="H40" i="20"/>
  <c r="L40" i="20" s="1"/>
  <c r="E27" i="17" s="1"/>
  <c r="H16" i="20"/>
  <c r="L16" i="20" s="1"/>
  <c r="G26" i="20"/>
  <c r="K26" i="20" s="1"/>
  <c r="F13" i="17" s="1"/>
  <c r="H34" i="20"/>
  <c r="L34" i="20" s="1"/>
  <c r="E21" i="17" s="1"/>
  <c r="H31" i="20"/>
  <c r="L31" i="20" s="1"/>
  <c r="E18" i="17" s="1"/>
  <c r="G31" i="20"/>
  <c r="K31" i="20" s="1"/>
  <c r="F18" i="17" s="1"/>
  <c r="H17" i="20"/>
  <c r="L17" i="20" s="1"/>
  <c r="E4" i="17" s="1"/>
  <c r="G47" i="20"/>
  <c r="K47" i="20" s="1"/>
  <c r="G43" i="20"/>
  <c r="K43" i="20" s="1"/>
  <c r="F30" i="17" s="1"/>
  <c r="G20" i="20"/>
  <c r="K20" i="20" s="1"/>
  <c r="F7" i="17" s="1"/>
  <c r="H28" i="20"/>
  <c r="L28" i="20" s="1"/>
  <c r="E15" i="17" s="1"/>
  <c r="G46" i="20"/>
  <c r="K46" i="20" s="1"/>
  <c r="G42" i="20"/>
  <c r="K42" i="20" s="1"/>
  <c r="F29" i="17" s="1"/>
  <c r="G18" i="20"/>
  <c r="K18" i="20" s="1"/>
  <c r="F5" i="17" s="1"/>
  <c r="H22" i="20"/>
  <c r="L22" i="20" s="1"/>
  <c r="E9" i="17" s="1"/>
  <c r="G30" i="20"/>
  <c r="K30" i="20" s="1"/>
  <c r="F17" i="17" s="1"/>
  <c r="H38" i="20"/>
  <c r="L38" i="20" s="1"/>
  <c r="E25" i="17" s="1"/>
  <c r="H27" i="20"/>
  <c r="L27" i="20" s="1"/>
  <c r="E14" i="17" s="1"/>
  <c r="G27" i="20"/>
  <c r="K27" i="20" s="1"/>
  <c r="F14" i="17" s="1"/>
  <c r="H49" i="20"/>
  <c r="L49" i="20" s="1"/>
  <c r="H45" i="20"/>
  <c r="L45" i="20" s="1"/>
  <c r="H41" i="20"/>
  <c r="L41" i="20" s="1"/>
  <c r="E28" i="17" s="1"/>
  <c r="H24" i="20"/>
  <c r="L24" i="20" s="1"/>
  <c r="E11" i="17" s="1"/>
  <c r="G32" i="20"/>
  <c r="K32" i="20" s="1"/>
  <c r="F19" i="17" s="1"/>
  <c r="G48" i="20"/>
  <c r="K48" i="20" s="1"/>
  <c r="G44" i="20"/>
  <c r="K44" i="20" s="1"/>
  <c r="F31" i="17" s="1"/>
  <c r="G40" i="20"/>
  <c r="K40" i="20" s="1"/>
  <c r="F27" i="17" s="1"/>
  <c r="H26" i="20"/>
  <c r="L26" i="20" s="1"/>
  <c r="E13" i="17" s="1"/>
  <c r="G34" i="20"/>
  <c r="K34" i="20" s="1"/>
  <c r="F21" i="17" s="1"/>
  <c r="H39" i="20"/>
  <c r="L39" i="20" s="1"/>
  <c r="E26" i="17" s="1"/>
  <c r="G39" i="20"/>
  <c r="K39" i="20" s="1"/>
  <c r="F26" i="17" s="1"/>
  <c r="H23" i="20"/>
  <c r="L23" i="20" s="1"/>
  <c r="E10" i="17" s="1"/>
  <c r="G23" i="20"/>
  <c r="K23" i="20" s="1"/>
  <c r="F10" i="17" s="1"/>
  <c r="G17" i="20"/>
  <c r="K17" i="20" s="1"/>
  <c r="H47" i="20"/>
  <c r="L47" i="20" s="1"/>
  <c r="H43" i="20"/>
  <c r="L43" i="20" s="1"/>
  <c r="E30" i="17" s="1"/>
  <c r="H20" i="20"/>
  <c r="L20" i="20" s="1"/>
  <c r="E7" i="17" s="1"/>
  <c r="G28" i="20"/>
  <c r="K28" i="20" s="1"/>
  <c r="F15" i="17" s="1"/>
  <c r="H46" i="20"/>
  <c r="L46" i="20" s="1"/>
  <c r="H42" i="20"/>
  <c r="L42" i="20" s="1"/>
  <c r="E29" i="17" s="1"/>
  <c r="H18" i="20"/>
  <c r="L18" i="20" s="1"/>
  <c r="E5" i="17" s="1"/>
  <c r="G22" i="20"/>
  <c r="K22" i="20" s="1"/>
  <c r="F9" i="17" s="1"/>
  <c r="H30" i="20"/>
  <c r="L30" i="20" s="1"/>
  <c r="E17" i="17" s="1"/>
  <c r="G38" i="20"/>
  <c r="K38" i="20" s="1"/>
  <c r="F25" i="17" s="1"/>
  <c r="H35" i="20"/>
  <c r="L35" i="20" s="1"/>
  <c r="E22" i="17" s="1"/>
  <c r="G35" i="20"/>
  <c r="K35" i="20" s="1"/>
  <c r="F22" i="17" s="1"/>
  <c r="H19" i="20"/>
  <c r="L19" i="20" s="1"/>
  <c r="E6" i="17" s="1"/>
  <c r="G19" i="20"/>
  <c r="K19" i="20" s="1"/>
  <c r="F6" i="17" s="1"/>
  <c r="G49" i="20"/>
  <c r="K49" i="20" s="1"/>
  <c r="G45" i="20"/>
  <c r="K45" i="20" s="1"/>
  <c r="G41" i="20"/>
  <c r="K41" i="20" s="1"/>
  <c r="F28" i="17" s="1"/>
  <c r="G24" i="20"/>
  <c r="K24" i="20" s="1"/>
  <c r="F11" i="17" s="1"/>
  <c r="H32" i="20"/>
  <c r="L32" i="20" s="1"/>
  <c r="E19" i="17" s="1"/>
  <c r="H21" i="20"/>
  <c r="L21" i="20" s="1"/>
  <c r="E8" i="17" s="1"/>
  <c r="G21" i="20"/>
  <c r="K21" i="20" s="1"/>
  <c r="F8" i="17" s="1"/>
  <c r="H29" i="20"/>
  <c r="L29" i="20" s="1"/>
  <c r="E16" i="17" s="1"/>
  <c r="G29" i="20"/>
  <c r="K29" i="20" s="1"/>
  <c r="F16" i="17" s="1"/>
  <c r="H37" i="20"/>
  <c r="L37" i="20" s="1"/>
  <c r="E24" i="17" s="1"/>
  <c r="G37" i="20"/>
  <c r="K37" i="20" s="1"/>
  <c r="F24" i="17" s="1"/>
  <c r="G36" i="20"/>
  <c r="K36" i="20" s="1"/>
  <c r="F23" i="17" s="1"/>
  <c r="H25" i="20"/>
  <c r="L25" i="20" s="1"/>
  <c r="E12" i="17" s="1"/>
  <c r="G25" i="20"/>
  <c r="K25" i="20" s="1"/>
  <c r="F12" i="17" s="1"/>
  <c r="H33" i="20"/>
  <c r="L33" i="20" s="1"/>
  <c r="E20" i="17" s="1"/>
  <c r="G33" i="20"/>
  <c r="K33" i="20" s="1"/>
  <c r="F20" i="17" s="1"/>
  <c r="H36" i="20"/>
  <c r="L36" i="20" s="1"/>
  <c r="E23" i="17" s="1"/>
  <c r="G16" i="20"/>
  <c r="K16" i="20" s="1"/>
</calcChain>
</file>

<file path=xl/sharedStrings.xml><?xml version="1.0" encoding="utf-8"?>
<sst xmlns="http://schemas.openxmlformats.org/spreadsheetml/2006/main" count="882" uniqueCount="245">
  <si>
    <t>вариант</t>
  </si>
  <si>
    <t>Всего по перечисленным видам деятельности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</si>
  <si>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</si>
  <si>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</si>
  <si>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</si>
  <si>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</si>
  <si>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</si>
  <si>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</si>
  <si>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</si>
  <si>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</si>
  <si>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</si>
  <si>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</si>
  <si>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года</t>
  </si>
  <si>
    <t>2012</t>
  </si>
  <si>
    <t>2013</t>
  </si>
  <si>
    <t>2014</t>
  </si>
  <si>
    <t>2015</t>
  </si>
  <si>
    <t>2016</t>
  </si>
  <si>
    <t>2017</t>
  </si>
  <si>
    <t>2018</t>
  </si>
  <si>
    <t>№</t>
  </si>
  <si>
    <t xml:space="preserve"> ВВП</t>
  </si>
  <si>
    <t xml:space="preserve"> ВДС</t>
  </si>
  <si>
    <t xml:space="preserve"> Численность</t>
  </si>
  <si>
    <t>Занятие №</t>
  </si>
  <si>
    <t>группа</t>
  </si>
  <si>
    <t>студент</t>
  </si>
  <si>
    <t>Авторизовать файл:</t>
  </si>
  <si>
    <t xml:space="preserve"> - сохранить файл, дав ему название по шаблону: &lt;Группа_без_тире&gt; &lt;номер_занятия_двумя_цифрами&gt; &lt;ФамилияИО&gt;</t>
  </si>
  <si>
    <t xml:space="preserve"> - исправить внутри файла группу и фамилию</t>
  </si>
  <si>
    <t>Тема:</t>
  </si>
  <si>
    <t>Задачи:</t>
  </si>
  <si>
    <t>ОФ</t>
  </si>
  <si>
    <t>З/п</t>
  </si>
  <si>
    <t>2019</t>
  </si>
  <si>
    <t>2020</t>
  </si>
  <si>
    <t xml:space="preserve"> - графическая модель</t>
  </si>
  <si>
    <t xml:space="preserve"> - [обычная] модель тренда</t>
  </si>
  <si>
    <t xml:space="preserve"> - параметризация тренда по альтернативным МНК критериям</t>
  </si>
  <si>
    <t xml:space="preserve"> - взвешенные критерии</t>
  </si>
  <si>
    <t xml:space="preserve"> - деление ряда на участки</t>
  </si>
  <si>
    <t>В качестве исходных данных взять результат предыдущей работы (пять сопоставимых рядов макроэкономических показателей) - рис.1.</t>
  </si>
  <si>
    <t>Для детального анализа взять один из рядов, например ВВП.</t>
  </si>
  <si>
    <t>Построение (точечного и интервального) прогнозов разными способами</t>
  </si>
  <si>
    <t>Графически</t>
  </si>
  <si>
    <t>2021</t>
  </si>
  <si>
    <t>2022</t>
  </si>
  <si>
    <t>2023</t>
  </si>
  <si>
    <t>2024</t>
  </si>
  <si>
    <t>2025</t>
  </si>
  <si>
    <r>
      <t xml:space="preserve">Добавив в таблицу прогнозные 5 лет, вывести ряд на график - </t>
    </r>
    <r>
      <rPr>
        <b/>
        <sz val="11"/>
        <color theme="1"/>
        <rFont val="Calibri"/>
        <family val="2"/>
        <charset val="204"/>
        <scheme val="minor"/>
      </rPr>
      <t>рис.2</t>
    </r>
    <r>
      <rPr>
        <sz val="11"/>
        <color theme="1"/>
        <rFont val="Calibri"/>
        <family val="2"/>
        <charset val="204"/>
        <scheme val="minor"/>
      </rPr>
      <t>.</t>
    </r>
  </si>
  <si>
    <t xml:space="preserve">Используя панель рисования (Вставка - Фигуры), нарисовать канал ряда и тренд. </t>
  </si>
  <si>
    <r>
      <t xml:space="preserve">Сделать вывод о типе тренда и прогнозных значениях на конец горизонта - </t>
    </r>
    <r>
      <rPr>
        <b/>
        <sz val="11"/>
        <color theme="1"/>
        <rFont val="Calibri"/>
        <family val="2"/>
        <charset val="204"/>
        <scheme val="minor"/>
      </rPr>
      <t>рис.3</t>
    </r>
    <r>
      <rPr>
        <sz val="11"/>
        <color theme="1"/>
        <rFont val="Calibri"/>
        <family val="2"/>
        <charset val="204"/>
        <scheme val="minor"/>
      </rPr>
      <t>.</t>
    </r>
  </si>
  <si>
    <t>Достоинством такого подхода является быстрота и наглядность при рассмотрении одного ряда. Если рядов много, требуется [математическая] формализация.</t>
  </si>
  <si>
    <t>Повторение бакалавриата</t>
  </si>
  <si>
    <r>
      <t xml:space="preserve">(Используя копию графика) Сделать вывод о возможном выделении краткосрочных тенденций - </t>
    </r>
    <r>
      <rPr>
        <b/>
        <sz val="11"/>
        <color theme="1"/>
        <rFont val="Calibri"/>
        <family val="2"/>
        <charset val="204"/>
        <scheme val="minor"/>
      </rPr>
      <t>рис.3,1</t>
    </r>
    <r>
      <rPr>
        <sz val="11"/>
        <color theme="1"/>
        <rFont val="Calibri"/>
        <family val="2"/>
        <charset val="204"/>
        <scheme val="minor"/>
      </rPr>
      <t>.</t>
    </r>
  </si>
  <si>
    <r>
      <t xml:space="preserve">(Если у выбранного тренда параметры уравнения на графике представлены в научном формате) Представить параметры уравнения тренда в числовом формате - </t>
    </r>
    <r>
      <rPr>
        <b/>
        <sz val="11"/>
        <color theme="1"/>
        <rFont val="Calibri"/>
        <family val="2"/>
        <charset val="204"/>
        <scheme val="minor"/>
      </rPr>
      <t>рис.5</t>
    </r>
    <r>
      <rPr>
        <sz val="11"/>
        <color theme="1"/>
        <rFont val="Calibri"/>
        <family val="2"/>
        <charset val="204"/>
        <scheme val="minor"/>
      </rPr>
      <t>.</t>
    </r>
  </si>
  <si>
    <r>
      <t xml:space="preserve">Рассчитать параметры уравнения тренда, используя функции MS Excel - (для полинома - </t>
    </r>
    <r>
      <rPr>
        <b/>
        <sz val="11"/>
        <color theme="1"/>
        <rFont val="Calibri"/>
        <family val="2"/>
        <charset val="204"/>
        <scheme val="minor"/>
      </rPr>
      <t>рис.6</t>
    </r>
    <r>
      <rPr>
        <sz val="11"/>
        <color theme="1"/>
        <rFont val="Calibri"/>
        <family val="2"/>
        <charset val="204"/>
        <scheme val="minor"/>
      </rPr>
      <t>)</t>
    </r>
  </si>
  <si>
    <t>Для прочих трендов надо использовать ф.ОТРЕЗОК() и НАКЛОН().</t>
  </si>
  <si>
    <t xml:space="preserve">Для прочих трендов надо использовать: </t>
  </si>
  <si>
    <t>линейный - ф.ПРЕДСКАЗ() или ТЕНДЕНЦИЯ()</t>
  </si>
  <si>
    <t>экспоненциальный - ф.РОСТ()</t>
  </si>
  <si>
    <t>логарифмический - ф.ТЕНДЕНЦИЯ (от логарифмов времён)</t>
  </si>
  <si>
    <r>
      <t xml:space="preserve">Рассчитать трендовые значения, используя функции MS Excel - (для полинома - </t>
    </r>
    <r>
      <rPr>
        <b/>
        <sz val="11"/>
        <color theme="1"/>
        <rFont val="Calibri"/>
        <family val="2"/>
        <charset val="204"/>
        <scheme val="minor"/>
      </rPr>
      <t>рис.7</t>
    </r>
    <r>
      <rPr>
        <sz val="11"/>
        <color theme="1"/>
        <rFont val="Calibri"/>
        <family val="2"/>
        <charset val="204"/>
        <scheme val="minor"/>
      </rPr>
      <t>)</t>
    </r>
  </si>
  <si>
    <t>Полином. Тренд</t>
  </si>
  <si>
    <r>
      <t xml:space="preserve">Рассчитать ошибку тренда, её крайние значения - </t>
    </r>
    <r>
      <rPr>
        <b/>
        <sz val="11"/>
        <color theme="1"/>
        <rFont val="Calibri"/>
        <family val="2"/>
        <charset val="204"/>
        <scheme val="minor"/>
      </rPr>
      <t>рис.8</t>
    </r>
    <r>
      <rPr>
        <sz val="11"/>
        <color theme="1"/>
        <rFont val="Calibri"/>
        <family val="2"/>
        <charset val="204"/>
        <scheme val="minor"/>
      </rPr>
      <t>.</t>
    </r>
  </si>
  <si>
    <t>Канал: верх</t>
  </si>
  <si>
    <t>Канал: низ</t>
  </si>
  <si>
    <r>
      <t xml:space="preserve">Рассчитать значения границ канала, добавив к тренду крайние значения ошибок. Вывести их на график. Записать вывод. - </t>
    </r>
    <r>
      <rPr>
        <b/>
        <sz val="11"/>
        <color theme="1"/>
        <rFont val="Calibri"/>
        <family val="2"/>
        <charset val="204"/>
        <scheme val="minor"/>
      </rPr>
      <t>рис.9</t>
    </r>
    <r>
      <rPr>
        <sz val="11"/>
        <color theme="1"/>
        <rFont val="Calibri"/>
        <family val="2"/>
        <charset val="204"/>
        <scheme val="minor"/>
      </rPr>
      <t>.</t>
    </r>
  </si>
  <si>
    <t>В данном случае получаем более количественно определённые прогнозные значения (чем в графической модели).</t>
  </si>
  <si>
    <t>Недостаком канала [с параллельными границами] можно считать, что они опираются только на одно фактическое значение.</t>
  </si>
  <si>
    <t>Поэтому построим сначала границы канала, а затем тренд.</t>
  </si>
  <si>
    <t xml:space="preserve"> рассчёт тренда, как средней между границами</t>
  </si>
  <si>
    <t>Скопировать данные (ряда) на новый лист</t>
  </si>
  <si>
    <r>
      <t xml:space="preserve">На графика вывести тренд(ы) определённого ранее типа. Сделать вывод, какой расчётный тренд соответствует графической модели - </t>
    </r>
    <r>
      <rPr>
        <b/>
        <sz val="11"/>
        <color theme="1"/>
        <rFont val="Calibri"/>
        <family val="2"/>
        <charset val="204"/>
        <scheme val="minor"/>
      </rPr>
      <t>рис.4</t>
    </r>
    <r>
      <rPr>
        <sz val="11"/>
        <color theme="1"/>
        <rFont val="Calibri"/>
        <family val="2"/>
        <charset val="204"/>
        <scheme val="minor"/>
      </rPr>
      <t>.</t>
    </r>
  </si>
  <si>
    <t>Скопировать лист</t>
  </si>
  <si>
    <r>
      <t xml:space="preserve">Переписать рассчёт трендовых значений путём ссылки на параметры </t>
    </r>
    <r>
      <rPr>
        <b/>
        <sz val="11"/>
        <color theme="1"/>
        <rFont val="Calibri"/>
        <family val="2"/>
        <charset val="204"/>
        <scheme val="minor"/>
      </rPr>
      <t>- рис.10</t>
    </r>
    <r>
      <rPr>
        <sz val="11"/>
        <color theme="1"/>
        <rFont val="Calibri"/>
        <family val="2"/>
        <charset val="204"/>
        <scheme val="minor"/>
      </rPr>
      <t>.</t>
    </r>
  </si>
  <si>
    <t>Сами трендовые значения, естественно, поменяться не должны.</t>
  </si>
  <si>
    <t>Минимизация которой является критерием рассчёта параметров по МНК.</t>
  </si>
  <si>
    <r>
      <t xml:space="preserve">Рассчитать сумму квадратов ошибок по ф.СУММКВ() - </t>
    </r>
    <r>
      <rPr>
        <b/>
        <sz val="11"/>
        <color theme="1"/>
        <rFont val="Calibri"/>
        <family val="2"/>
        <charset val="204"/>
        <scheme val="minor"/>
      </rPr>
      <t>рис.11</t>
    </r>
    <r>
      <rPr>
        <sz val="11"/>
        <color theme="1"/>
        <rFont val="Calibri"/>
        <family val="2"/>
        <charset val="204"/>
        <scheme val="minor"/>
      </rPr>
      <t>.</t>
    </r>
  </si>
  <si>
    <r>
      <t>Используя Данные-ПоискРешения, поставить и решить задачу параметризации по МНК -</t>
    </r>
    <r>
      <rPr>
        <b/>
        <sz val="11"/>
        <color theme="1"/>
        <rFont val="Calibri"/>
        <family val="2"/>
        <charset val="204"/>
        <scheme val="minor"/>
      </rPr>
      <t xml:space="preserve"> рис.12</t>
    </r>
    <r>
      <rPr>
        <sz val="11"/>
        <color theme="1"/>
        <rFont val="Calibri"/>
        <family val="2"/>
        <charset val="204"/>
        <scheme val="minor"/>
      </rPr>
      <t>.</t>
    </r>
  </si>
  <si>
    <t>В результате решения значения параметров измениться не должны.</t>
  </si>
  <si>
    <r>
      <t xml:space="preserve">Параметризовать нижнюю границу канала, добавив в ПоискРешения ограничение на то, что максимальная ошибка &lt;=0 - </t>
    </r>
    <r>
      <rPr>
        <b/>
        <sz val="11"/>
        <color theme="1"/>
        <rFont val="Calibri"/>
        <family val="2"/>
        <charset val="204"/>
        <scheme val="minor"/>
      </rPr>
      <t>рис.12,1</t>
    </r>
    <r>
      <rPr>
        <sz val="11"/>
        <color theme="1"/>
        <rFont val="Calibri"/>
        <family val="2"/>
        <charset val="204"/>
        <scheme val="minor"/>
      </rPr>
      <t>.</t>
    </r>
  </si>
  <si>
    <t>Скопировать полученные параметры на свободное место.</t>
  </si>
  <si>
    <r>
      <t xml:space="preserve">Скопировать полученные параметры на свободное место, рассчитать (аналогично тренду) значения нижней границы путём ссылки на эти параметры - </t>
    </r>
    <r>
      <rPr>
        <b/>
        <sz val="11"/>
        <color theme="1"/>
        <rFont val="Calibri"/>
        <family val="2"/>
        <charset val="204"/>
        <scheme val="minor"/>
      </rPr>
      <t>рис.13</t>
    </r>
    <r>
      <rPr>
        <sz val="11"/>
        <color theme="1"/>
        <rFont val="Calibri"/>
        <family val="2"/>
        <charset val="204"/>
        <scheme val="minor"/>
      </rPr>
      <t>.</t>
    </r>
  </si>
  <si>
    <r>
      <t xml:space="preserve">Параметризовать </t>
    </r>
    <r>
      <rPr>
        <sz val="11"/>
        <color rgb="FFFF0000"/>
        <rFont val="Calibri"/>
        <family val="2"/>
        <charset val="204"/>
        <scheme val="minor"/>
      </rPr>
      <t>верхнюю</t>
    </r>
    <r>
      <rPr>
        <sz val="11"/>
        <color theme="1"/>
        <rFont val="Calibri"/>
        <family val="2"/>
        <charset val="204"/>
        <scheme val="minor"/>
      </rPr>
      <t xml:space="preserve"> границу канала, </t>
    </r>
    <r>
      <rPr>
        <sz val="11"/>
        <color rgb="FFFF0000"/>
        <rFont val="Calibri"/>
        <family val="2"/>
        <charset val="204"/>
        <scheme val="minor"/>
      </rPr>
      <t>заменив</t>
    </r>
    <r>
      <rPr>
        <sz val="11"/>
        <color theme="1"/>
        <rFont val="Calibri"/>
        <family val="2"/>
        <charset val="204"/>
        <scheme val="minor"/>
      </rPr>
      <t xml:space="preserve"> в ПоискРешения ограничение на то, что </t>
    </r>
    <r>
      <rPr>
        <sz val="11"/>
        <color rgb="FFFF0000"/>
        <rFont val="Calibri"/>
        <family val="2"/>
        <charset val="204"/>
        <scheme val="minor"/>
      </rPr>
      <t>минимальная</t>
    </r>
    <r>
      <rPr>
        <sz val="11"/>
        <color theme="1"/>
        <rFont val="Calibri"/>
        <family val="2"/>
        <charset val="204"/>
        <scheme val="minor"/>
      </rPr>
      <t xml:space="preserve"> ошибка </t>
    </r>
    <r>
      <rPr>
        <sz val="11"/>
        <color rgb="FFFF0000"/>
        <rFont val="Calibri"/>
        <family val="2"/>
        <charset val="204"/>
        <scheme val="minor"/>
      </rPr>
      <t>&gt;</t>
    </r>
    <r>
      <rPr>
        <sz val="11"/>
        <color theme="1"/>
        <rFont val="Calibri"/>
        <family val="2"/>
        <charset val="204"/>
        <scheme val="minor"/>
      </rPr>
      <t>=0</t>
    </r>
    <r>
      <rPr>
        <sz val="11"/>
        <color theme="1"/>
        <rFont val="Calibri"/>
        <family val="2"/>
        <charset val="204"/>
        <scheme val="minor"/>
      </rPr>
      <t>.</t>
    </r>
  </si>
  <si>
    <t>Теперь "трендовые значения" - это нижняя граница</t>
  </si>
  <si>
    <t>Теперь "трендовые значения" - это верхняя граница</t>
  </si>
  <si>
    <r>
      <t xml:space="preserve">Скопировать полученные параметры на свободное место, рассчитать (аналогично низу) значения верхней границы путём ссылки на эти параметры - </t>
    </r>
    <r>
      <rPr>
        <b/>
        <sz val="11"/>
        <color theme="1"/>
        <rFont val="Calibri"/>
        <family val="2"/>
        <charset val="204"/>
        <scheme val="minor"/>
      </rPr>
      <t>рис.14</t>
    </r>
    <r>
      <rPr>
        <sz val="11"/>
        <color theme="1"/>
        <rFont val="Calibri"/>
        <family val="2"/>
        <charset val="204"/>
        <scheme val="minor"/>
      </rPr>
      <t>.</t>
    </r>
  </si>
  <si>
    <r>
      <t xml:space="preserve">Заменить рассчёт трендовых значений на среднее между границами. Записать вывод - </t>
    </r>
    <r>
      <rPr>
        <b/>
        <sz val="11"/>
        <color theme="1"/>
        <rFont val="Calibri"/>
        <family val="2"/>
        <charset val="204"/>
        <scheme val="minor"/>
      </rPr>
      <t>рис.15</t>
    </r>
    <r>
      <rPr>
        <sz val="11"/>
        <color theme="1"/>
        <rFont val="Calibri"/>
        <family val="2"/>
        <charset val="204"/>
        <scheme val="minor"/>
      </rPr>
      <t>.</t>
    </r>
  </si>
  <si>
    <t>Проделанная ранее работа предполагала равнозначность наблюдений для расчёта параметров тренда.</t>
  </si>
  <si>
    <t>Рассмотрим два возражения против этого допущения: 1) принцип дисконтирования 2) принцип аппроксимации выбросов.</t>
  </si>
  <si>
    <t>параметризация тренда с экспоненциальными весами</t>
  </si>
  <si>
    <t>По принципу дисконтирования значимость наблюдений убывает по экспоненциальному закону (по закону экспоненциального сглаживания).</t>
  </si>
  <si>
    <t xml:space="preserve">В пустую ячейку ввести коэффициент адаптации (альфу) экспоненциального сглаживания. </t>
  </si>
  <si>
    <t>Традиционно, пусть изначально альфа = 0,3</t>
  </si>
  <si>
    <t xml:space="preserve">Дополнить таблицу столбцом "Веса наблюдений", </t>
  </si>
  <si>
    <r>
      <t xml:space="preserve"> - приравняв вес последнего известного значения к альфе - </t>
    </r>
    <r>
      <rPr>
        <b/>
        <sz val="11"/>
        <color theme="1"/>
        <rFont val="Calibri"/>
        <family val="2"/>
        <charset val="204"/>
        <scheme val="minor"/>
      </rPr>
      <t>рис.16</t>
    </r>
    <r>
      <rPr>
        <sz val="11"/>
        <color theme="1"/>
        <rFont val="Calibri"/>
        <family val="2"/>
        <charset val="204"/>
        <scheme val="minor"/>
      </rPr>
      <t>.</t>
    </r>
  </si>
  <si>
    <r>
      <t xml:space="preserve"> - а каждый предшествующий вес - в (1-альфа) раз меньше - </t>
    </r>
    <r>
      <rPr>
        <b/>
        <sz val="11"/>
        <color theme="1"/>
        <rFont val="Calibri"/>
        <family val="2"/>
        <charset val="204"/>
        <scheme val="minor"/>
      </rPr>
      <t>рис. 16,1</t>
    </r>
    <r>
      <rPr>
        <sz val="11"/>
        <color theme="1"/>
        <rFont val="Calibri"/>
        <family val="2"/>
        <charset val="204"/>
        <scheme val="minor"/>
      </rPr>
      <t>.</t>
    </r>
  </si>
  <si>
    <t>Строго говоря, сумма таких весов не равна 1, но стремится к ней.</t>
  </si>
  <si>
    <r>
      <t xml:space="preserve">Трансформировать рассчёт суммы квадратов ошибок в средневзвешенный квадрат ошибки - </t>
    </r>
    <r>
      <rPr>
        <b/>
        <sz val="11"/>
        <color theme="1"/>
        <rFont val="Calibri"/>
        <family val="2"/>
        <charset val="204"/>
        <scheme val="minor"/>
      </rPr>
      <t>рис. 16,2</t>
    </r>
  </si>
  <si>
    <t>Учитывая, что: СУММКВ(Х) = СУММПРОИЗВ(Х;Х)</t>
  </si>
  <si>
    <r>
      <t xml:space="preserve">Сделать альфу больше/меньше и повторить расчёт. Записать выводы - </t>
    </r>
    <r>
      <rPr>
        <b/>
        <sz val="11"/>
        <color theme="1"/>
        <rFont val="Calibri"/>
        <family val="2"/>
        <charset val="204"/>
        <scheme val="minor"/>
      </rPr>
      <t>рис.18</t>
    </r>
    <r>
      <rPr>
        <sz val="11"/>
        <color theme="1"/>
        <rFont val="Calibri"/>
        <family val="2"/>
        <charset val="204"/>
        <scheme val="minor"/>
      </rPr>
      <t>.</t>
    </r>
  </si>
  <si>
    <t>параметризация тренда с весам, обратными ошибкам</t>
  </si>
  <si>
    <t>По принципу удаления выбросов наблюдение с большой ошибкой должно весить меньше, т.к. является выбросным (не типичным).</t>
  </si>
  <si>
    <r>
      <t xml:space="preserve">Добавить столбец "1 / Долю квадрата ошибки в итоге", где поделить сумму квадратов ошибок на квадрат текущей ошибки - </t>
    </r>
    <r>
      <rPr>
        <b/>
        <sz val="11"/>
        <color theme="1"/>
        <rFont val="Calibri"/>
        <family val="2"/>
        <charset val="204"/>
        <scheme val="minor"/>
      </rPr>
      <t>рис.19</t>
    </r>
    <r>
      <rPr>
        <sz val="11"/>
        <color theme="1"/>
        <rFont val="Calibri"/>
        <family val="2"/>
        <charset val="204"/>
        <scheme val="minor"/>
      </rPr>
      <t>.</t>
    </r>
  </si>
  <si>
    <t>Это мера "невыбросности"</t>
  </si>
  <si>
    <r>
      <t xml:space="preserve">Пересчитать веса наблюдений, как "долю невыбросности" - </t>
    </r>
    <r>
      <rPr>
        <b/>
        <sz val="11"/>
        <color theme="1"/>
        <rFont val="Calibri"/>
        <family val="2"/>
        <charset val="204"/>
        <scheme val="minor"/>
      </rPr>
      <t>рис.20</t>
    </r>
    <r>
      <rPr>
        <sz val="11"/>
        <color theme="1"/>
        <rFont val="Calibri"/>
        <family val="2"/>
        <charset val="204"/>
        <scheme val="minor"/>
      </rPr>
      <t>.</t>
    </r>
  </si>
  <si>
    <t>После чего заменить расчёт весов их значениями (Специальная вставка - вставить значения)</t>
  </si>
  <si>
    <t>Перерешать ПоискРешения.</t>
  </si>
  <si>
    <t>Новые параметры тренда изменят и меру "невыбросности". Значит можно заново пересчитать веса, заменить их значениями и перерешать ПоискРешения. В конце концов решение сходится к пределу.</t>
  </si>
  <si>
    <t>Желающие могут сделать несколько итераций, но можно сразу</t>
  </si>
  <si>
    <r>
      <t xml:space="preserve">Записать выводы - </t>
    </r>
    <r>
      <rPr>
        <b/>
        <sz val="11"/>
        <color theme="1"/>
        <rFont val="Calibri"/>
        <family val="2"/>
        <charset val="204"/>
        <scheme val="minor"/>
      </rPr>
      <t>рис.21</t>
    </r>
    <r>
      <rPr>
        <sz val="11"/>
        <color theme="1"/>
        <rFont val="Calibri"/>
        <family val="2"/>
        <charset val="204"/>
        <scheme val="minor"/>
      </rPr>
      <t>.</t>
    </r>
  </si>
  <si>
    <t>параметризация тренда по альтернативным критериям</t>
  </si>
  <si>
    <t>Вместо минимизации суммы квадратов ошибок (МНК) можно использовать и другие критерии. Например, минимизацию суммы модулей или минимизацию максимального модуля.</t>
  </si>
  <si>
    <r>
      <t xml:space="preserve">В качестве критерия рассчитать сумму модулей, используя ф.СУММ(ABS(…)) и завершив ввод Ctrl+Shift+Enter - </t>
    </r>
    <r>
      <rPr>
        <b/>
        <sz val="11"/>
        <color theme="1"/>
        <rFont val="Calibri"/>
        <family val="2"/>
        <charset val="204"/>
        <scheme val="minor"/>
      </rPr>
      <t>рис.22</t>
    </r>
    <r>
      <rPr>
        <sz val="11"/>
        <color theme="1"/>
        <rFont val="Calibri"/>
        <family val="2"/>
        <charset val="204"/>
        <scheme val="minor"/>
      </rPr>
      <t>.</t>
    </r>
  </si>
  <si>
    <t>Перерешать ПоискРешения, сохранить полученные параметры на свободном месте, рассчитать трендовые значения в опоре на них.</t>
  </si>
  <si>
    <r>
      <t xml:space="preserve">В качестве критерия рассчитать </t>
    </r>
    <r>
      <rPr>
        <sz val="11"/>
        <color rgb="FFFF0000"/>
        <rFont val="Calibri"/>
        <family val="2"/>
        <charset val="204"/>
        <scheme val="minor"/>
      </rPr>
      <t>максимум</t>
    </r>
    <r>
      <rPr>
        <sz val="11"/>
        <color theme="1"/>
        <rFont val="Calibri"/>
        <family val="2"/>
        <charset val="204"/>
        <scheme val="minor"/>
      </rPr>
      <t xml:space="preserve"> модулей, используя ф.</t>
    </r>
    <r>
      <rPr>
        <sz val="11"/>
        <color rgb="FFFF0000"/>
        <rFont val="Calibri"/>
        <family val="2"/>
        <charset val="204"/>
        <scheme val="minor"/>
      </rPr>
      <t>МАКС</t>
    </r>
    <r>
      <rPr>
        <sz val="11"/>
        <color theme="1"/>
        <rFont val="Calibri"/>
        <family val="2"/>
        <charset val="204"/>
        <scheme val="minor"/>
      </rPr>
      <t xml:space="preserve">(ABS(…)) и завершив ввод Ctrl+Shift+Enter - </t>
    </r>
    <r>
      <rPr>
        <b/>
        <sz val="11"/>
        <color theme="1"/>
        <rFont val="Calibri"/>
        <family val="2"/>
        <charset val="204"/>
        <scheme val="minor"/>
      </rPr>
      <t>рис.23</t>
    </r>
    <r>
      <rPr>
        <sz val="11"/>
        <color theme="1"/>
        <rFont val="Calibri"/>
        <family val="2"/>
        <charset val="204"/>
        <scheme val="minor"/>
      </rPr>
      <t>.</t>
    </r>
  </si>
  <si>
    <r>
      <t xml:space="preserve">Записать выводы - </t>
    </r>
    <r>
      <rPr>
        <b/>
        <sz val="11"/>
        <color theme="1"/>
        <rFont val="Calibri"/>
        <family val="2"/>
        <charset val="204"/>
        <scheme val="minor"/>
      </rPr>
      <t>рис.24</t>
    </r>
    <r>
      <rPr>
        <sz val="11"/>
        <color theme="1"/>
        <rFont val="Calibri"/>
        <family val="2"/>
        <charset val="204"/>
        <scheme val="minor"/>
      </rPr>
      <t>.</t>
    </r>
  </si>
  <si>
    <t>Деление ряда на участки</t>
  </si>
  <si>
    <t>Получение интервального прогноза для каждого из 5 рядов</t>
  </si>
  <si>
    <r>
      <t xml:space="preserve">Свести результаты п.2,1-2,6 в единую таблицу - </t>
    </r>
    <r>
      <rPr>
        <b/>
        <sz val="11"/>
        <color theme="1"/>
        <rFont val="Calibri"/>
        <family val="2"/>
        <charset val="204"/>
        <scheme val="minor"/>
      </rPr>
      <t>рис.25</t>
    </r>
    <r>
      <rPr>
        <sz val="11"/>
        <color theme="1"/>
        <rFont val="Calibri"/>
        <family val="2"/>
        <charset val="204"/>
        <scheme val="minor"/>
      </rPr>
      <t>.</t>
    </r>
  </si>
  <si>
    <r>
      <t xml:space="preserve">Сделать </t>
    </r>
    <r>
      <rPr>
        <i/>
        <sz val="11"/>
        <color rgb="FF0070C0"/>
        <rFont val="Calibri"/>
        <family val="2"/>
        <charset val="204"/>
        <scheme val="minor"/>
      </rPr>
      <t>КОПИЮ ЛИСТА</t>
    </r>
    <r>
      <rPr>
        <i/>
        <sz val="11"/>
        <color theme="1"/>
        <rFont val="Calibri"/>
        <family val="2"/>
        <charset val="204"/>
        <scheme val="minor"/>
      </rPr>
      <t xml:space="preserve"> для последующего видоизменения в другие модели</t>
    </r>
  </si>
  <si>
    <r>
      <t xml:space="preserve">Возвращаемся к </t>
    </r>
    <r>
      <rPr>
        <sz val="11"/>
        <color rgb="FF0070C0"/>
        <rFont val="Calibri"/>
        <family val="2"/>
        <charset val="204"/>
        <scheme val="minor"/>
      </rPr>
      <t>КОПИИ ЛИСТА</t>
    </r>
    <r>
      <rPr>
        <sz val="11"/>
        <rFont val="Calibri"/>
        <family val="2"/>
        <charset val="204"/>
        <scheme val="minor"/>
      </rPr>
      <t>, делаем с него ещё одну копию и на ней работаем.</t>
    </r>
  </si>
  <si>
    <r>
      <t xml:space="preserve">Возвращаемся к </t>
    </r>
    <r>
      <rPr>
        <sz val="11"/>
        <color rgb="FF0070C0"/>
        <rFont val="Calibri"/>
        <family val="2"/>
        <charset val="204"/>
        <scheme val="minor"/>
      </rPr>
      <t>КОПИИ ЛИСТА</t>
    </r>
    <r>
      <rPr>
        <sz val="11"/>
        <rFont val="Calibri"/>
        <family val="2"/>
        <charset val="204"/>
        <scheme val="minor"/>
      </rPr>
      <t>.</t>
    </r>
  </si>
  <si>
    <r>
      <t xml:space="preserve">Перерешать ПоискРешения, сохранить полученные параметры на свободном месте, рассчитать трендовые значения в опоре на них - </t>
    </r>
    <r>
      <rPr>
        <b/>
        <sz val="11"/>
        <color theme="1"/>
        <rFont val="Calibri"/>
        <family val="2"/>
        <charset val="204"/>
        <scheme val="minor"/>
      </rPr>
      <t>рис.17</t>
    </r>
    <r>
      <rPr>
        <sz val="11"/>
        <color theme="1"/>
        <rFont val="Calibri"/>
        <family val="2"/>
        <charset val="204"/>
        <scheme val="minor"/>
      </rPr>
      <t>.</t>
    </r>
  </si>
  <si>
    <t>Вспомогательной задачей построения тренда является определение базы тренда (разделения ряда на участки)</t>
  </si>
  <si>
    <t>Вынести исходные данные одного ряда (например Численности) на новый лист.</t>
  </si>
  <si>
    <t>В примере использован ряд Численности, т.к. анализ ряда ВВП чаще всего приводит к выводу, что ряд делить не надо</t>
  </si>
  <si>
    <t>ССЧ</t>
  </si>
  <si>
    <t>Построить график.</t>
  </si>
  <si>
    <r>
      <t xml:space="preserve">На графике через два первых максимума (минимума) провести прямые линии границ канала. Определить момент выхода данных из канала </t>
    </r>
    <r>
      <rPr>
        <b/>
        <sz val="11"/>
        <color theme="1"/>
        <rFont val="Calibri"/>
        <family val="2"/>
        <charset val="204"/>
        <scheme val="minor"/>
      </rPr>
      <t>- рис.26</t>
    </r>
    <r>
      <rPr>
        <sz val="11"/>
        <color theme="1"/>
        <rFont val="Calibri"/>
        <family val="2"/>
        <charset val="204"/>
        <scheme val="minor"/>
      </rPr>
      <t>.</t>
    </r>
  </si>
  <si>
    <t>Выннести в отдельную ячейку предполагаемое значение длины первого участка</t>
  </si>
  <si>
    <r>
      <t xml:space="preserve">В опоре на это значение рассчитать в двух столбцах разделение ряда на участки - </t>
    </r>
    <r>
      <rPr>
        <b/>
        <sz val="11"/>
        <color theme="1"/>
        <rFont val="Calibri"/>
        <family val="2"/>
        <charset val="204"/>
        <scheme val="minor"/>
      </rPr>
      <t>рис.27</t>
    </r>
    <r>
      <rPr>
        <sz val="11"/>
        <color theme="1"/>
        <rFont val="Calibri"/>
        <family val="2"/>
        <charset val="204"/>
        <scheme val="minor"/>
      </rPr>
      <t>.</t>
    </r>
  </si>
  <si>
    <t>По каждому столбцу (участку) рассчитать среднее</t>
  </si>
  <si>
    <r>
      <t xml:space="preserve">Соотнести средние, как разность и отношение - </t>
    </r>
    <r>
      <rPr>
        <b/>
        <sz val="11"/>
        <color theme="1"/>
        <rFont val="Calibri"/>
        <family val="2"/>
        <charset val="204"/>
        <scheme val="minor"/>
      </rPr>
      <t>рис.28</t>
    </r>
    <r>
      <rPr>
        <sz val="11"/>
        <color theme="1"/>
        <rFont val="Calibri"/>
        <family val="2"/>
        <charset val="204"/>
        <scheme val="minor"/>
      </rPr>
      <t>.</t>
    </r>
  </si>
  <si>
    <t>Лучшим разделением ряда на участки будет такое, при котором соотношение средних максимально.</t>
  </si>
  <si>
    <t>Т.е. меняя длину первого участка надо максимизировать либо разность, либо отношение средних. Составим для этого таблицу подстановки:</t>
  </si>
  <si>
    <t>Создать таблицу:</t>
  </si>
  <si>
    <t xml:space="preserve"> - первый столбец - возможные значения длины первого участка (от 2 до 16)</t>
  </si>
  <si>
    <r>
      <t xml:space="preserve"> - загловки столбцов 2 и 3 - ссылки на разность и отношение средних - </t>
    </r>
    <r>
      <rPr>
        <b/>
        <sz val="11"/>
        <color theme="1"/>
        <rFont val="Calibri"/>
        <family val="2"/>
        <charset val="204"/>
        <scheme val="minor"/>
      </rPr>
      <t>рис.29</t>
    </r>
    <r>
      <rPr>
        <sz val="11"/>
        <color theme="1"/>
        <rFont val="Calibri"/>
        <family val="2"/>
        <charset val="204"/>
        <scheme val="minor"/>
      </rPr>
      <t>.</t>
    </r>
  </si>
  <si>
    <r>
      <t xml:space="preserve"> - выделить таблицу; вызвать мастер таблицы подстановки (Данные-АнализЧтоЕсли-ТаблицаДанных); указать в подстановку по строкам длину первого участка - </t>
    </r>
    <r>
      <rPr>
        <b/>
        <sz val="11"/>
        <color theme="1"/>
        <rFont val="Calibri"/>
        <family val="2"/>
        <charset val="204"/>
        <scheme val="minor"/>
      </rPr>
      <t>рис.30</t>
    </r>
  </si>
  <si>
    <r>
      <t xml:space="preserve">По максимумам (модулей) в каждом столбце определить момент разделения участков - </t>
    </r>
    <r>
      <rPr>
        <b/>
        <sz val="11"/>
        <color theme="1"/>
        <rFont val="Calibri"/>
        <family val="2"/>
        <charset val="204"/>
        <scheme val="minor"/>
      </rPr>
      <t>рис.31</t>
    </r>
    <r>
      <rPr>
        <sz val="11"/>
        <color theme="1"/>
        <rFont val="Calibri"/>
        <family val="2"/>
        <charset val="204"/>
        <scheme val="minor"/>
      </rPr>
      <t>.</t>
    </r>
  </si>
  <si>
    <t>Скопировать лист.</t>
  </si>
  <si>
    <r>
      <t xml:space="preserve">Для участка 1 ввести в формулу переменный конец диапазонов X и Y - ф.СМЕЩ() - </t>
    </r>
    <r>
      <rPr>
        <b/>
        <sz val="11"/>
        <color theme="1"/>
        <rFont val="Calibri"/>
        <family val="2"/>
        <charset val="204"/>
        <scheme val="minor"/>
      </rPr>
      <t>рис.33</t>
    </r>
    <r>
      <rPr>
        <sz val="11"/>
        <color theme="1"/>
        <rFont val="Calibri"/>
        <family val="2"/>
        <charset val="204"/>
        <scheme val="minor"/>
      </rPr>
      <t>.</t>
    </r>
  </si>
  <si>
    <r>
      <t xml:space="preserve">Заменить в формуле участков ряда ссылку на исходные данный рассчётом линейного тренда - ф.ПРЕДСКАЗ - </t>
    </r>
    <r>
      <rPr>
        <b/>
        <sz val="11"/>
        <color theme="1"/>
        <rFont val="Calibri"/>
        <family val="2"/>
        <charset val="204"/>
        <scheme val="minor"/>
      </rPr>
      <t>рис.32</t>
    </r>
    <r>
      <rPr>
        <sz val="11"/>
        <color theme="1"/>
        <rFont val="Calibri"/>
        <family val="2"/>
        <charset val="204"/>
        <scheme val="minor"/>
      </rPr>
      <t>.</t>
    </r>
  </si>
  <si>
    <r>
      <t xml:space="preserve">Для участка 2 ввести в формулу переменное начало диапазонов X и Y - ф.СМЕЩ() - </t>
    </r>
    <r>
      <rPr>
        <b/>
        <sz val="11"/>
        <color theme="1"/>
        <rFont val="Calibri"/>
        <family val="2"/>
        <charset val="204"/>
        <scheme val="minor"/>
      </rPr>
      <t>рис.34</t>
    </r>
    <r>
      <rPr>
        <sz val="11"/>
        <color theme="1"/>
        <rFont val="Calibri"/>
        <family val="2"/>
        <charset val="204"/>
        <scheme val="minor"/>
      </rPr>
      <t>.</t>
    </r>
  </si>
  <si>
    <r>
      <t xml:space="preserve">В качестве итогов по столбцам рассчитать суммы квадратов ошибок - </t>
    </r>
    <r>
      <rPr>
        <b/>
        <sz val="11"/>
        <color theme="1"/>
        <rFont val="Calibri"/>
        <family val="2"/>
        <charset val="204"/>
        <scheme val="minor"/>
      </rPr>
      <t>рис.35</t>
    </r>
    <r>
      <rPr>
        <sz val="11"/>
        <color theme="1"/>
        <rFont val="Calibri"/>
        <family val="2"/>
        <charset val="204"/>
        <scheme val="minor"/>
      </rPr>
      <t>.</t>
    </r>
  </si>
  <si>
    <t>Удалить старую таблицу подстановки; построить новую - зависимость общей суммы квадратов ошибок от длины первого участка</t>
  </si>
  <si>
    <r>
      <t xml:space="preserve">По минимуму определить момент разделения участков - </t>
    </r>
    <r>
      <rPr>
        <b/>
        <sz val="11"/>
        <color theme="1"/>
        <rFont val="Calibri"/>
        <family val="2"/>
        <charset val="204"/>
        <scheme val="minor"/>
      </rPr>
      <t>рис.36</t>
    </r>
    <r>
      <rPr>
        <sz val="11"/>
        <color theme="1"/>
        <rFont val="Calibri"/>
        <family val="2"/>
        <charset val="204"/>
        <scheme val="minor"/>
      </rPr>
      <t>.</t>
    </r>
  </si>
  <si>
    <t xml:space="preserve">Для каждого из пяти рядов исходных данных получить прогноз, выбрав (любой правдоподобный) метод </t>
  </si>
  <si>
    <t xml:space="preserve"> - построения интервального прогноза</t>
  </si>
  <si>
    <t xml:space="preserve"> - параметризации тренда</t>
  </si>
  <si>
    <t xml:space="preserve"> - выделения последнего участка</t>
  </si>
  <si>
    <r>
      <t xml:space="preserve">Результат свести в таблицу вида - </t>
    </r>
    <r>
      <rPr>
        <b/>
        <sz val="11"/>
        <color theme="1"/>
        <rFont val="Calibri"/>
        <family val="2"/>
        <charset val="204"/>
        <scheme val="minor"/>
      </rPr>
      <t>рис.37</t>
    </r>
    <r>
      <rPr>
        <sz val="11"/>
        <color theme="1"/>
        <rFont val="Calibri"/>
        <family val="2"/>
        <charset val="204"/>
        <scheme val="minor"/>
      </rPr>
      <t>.</t>
    </r>
  </si>
  <si>
    <t>З/П</t>
  </si>
  <si>
    <t>Получение интервального прогноза на основе вариантов трендовых моделей</t>
  </si>
  <si>
    <t>на основе определения тренда как среднего (постоянного) уровня</t>
  </si>
  <si>
    <t>на основе определения тренда как (линейной) функции</t>
  </si>
  <si>
    <t>2026</t>
  </si>
  <si>
    <t>Y</t>
  </si>
  <si>
    <t>среднее</t>
  </si>
  <si>
    <t>макс</t>
  </si>
  <si>
    <t>мин</t>
  </si>
  <si>
    <t>2027</t>
  </si>
  <si>
    <t>2028</t>
  </si>
  <si>
    <t>2029</t>
  </si>
  <si>
    <t>2030</t>
  </si>
  <si>
    <t>ПМ-2541</t>
  </si>
  <si>
    <t>План:</t>
  </si>
  <si>
    <t>Для ВВП - базовая модель</t>
  </si>
  <si>
    <t xml:space="preserve"> - графическая</t>
  </si>
  <si>
    <t xml:space="preserve"> - расчётная</t>
  </si>
  <si>
    <t>Видоизменения базы:</t>
  </si>
  <si>
    <t xml:space="preserve"> - гирерпараметры - альтернативные значения</t>
  </si>
  <si>
    <t>Для остальных рядов - лучшую модель</t>
  </si>
  <si>
    <t>2031</t>
  </si>
  <si>
    <t>2032</t>
  </si>
  <si>
    <t>2033</t>
  </si>
  <si>
    <t>2034</t>
  </si>
  <si>
    <t>2035</t>
  </si>
  <si>
    <t>Гиперпараметры:</t>
  </si>
  <si>
    <t>вид:</t>
  </si>
  <si>
    <t>линейная</t>
  </si>
  <si>
    <t>база:</t>
  </si>
  <si>
    <t>все данные</t>
  </si>
  <si>
    <t>параметры:</t>
  </si>
  <si>
    <t>a=</t>
  </si>
  <si>
    <t>b=</t>
  </si>
  <si>
    <t>X</t>
  </si>
  <si>
    <t>Y^</t>
  </si>
  <si>
    <t>тренд</t>
  </si>
  <si>
    <t>ПРЕДСКАЗ()</t>
  </si>
  <si>
    <t>Ошибка</t>
  </si>
  <si>
    <t>ошибка:</t>
  </si>
  <si>
    <t>разность</t>
  </si>
  <si>
    <t>Err=Y - Y^</t>
  </si>
  <si>
    <t>распределение:</t>
  </si>
  <si>
    <t>Ошибка сорт.</t>
  </si>
  <si>
    <t>Err sort</t>
  </si>
  <si>
    <t>надёжность дов.инт.:</t>
  </si>
  <si>
    <t>довер.интервал</t>
  </si>
  <si>
    <t>низ</t>
  </si>
  <si>
    <t>верх</t>
  </si>
  <si>
    <t>постоянство ширины:</t>
  </si>
  <si>
    <t>постоянная</t>
  </si>
  <si>
    <t>квадратическое</t>
  </si>
  <si>
    <t>Талия канала:</t>
  </si>
  <si>
    <t>середина исх.данных</t>
  </si>
  <si>
    <t>нормально ( 0 )</t>
  </si>
  <si>
    <t>по стьюденту ( 1 )</t>
  </si>
  <si>
    <t>ширина дов.интервал:</t>
  </si>
  <si>
    <t>критерий:</t>
  </si>
  <si>
    <t>сумма квадратов</t>
  </si>
  <si>
    <t>отношение</t>
  </si>
  <si>
    <t>логарифм</t>
  </si>
  <si>
    <t>Искомые параметры</t>
  </si>
  <si>
    <t>цель -&gt;min</t>
  </si>
  <si>
    <r>
      <rPr>
        <b/>
        <sz val="11"/>
        <color rgb="FFFF0000"/>
        <rFont val="Calibri"/>
        <family val="2"/>
        <scheme val="minor"/>
      </rPr>
      <t xml:space="preserve">Относ. </t>
    </r>
    <r>
      <rPr>
        <b/>
        <sz val="11"/>
        <color theme="1"/>
        <rFont val="Calibri"/>
        <family val="2"/>
        <charset val="204"/>
        <scheme val="minor"/>
      </rPr>
      <t>Ошибка</t>
    </r>
  </si>
  <si>
    <r>
      <t>Err=Y</t>
    </r>
    <r>
      <rPr>
        <b/>
        <sz val="11"/>
        <color rgb="FFFF0000"/>
        <rFont val="Calibri"/>
        <family val="2"/>
        <scheme val="minor"/>
      </rPr>
      <t xml:space="preserve"> / </t>
    </r>
    <r>
      <rPr>
        <b/>
        <sz val="11"/>
        <color theme="1"/>
        <rFont val="Calibri"/>
        <family val="2"/>
        <charset val="204"/>
        <scheme val="minor"/>
      </rPr>
      <t>Y^</t>
    </r>
  </si>
  <si>
    <r>
      <rPr>
        <b/>
        <sz val="11"/>
        <color rgb="FFFF0000"/>
        <rFont val="Calibri"/>
        <family val="2"/>
        <scheme val="minor"/>
      </rPr>
      <t xml:space="preserve">лог. </t>
    </r>
    <r>
      <rPr>
        <b/>
        <sz val="11"/>
        <color theme="1"/>
        <rFont val="Calibri"/>
        <family val="2"/>
        <charset val="204"/>
        <scheme val="minor"/>
      </rPr>
      <t>Ошибка</t>
    </r>
  </si>
  <si>
    <r>
      <t>Err= log (Y</t>
    </r>
    <r>
      <rPr>
        <b/>
        <sz val="11"/>
        <color rgb="FFFF0000"/>
        <rFont val="Calibri"/>
        <family val="2"/>
        <scheme val="minor"/>
      </rPr>
      <t xml:space="preserve"> ; </t>
    </r>
    <r>
      <rPr>
        <b/>
        <sz val="11"/>
        <color theme="1"/>
        <rFont val="Calibri"/>
        <family val="2"/>
        <charset val="204"/>
        <scheme val="minor"/>
      </rPr>
      <t>Y^)</t>
    </r>
  </si>
  <si>
    <t>взвешенная сумма квадратов</t>
  </si>
  <si>
    <t>NPV</t>
  </si>
  <si>
    <t>P = Y * q-</t>
  </si>
  <si>
    <t>q-</t>
  </si>
  <si>
    <t>диск.множитель</t>
  </si>
  <si>
    <t>ставка приведения</t>
  </si>
  <si>
    <t>тренд NPV</t>
  </si>
  <si>
    <t>Ошибка NPV</t>
  </si>
  <si>
    <t>довер.интервал NPV</t>
  </si>
  <si>
    <t>тренд ВВП</t>
  </si>
  <si>
    <t>довер.интервал ВВП</t>
  </si>
  <si>
    <t>NPV^</t>
  </si>
  <si>
    <t>Y^=NPV^ / q-</t>
  </si>
  <si>
    <t>c=</t>
  </si>
  <si>
    <t xml:space="preserve">Предельные ошибки </t>
  </si>
  <si>
    <t>Тенденция()</t>
  </si>
  <si>
    <t>полином 2</t>
  </si>
  <si>
    <t>полином 3</t>
  </si>
  <si>
    <t>d=</t>
  </si>
  <si>
    <t>с … года</t>
  </si>
  <si>
    <t>постоянная ( 0 )</t>
  </si>
  <si>
    <t>квадратическое ( 1 )</t>
  </si>
  <si>
    <t>Петров 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</si>
</sst>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%"/>
    <numFmt numFmtId="166" formatCode="0.000%"/>
    <numFmt numFmtId="167" formatCode="0.000000%"/>
    <numFmt numFmtId="168" formatCode="0.000000000%"/>
    <numFmt numFmtId="169" formatCode="#,##0.0000"/>
  </numFmts>
  <fonts count="20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charset val="204"/>
    </font>
    <font>
      <u/>
      <sz val="10"/>
      <color theme="10"/>
      <name val="Arial Cyr"/>
      <charset val="204"/>
    </font>
    <font>
      <sz val="11"/>
      <color rgb="FF7030A0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26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i/>
      <sz val="11"/>
      <color rgb="FF7030A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i/>
      <sz val="11"/>
      <color rgb="FF0070C0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4" fillId="0" borderId="0"/>
    <xf numFmtId="0" fontId="5" fillId="0" borderId="0" applyNumberFormat="0" applyFill="0" applyBorder="0" applyAlignment="0" applyProtection="0"/>
    <xf numFmtId="9" fontId="17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1" fillId="0" borderId="0" xfId="0" applyFont="1"/>
    <xf numFmtId="0" fontId="6" fillId="0" borderId="0" xfId="0" applyFont="1"/>
    <xf numFmtId="0" fontId="7" fillId="0" borderId="0" xfId="0" applyFont="1"/>
    <xf numFmtId="0" fontId="3" fillId="2" borderId="0" xfId="1" applyFont="1" applyFill="1" applyAlignment="1">
      <alignment horizontal="center"/>
    </xf>
    <xf numFmtId="0" fontId="10" fillId="0" borderId="0" xfId="0" applyFont="1"/>
    <xf numFmtId="164" fontId="10" fillId="0" borderId="0" xfId="0" applyNumberFormat="1" applyFont="1"/>
    <xf numFmtId="0" fontId="11" fillId="0" borderId="0" xfId="0" applyFont="1"/>
    <xf numFmtId="3" fontId="12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16" fillId="0" borderId="0" xfId="0" applyFont="1"/>
    <xf numFmtId="0" fontId="0" fillId="3" borderId="0" xfId="0" applyFill="1"/>
    <xf numFmtId="0" fontId="0" fillId="0" borderId="0" xfId="0" applyAlignment="1">
      <alignment horizontal="right"/>
    </xf>
    <xf numFmtId="3" fontId="0" fillId="3" borderId="0" xfId="0" applyNumberFormat="1" applyFill="1"/>
    <xf numFmtId="167" fontId="0" fillId="4" borderId="0" xfId="4" applyNumberFormat="1" applyFont="1" applyFill="1"/>
    <xf numFmtId="168" fontId="0" fillId="4" borderId="0" xfId="4" applyNumberFormat="1" applyFont="1" applyFill="1"/>
    <xf numFmtId="0" fontId="0" fillId="4" borderId="0" xfId="0" applyFill="1"/>
    <xf numFmtId="0" fontId="9" fillId="3" borderId="0" xfId="0" applyFont="1" applyFill="1"/>
    <xf numFmtId="0" fontId="0" fillId="0" borderId="1" xfId="0" applyBorder="1" applyAlignment="1">
      <alignment horizontal="center"/>
    </xf>
    <xf numFmtId="3" fontId="0" fillId="3" borderId="5" xfId="0" applyNumberFormat="1" applyFill="1" applyBorder="1"/>
    <xf numFmtId="3" fontId="0" fillId="3" borderId="6" xfId="0" applyNumberFormat="1" applyFill="1" applyBorder="1"/>
    <xf numFmtId="0" fontId="0" fillId="0" borderId="4" xfId="0" applyBorder="1" applyAlignment="1">
      <alignment horizontal="center"/>
    </xf>
    <xf numFmtId="0" fontId="0" fillId="5" borderId="7" xfId="0" applyFill="1" applyBorder="1"/>
    <xf numFmtId="0" fontId="0" fillId="0" borderId="6" xfId="0" applyBorder="1"/>
    <xf numFmtId="0" fontId="19" fillId="0" borderId="1" xfId="0" applyFont="1" applyBorder="1" applyAlignment="1">
      <alignment horizontal="center" wrapText="1"/>
    </xf>
    <xf numFmtId="9" fontId="0" fillId="0" borderId="1" xfId="4" applyFont="1" applyBorder="1"/>
    <xf numFmtId="165" fontId="0" fillId="0" borderId="1" xfId="4" applyNumberFormat="1" applyFont="1" applyBorder="1"/>
    <xf numFmtId="4" fontId="0" fillId="0" borderId="1" xfId="0" applyNumberFormat="1" applyBorder="1"/>
    <xf numFmtId="166" fontId="0" fillId="0" borderId="1" xfId="4" applyNumberFormat="1" applyFont="1" applyBorder="1"/>
    <xf numFmtId="3" fontId="0" fillId="0" borderId="0" xfId="0" applyNumberFormat="1"/>
    <xf numFmtId="0" fontId="0" fillId="4" borderId="0" xfId="0" applyFill="1" applyAlignment="1">
      <alignment horizontal="center" wrapText="1"/>
    </xf>
    <xf numFmtId="9" fontId="0" fillId="4" borderId="6" xfId="0" applyNumberFormat="1" applyFill="1" applyBorder="1" applyAlignment="1">
      <alignment horizontal="center" vertical="center"/>
    </xf>
    <xf numFmtId="169" fontId="0" fillId="0" borderId="1" xfId="0" applyNumberFormat="1" applyBorder="1"/>
    <xf numFmtId="3" fontId="1" fillId="0" borderId="1" xfId="0" applyNumberFormat="1" applyFont="1" applyBorder="1" applyAlignment="1">
      <alignment horizontal="center" wrapText="1"/>
    </xf>
    <xf numFmtId="0" fontId="0" fillId="0" borderId="1" xfId="0" applyFill="1" applyBorder="1"/>
    <xf numFmtId="0" fontId="0" fillId="2" borderId="0" xfId="0" applyFill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0" fillId="3" borderId="0" xfId="0" applyFill="1" applyAlignment="1">
      <alignment horizontal="center"/>
    </xf>
    <xf numFmtId="0" fontId="9" fillId="4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</cellXfs>
  <cellStyles count="5">
    <cellStyle name="Гиперссылка 2" xfId="3" xr:uid="{00000000-0005-0000-0000-000000000000}"/>
    <cellStyle name="Обычный" xfId="0" builtinId="0"/>
    <cellStyle name="Обычный 2" xfId="1" xr:uid="{00000000-0005-0000-0000-000002000000}"/>
    <cellStyle name="Обычный 3" xfId="2" xr:uid="{00000000-0005-0000-0000-000003000000}"/>
    <cellStyle name="Процентный" xfId="4" builtinId="5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'Данные для анализа'!$C$1</c:f>
              <c:strCache>
                <c:ptCount val="1"/>
                <c:pt idx="0">
                  <c:v> ВВП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'Данные для анализа'!$C$2:$C$35</c:f>
              <c:numCache>
                <c:formatCode>#,##0</c:formatCode>
                <c:ptCount val="34"/>
                <c:pt idx="0">
                  <c:v>1523670.1312683504</c:v>
                </c:pt>
                <c:pt idx="1">
                  <c:v>1899714.2822209885</c:v>
                </c:pt>
                <c:pt idx="2">
                  <c:v>2271976.8034374709</c:v>
                </c:pt>
                <c:pt idx="3">
                  <c:v>2745199.6299384595</c:v>
                </c:pt>
                <c:pt idx="4">
                  <c:v>3476075.5445336094</c:v>
                </c:pt>
                <c:pt idx="5">
                  <c:v>4183589.0473623835</c:v>
                </c:pt>
                <c:pt idx="6">
                  <c:v>5380452.4239379605</c:v>
                </c:pt>
                <c:pt idx="7">
                  <c:v>5857652.2365358304</c:v>
                </c:pt>
                <c:pt idx="8">
                  <c:v>6511019.5831007604</c:v>
                </c:pt>
                <c:pt idx="9">
                  <c:v>7448243.4494492188</c:v>
                </c:pt>
                <c:pt idx="10">
                  <c:v>8915955.3337932099</c:v>
                </c:pt>
                <c:pt idx="11">
                  <c:v>10017461.84195617</c:v>
                </c:pt>
                <c:pt idx="12">
                  <c:v>9925208.0999999996</c:v>
                </c:pt>
                <c:pt idx="13">
                  <c:v>10706582.1</c:v>
                </c:pt>
                <c:pt idx="14">
                  <c:v>11852881.700000001</c:v>
                </c:pt>
                <c:pt idx="15">
                  <c:v>12766002.800000001</c:v>
                </c:pt>
                <c:pt idx="16">
                  <c:v>13515794</c:v>
                </c:pt>
                <c:pt idx="17">
                  <c:v>13615271.9</c:v>
                </c:pt>
                <c:pt idx="18">
                  <c:v>14544325.699999999</c:v>
                </c:pt>
                <c:pt idx="19">
                  <c:v>16406490.399999999</c:v>
                </c:pt>
                <c:pt idx="20">
                  <c:v>19738622.600000001</c:v>
                </c:pt>
                <c:pt idx="21">
                  <c:v>24340433.200000003</c:v>
                </c:pt>
                <c:pt idx="22">
                  <c:v>29177253.5</c:v>
                </c:pt>
                <c:pt idx="23">
                  <c:v>32463740.899999999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32-471F-BAEC-4D3308EE6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6390479"/>
        <c:axId val="2027568511"/>
      </c:lineChart>
      <c:catAx>
        <c:axId val="20163904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27568511"/>
        <c:crosses val="autoZero"/>
        <c:auto val="1"/>
        <c:lblAlgn val="ctr"/>
        <c:lblOffset val="100"/>
        <c:noMultiLvlLbl val="0"/>
      </c:catAx>
      <c:valAx>
        <c:axId val="202756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6390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База!$C$14</c:f>
              <c:strCache>
                <c:ptCount val="1"/>
                <c:pt idx="0">
                  <c:v> ВВП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olid"/>
                <a:tailEnd type="triangle" w="lg" len="lg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10672122365204"/>
                  <c:y val="-3.115843121796754E-4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val>
            <c:numRef>
              <c:f>База!$C$16:$C$49</c:f>
              <c:numCache>
                <c:formatCode>#,##0</c:formatCode>
                <c:ptCount val="34"/>
                <c:pt idx="0">
                  <c:v>1523670.1312683504</c:v>
                </c:pt>
                <c:pt idx="1">
                  <c:v>1899714.2822209885</c:v>
                </c:pt>
                <c:pt idx="2">
                  <c:v>2271976.8034374709</c:v>
                </c:pt>
                <c:pt idx="3">
                  <c:v>2745199.6299384595</c:v>
                </c:pt>
                <c:pt idx="4">
                  <c:v>3476075.5445336094</c:v>
                </c:pt>
                <c:pt idx="5">
                  <c:v>4183589.0473623835</c:v>
                </c:pt>
                <c:pt idx="6">
                  <c:v>5380452.4239379605</c:v>
                </c:pt>
                <c:pt idx="7">
                  <c:v>5857652.2365358304</c:v>
                </c:pt>
                <c:pt idx="8">
                  <c:v>6511019.5831007604</c:v>
                </c:pt>
                <c:pt idx="9">
                  <c:v>7448243.4494492188</c:v>
                </c:pt>
                <c:pt idx="10">
                  <c:v>8915955.3337932099</c:v>
                </c:pt>
                <c:pt idx="11">
                  <c:v>10017461.84195617</c:v>
                </c:pt>
                <c:pt idx="12">
                  <c:v>9925208.0999999996</c:v>
                </c:pt>
                <c:pt idx="13">
                  <c:v>10706582.1</c:v>
                </c:pt>
                <c:pt idx="14">
                  <c:v>11852881.700000001</c:v>
                </c:pt>
                <c:pt idx="15">
                  <c:v>12766002.800000001</c:v>
                </c:pt>
                <c:pt idx="16">
                  <c:v>13515794</c:v>
                </c:pt>
                <c:pt idx="17">
                  <c:v>13615271.9</c:v>
                </c:pt>
                <c:pt idx="18">
                  <c:v>14544325.699999999</c:v>
                </c:pt>
                <c:pt idx="19">
                  <c:v>16406490.399999999</c:v>
                </c:pt>
                <c:pt idx="20">
                  <c:v>19738622.600000001</c:v>
                </c:pt>
                <c:pt idx="21">
                  <c:v>24340433.200000003</c:v>
                </c:pt>
                <c:pt idx="22">
                  <c:v>29177253.5</c:v>
                </c:pt>
                <c:pt idx="23">
                  <c:v>32463740.899999999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E2-47ED-82C4-F3394B3A872C}"/>
            </c:ext>
          </c:extLst>
        </c:ser>
        <c:ser>
          <c:idx val="1"/>
          <c:order val="1"/>
          <c:tx>
            <c:strRef>
              <c:f>База!$D$14</c:f>
              <c:strCache>
                <c:ptCount val="1"/>
                <c:pt idx="0">
                  <c:v>тренд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База!$D$16:$D$49</c:f>
              <c:numCache>
                <c:formatCode>#,##0</c:formatCode>
                <c:ptCount val="34"/>
                <c:pt idx="0">
                  <c:v>-1539242.2981782965</c:v>
                </c:pt>
                <c:pt idx="1">
                  <c:v>-429729.86207752302</c:v>
                </c:pt>
                <c:pt idx="2">
                  <c:v>679782.57402325049</c:v>
                </c:pt>
                <c:pt idx="3">
                  <c:v>1789295.010124024</c:v>
                </c:pt>
                <c:pt idx="4">
                  <c:v>2898807.4462247975</c:v>
                </c:pt>
                <c:pt idx="5">
                  <c:v>4008319.882325571</c:v>
                </c:pt>
                <c:pt idx="6">
                  <c:v>5117832.3184263445</c:v>
                </c:pt>
                <c:pt idx="7">
                  <c:v>6227344.7545271181</c:v>
                </c:pt>
                <c:pt idx="8">
                  <c:v>7336857.1906278916</c:v>
                </c:pt>
                <c:pt idx="9">
                  <c:v>8446369.6267286651</c:v>
                </c:pt>
                <c:pt idx="10">
                  <c:v>9555882.0628294386</c:v>
                </c:pt>
                <c:pt idx="11">
                  <c:v>10665394.498930212</c:v>
                </c:pt>
                <c:pt idx="12">
                  <c:v>11774906.935030986</c:v>
                </c:pt>
                <c:pt idx="13">
                  <c:v>12884419.371131759</c:v>
                </c:pt>
                <c:pt idx="14">
                  <c:v>13993931.807232533</c:v>
                </c:pt>
                <c:pt idx="15">
                  <c:v>15103444.243333306</c:v>
                </c:pt>
                <c:pt idx="16">
                  <c:v>16212956.67943408</c:v>
                </c:pt>
                <c:pt idx="17">
                  <c:v>17322469.115534853</c:v>
                </c:pt>
                <c:pt idx="18">
                  <c:v>18431981.551635627</c:v>
                </c:pt>
                <c:pt idx="19">
                  <c:v>19541493.9877364</c:v>
                </c:pt>
                <c:pt idx="20">
                  <c:v>20651006.423837174</c:v>
                </c:pt>
                <c:pt idx="21">
                  <c:v>21760518.859937947</c:v>
                </c:pt>
                <c:pt idx="22">
                  <c:v>22870031.296038721</c:v>
                </c:pt>
                <c:pt idx="23">
                  <c:v>23979543.732139494</c:v>
                </c:pt>
                <c:pt idx="24">
                  <c:v>25089056.168240268</c:v>
                </c:pt>
                <c:pt idx="25">
                  <c:v>26198568.604341041</c:v>
                </c:pt>
                <c:pt idx="26">
                  <c:v>27308081.040441815</c:v>
                </c:pt>
                <c:pt idx="27">
                  <c:v>28417593.476542588</c:v>
                </c:pt>
                <c:pt idx="28">
                  <c:v>29527105.912643362</c:v>
                </c:pt>
                <c:pt idx="29">
                  <c:v>30636618.348744135</c:v>
                </c:pt>
                <c:pt idx="30">
                  <c:v>31746130.784844909</c:v>
                </c:pt>
                <c:pt idx="31">
                  <c:v>32855643.220945682</c:v>
                </c:pt>
                <c:pt idx="32">
                  <c:v>33965155.657046452</c:v>
                </c:pt>
                <c:pt idx="33">
                  <c:v>35074668.093147233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E2-47ED-82C4-F3394B3A872C}"/>
            </c:ext>
          </c:extLst>
        </c:ser>
        <c:ser>
          <c:idx val="2"/>
          <c:order val="2"/>
          <c:tx>
            <c:strRef>
              <c:f>База!$E$14</c:f>
              <c:strCache>
                <c:ptCount val="1"/>
                <c:pt idx="0">
                  <c:v>довер.интервал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База!$E$16:$E$49</c:f>
              <c:numCache>
                <c:formatCode>#,##0</c:formatCode>
                <c:ptCount val="34"/>
                <c:pt idx="0">
                  <c:v>-8964695.652434539</c:v>
                </c:pt>
                <c:pt idx="1">
                  <c:v>-7384304.1182356179</c:v>
                </c:pt>
                <c:pt idx="2">
                  <c:v>-5819427.3800448161</c:v>
                </c:pt>
                <c:pt idx="3">
                  <c:v>-4273562.2654645126</c:v>
                </c:pt>
                <c:pt idx="4">
                  <c:v>-2751115.3882672954</c:v>
                </c:pt>
                <c:pt idx="5">
                  <c:v>-1257598.7556456206</c:v>
                </c:pt>
                <c:pt idx="6">
                  <c:v>200205.70163156651</c:v>
                </c:pt>
                <c:pt idx="7">
                  <c:v>1614202.0776588377</c:v>
                </c:pt>
                <c:pt idx="8">
                  <c:v>2975206.064444446</c:v>
                </c:pt>
                <c:pt idx="9">
                  <c:v>4273625.0730338078</c:v>
                </c:pt>
                <c:pt idx="10">
                  <c:v>5500703.2691506995</c:v>
                </c:pt>
                <c:pt idx="11">
                  <c:v>6650169.1800380945</c:v>
                </c:pt>
                <c:pt idx="12">
                  <c:v>7719728.1413522465</c:v>
                </c:pt>
                <c:pt idx="13">
                  <c:v>8711674.8174369019</c:v>
                </c:pt>
                <c:pt idx="14">
                  <c:v>9632280.6810490862</c:v>
                </c:pt>
                <c:pt idx="15">
                  <c:v>10490301.566465026</c:v>
                </c:pt>
                <c:pt idx="16">
                  <c:v>11295330.062639302</c:v>
                </c:pt>
                <c:pt idx="17">
                  <c:v>12056550.477563661</c:v>
                </c:pt>
                <c:pt idx="18">
                  <c:v>12782058.717143534</c:v>
                </c:pt>
                <c:pt idx="19">
                  <c:v>13478636.712147864</c:v>
                </c:pt>
                <c:pt idx="20">
                  <c:v>14151796.469769107</c:v>
                </c:pt>
                <c:pt idx="21">
                  <c:v>14805944.603779852</c:v>
                </c:pt>
                <c:pt idx="22">
                  <c:v>15444577.941782478</c:v>
                </c:pt>
                <c:pt idx="23">
                  <c:v>16070467.090551518</c:v>
                </c:pt>
                <c:pt idx="24">
                  <c:v>16685812.121846715</c:v>
                </c:pt>
                <c:pt idx="25">
                  <c:v>17292368.008214556</c:v>
                </c:pt>
                <c:pt idx="26">
                  <c:v>17891542.982954994</c:v>
                </c:pt>
                <c:pt idx="27">
                  <c:v>18484474.616274655</c:v>
                </c:pt>
                <c:pt idx="28">
                  <c:v>19072088.31482067</c:v>
                </c:pt>
                <c:pt idx="29">
                  <c:v>19655142.262907002</c:v>
                </c:pt>
                <c:pt idx="30">
                  <c:v>20234262.020334847</c:v>
                </c:pt>
                <c:pt idx="31">
                  <c:v>20809967.26426933</c:v>
                </c:pt>
                <c:pt idx="32">
                  <c:v>21382692.56631346</c:v>
                </c:pt>
                <c:pt idx="33">
                  <c:v>21952803.630330823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E2-47ED-82C4-F3394B3A872C}"/>
            </c:ext>
          </c:extLst>
        </c:ser>
        <c:ser>
          <c:idx val="3"/>
          <c:order val="3"/>
          <c:tx>
            <c:strRef>
              <c:f>База!$F$14</c:f>
              <c:strCache>
                <c:ptCount val="1"/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База!$F$16:$F$49</c:f>
              <c:numCache>
                <c:formatCode>#,##0</c:formatCode>
                <c:ptCount val="34"/>
                <c:pt idx="0">
                  <c:v>5886211.056077946</c:v>
                </c:pt>
                <c:pt idx="1">
                  <c:v>6524844.3940805718</c:v>
                </c:pt>
                <c:pt idx="2">
                  <c:v>7178992.528091317</c:v>
                </c:pt>
                <c:pt idx="3">
                  <c:v>7852152.2857125606</c:v>
                </c:pt>
                <c:pt idx="4">
                  <c:v>8548730.2807168905</c:v>
                </c:pt>
                <c:pt idx="5">
                  <c:v>9274238.5202967636</c:v>
                </c:pt>
                <c:pt idx="6">
                  <c:v>10035458.935221123</c:v>
                </c:pt>
                <c:pt idx="7">
                  <c:v>10840487.431395398</c:v>
                </c:pt>
                <c:pt idx="8">
                  <c:v>11698508.316811338</c:v>
                </c:pt>
                <c:pt idx="9">
                  <c:v>12619114.180423522</c:v>
                </c:pt>
                <c:pt idx="10">
                  <c:v>13611060.856508177</c:v>
                </c:pt>
                <c:pt idx="11">
                  <c:v>14680619.81782233</c:v>
                </c:pt>
                <c:pt idx="12">
                  <c:v>15830085.728709724</c:v>
                </c:pt>
                <c:pt idx="13">
                  <c:v>17057163.924826618</c:v>
                </c:pt>
                <c:pt idx="14">
                  <c:v>18355582.933415979</c:v>
                </c:pt>
                <c:pt idx="15">
                  <c:v>19716586.920201585</c:v>
                </c:pt>
                <c:pt idx="16">
                  <c:v>21130583.296228856</c:v>
                </c:pt>
                <c:pt idx="17">
                  <c:v>22588387.753506046</c:v>
                </c:pt>
                <c:pt idx="18">
                  <c:v>24081904.386127718</c:v>
                </c:pt>
                <c:pt idx="19">
                  <c:v>25604351.263324939</c:v>
                </c:pt>
                <c:pt idx="20">
                  <c:v>27150216.377905242</c:v>
                </c:pt>
                <c:pt idx="21">
                  <c:v>28715093.116096042</c:v>
                </c:pt>
                <c:pt idx="22">
                  <c:v>30295484.650294963</c:v>
                </c:pt>
                <c:pt idx="23">
                  <c:v>31888620.373727471</c:v>
                </c:pt>
                <c:pt idx="24">
                  <c:v>33492300.214633822</c:v>
                </c:pt>
                <c:pt idx="25">
                  <c:v>35104769.200467527</c:v>
                </c:pt>
                <c:pt idx="26">
                  <c:v>36724619.097928636</c:v>
                </c:pt>
                <c:pt idx="27">
                  <c:v>38350712.336810522</c:v>
                </c:pt>
                <c:pt idx="28">
                  <c:v>39982123.510466054</c:v>
                </c:pt>
                <c:pt idx="29">
                  <c:v>41618094.434581265</c:v>
                </c:pt>
                <c:pt idx="30">
                  <c:v>43257999.54935497</c:v>
                </c:pt>
                <c:pt idx="31">
                  <c:v>44901319.177622035</c:v>
                </c:pt>
                <c:pt idx="32">
                  <c:v>46547618.747779444</c:v>
                </c:pt>
                <c:pt idx="33">
                  <c:v>48196532.555963643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E2-47ED-82C4-F3394B3A8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0977360"/>
        <c:axId val="760981936"/>
      </c:lineChart>
      <c:catAx>
        <c:axId val="760977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0981936"/>
        <c:crosses val="autoZero"/>
        <c:auto val="1"/>
        <c:lblAlgn val="ctr"/>
        <c:lblOffset val="100"/>
        <c:noMultiLvlLbl val="0"/>
      </c:catAx>
      <c:valAx>
        <c:axId val="76098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097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База!$I$14:$I$15</c:f>
              <c:strCache>
                <c:ptCount val="2"/>
                <c:pt idx="0">
                  <c:v>Ошибка сорт.</c:v>
                </c:pt>
                <c:pt idx="1">
                  <c:v>Err 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База!$I$16:$I$39</c:f>
              <c:numCache>
                <c:formatCode>#,##0</c:formatCode>
                <c:ptCount val="24"/>
                <c:pt idx="0">
                  <c:v>-3887655.8516356274</c:v>
                </c:pt>
                <c:pt idx="1">
                  <c:v>-3707197.2155348528</c:v>
                </c:pt>
                <c:pt idx="2">
                  <c:v>-3135003.5877364017</c:v>
                </c:pt>
                <c:pt idx="3">
                  <c:v>-2697162.6794340797</c:v>
                </c:pt>
                <c:pt idx="4">
                  <c:v>-2337441.4433333054</c:v>
                </c:pt>
                <c:pt idx="5">
                  <c:v>-2177837.2711317595</c:v>
                </c:pt>
                <c:pt idx="6">
                  <c:v>-2141050.1072325315</c:v>
                </c:pt>
                <c:pt idx="7">
                  <c:v>-1849698.835030986</c:v>
                </c:pt>
                <c:pt idx="8">
                  <c:v>-998126.17727944627</c:v>
                </c:pt>
                <c:pt idx="9">
                  <c:v>-912383.82383717224</c:v>
                </c:pt>
                <c:pt idx="10">
                  <c:v>-825837.60752713121</c:v>
                </c:pt>
                <c:pt idx="11">
                  <c:v>-647932.65697404183</c:v>
                </c:pt>
                <c:pt idx="12">
                  <c:v>-639926.72903622873</c:v>
                </c:pt>
                <c:pt idx="13">
                  <c:v>-369692.51799128763</c:v>
                </c:pt>
                <c:pt idx="14">
                  <c:v>175269.16503681242</c:v>
                </c:pt>
                <c:pt idx="15">
                  <c:v>262620.10551161598</c:v>
                </c:pt>
                <c:pt idx="16">
                  <c:v>577268.0983088119</c:v>
                </c:pt>
                <c:pt idx="17">
                  <c:v>955904.61981443549</c:v>
                </c:pt>
                <c:pt idx="18">
                  <c:v>1592194.2294142204</c:v>
                </c:pt>
                <c:pt idx="19">
                  <c:v>2329444.1442985116</c:v>
                </c:pt>
                <c:pt idx="20">
                  <c:v>2579914.3400620557</c:v>
                </c:pt>
                <c:pt idx="21">
                  <c:v>3062912.4294466469</c:v>
                </c:pt>
                <c:pt idx="22">
                  <c:v>6307222.2039612792</c:v>
                </c:pt>
                <c:pt idx="23">
                  <c:v>8484197.1678605042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30-45F3-A0E2-AEB48BE81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0176336"/>
        <c:axId val="830177168"/>
      </c:lineChart>
      <c:catAx>
        <c:axId val="8301763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0177168"/>
        <c:crosses val="autoZero"/>
        <c:auto val="1"/>
        <c:lblAlgn val="ctr"/>
        <c:lblOffset val="100"/>
        <c:noMultiLvlLbl val="0"/>
      </c:catAx>
      <c:valAx>
        <c:axId val="83017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017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Ошибки!$C$14</c:f>
              <c:strCache>
                <c:ptCount val="1"/>
                <c:pt idx="0">
                  <c:v> ВВП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olid"/>
                <a:tailEnd type="triangle" w="lg" len="lg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10672122365204"/>
                  <c:y val="-3.115843121796754E-4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val>
            <c:numRef>
              <c:f>Ошибки!$C$16:$C$49</c:f>
              <c:numCache>
                <c:formatCode>#,##0</c:formatCode>
                <c:ptCount val="34"/>
                <c:pt idx="0">
                  <c:v>1523670.1312683504</c:v>
                </c:pt>
                <c:pt idx="1">
                  <c:v>1899714.2822209885</c:v>
                </c:pt>
                <c:pt idx="2">
                  <c:v>2271976.8034374709</c:v>
                </c:pt>
                <c:pt idx="3">
                  <c:v>2745199.6299384595</c:v>
                </c:pt>
                <c:pt idx="4">
                  <c:v>3476075.5445336094</c:v>
                </c:pt>
                <c:pt idx="5">
                  <c:v>4183589.0473623835</c:v>
                </c:pt>
                <c:pt idx="6">
                  <c:v>5380452.4239379605</c:v>
                </c:pt>
                <c:pt idx="7">
                  <c:v>5857652.2365358304</c:v>
                </c:pt>
                <c:pt idx="8">
                  <c:v>6511019.5831007604</c:v>
                </c:pt>
                <c:pt idx="9">
                  <c:v>7448243.4494492188</c:v>
                </c:pt>
                <c:pt idx="10">
                  <c:v>8915955.3337932099</c:v>
                </c:pt>
                <c:pt idx="11">
                  <c:v>10017461.84195617</c:v>
                </c:pt>
                <c:pt idx="12">
                  <c:v>9925208.0999999996</c:v>
                </c:pt>
                <c:pt idx="13">
                  <c:v>10706582.1</c:v>
                </c:pt>
                <c:pt idx="14">
                  <c:v>11852881.700000001</c:v>
                </c:pt>
                <c:pt idx="15">
                  <c:v>12766002.800000001</c:v>
                </c:pt>
                <c:pt idx="16">
                  <c:v>13515794</c:v>
                </c:pt>
                <c:pt idx="17">
                  <c:v>13615271.9</c:v>
                </c:pt>
                <c:pt idx="18">
                  <c:v>14544325.699999999</c:v>
                </c:pt>
                <c:pt idx="19">
                  <c:v>16406490.399999999</c:v>
                </c:pt>
                <c:pt idx="20">
                  <c:v>19738622.600000001</c:v>
                </c:pt>
                <c:pt idx="21">
                  <c:v>24340433.200000003</c:v>
                </c:pt>
                <c:pt idx="22">
                  <c:v>29177253.5</c:v>
                </c:pt>
                <c:pt idx="23">
                  <c:v>32463740.899999999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EF-49F5-8F9D-93F553B9841A}"/>
            </c:ext>
          </c:extLst>
        </c:ser>
        <c:ser>
          <c:idx val="1"/>
          <c:order val="1"/>
          <c:tx>
            <c:strRef>
              <c:f>Ошибки!$D$14</c:f>
              <c:strCache>
                <c:ptCount val="1"/>
                <c:pt idx="0">
                  <c:v>тренд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Ошибки!$D$16:$D$49</c:f>
              <c:numCache>
                <c:formatCode>#,##0</c:formatCode>
                <c:ptCount val="34"/>
                <c:pt idx="0">
                  <c:v>947343.77890001389</c:v>
                </c:pt>
                <c:pt idx="1">
                  <c:v>1894687.5578000278</c:v>
                </c:pt>
                <c:pt idx="2">
                  <c:v>2842031.3367000418</c:v>
                </c:pt>
                <c:pt idx="3">
                  <c:v>3789375.1156000555</c:v>
                </c:pt>
                <c:pt idx="4">
                  <c:v>4736718.8945000693</c:v>
                </c:pt>
                <c:pt idx="5">
                  <c:v>5684062.6734000836</c:v>
                </c:pt>
                <c:pt idx="6">
                  <c:v>6631406.4523000969</c:v>
                </c:pt>
                <c:pt idx="7">
                  <c:v>7578750.2312001111</c:v>
                </c:pt>
                <c:pt idx="8">
                  <c:v>8526094.0101001244</c:v>
                </c:pt>
                <c:pt idx="9">
                  <c:v>9473437.7890001386</c:v>
                </c:pt>
                <c:pt idx="10">
                  <c:v>10420781.567900153</c:v>
                </c:pt>
                <c:pt idx="11">
                  <c:v>11368125.346800167</c:v>
                </c:pt>
                <c:pt idx="12">
                  <c:v>12315469.125700181</c:v>
                </c:pt>
                <c:pt idx="13">
                  <c:v>13262812.904600194</c:v>
                </c:pt>
                <c:pt idx="14">
                  <c:v>14210156.683500208</c:v>
                </c:pt>
                <c:pt idx="15">
                  <c:v>15157500.462400222</c:v>
                </c:pt>
                <c:pt idx="16">
                  <c:v>16104844.241300236</c:v>
                </c:pt>
                <c:pt idx="17">
                  <c:v>17052188.020200249</c:v>
                </c:pt>
                <c:pt idx="18">
                  <c:v>17999531.799100265</c:v>
                </c:pt>
                <c:pt idx="19">
                  <c:v>18946875.578000277</c:v>
                </c:pt>
                <c:pt idx="20">
                  <c:v>19894219.356900293</c:v>
                </c:pt>
                <c:pt idx="21">
                  <c:v>20841563.135800306</c:v>
                </c:pt>
                <c:pt idx="22">
                  <c:v>21788906.914700318</c:v>
                </c:pt>
                <c:pt idx="23">
                  <c:v>22736250.693600334</c:v>
                </c:pt>
                <c:pt idx="24">
                  <c:v>23683594.472500347</c:v>
                </c:pt>
                <c:pt idx="25">
                  <c:v>24630938.251400363</c:v>
                </c:pt>
                <c:pt idx="26">
                  <c:v>25578282.030300375</c:v>
                </c:pt>
                <c:pt idx="27">
                  <c:v>26525625.809200387</c:v>
                </c:pt>
                <c:pt idx="28">
                  <c:v>27472969.588100404</c:v>
                </c:pt>
                <c:pt idx="29">
                  <c:v>28420313.367000416</c:v>
                </c:pt>
                <c:pt idx="30">
                  <c:v>29367657.145900432</c:v>
                </c:pt>
                <c:pt idx="31">
                  <c:v>30315000.924800444</c:v>
                </c:pt>
                <c:pt idx="32">
                  <c:v>31262344.703700457</c:v>
                </c:pt>
                <c:pt idx="33">
                  <c:v>32209688.482600473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EF-49F5-8F9D-93F553B9841A}"/>
            </c:ext>
          </c:extLst>
        </c:ser>
        <c:ser>
          <c:idx val="2"/>
          <c:order val="2"/>
          <c:tx>
            <c:strRef>
              <c:f>Ошибки!$E$14</c:f>
              <c:strCache>
                <c:ptCount val="1"/>
                <c:pt idx="0">
                  <c:v>довер.интервал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Ошибки!$E$16:$E$49</c:f>
              <c:numCache>
                <c:formatCode>#,##0</c:formatCode>
                <c:ptCount val="34"/>
                <c:pt idx="0">
                  <c:v>-7007615.5152280489</c:v>
                </c:pt>
                <c:pt idx="1">
                  <c:v>-5555814.4487902438</c:v>
                </c:pt>
                <c:pt idx="2">
                  <c:v>-4120634.5319056232</c:v>
                </c:pt>
                <c:pt idx="3">
                  <c:v>-2705821.949474745</c:v>
                </c:pt>
                <c:pt idx="4">
                  <c:v>-1316097.5490355967</c:v>
                </c:pt>
                <c:pt idx="5">
                  <c:v>42633.603316459805</c:v>
                </c:pt>
                <c:pt idx="6">
                  <c:v>1363105.9601961365</c:v>
                </c:pt>
                <c:pt idx="7">
                  <c:v>2636646.3000701219</c:v>
                </c:pt>
                <c:pt idx="8">
                  <c:v>3853415.385826082</c:v>
                </c:pt>
                <c:pt idx="9">
                  <c:v>5003136.5850459747</c:v>
                </c:pt>
                <c:pt idx="10">
                  <c:v>6076429.6886125272</c:v>
                </c:pt>
                <c:pt idx="11">
                  <c:v>7066576.0076974267</c:v>
                </c:pt>
                <c:pt idx="12">
                  <c:v>7971117.2464125557</c:v>
                </c:pt>
                <c:pt idx="13">
                  <c:v>8792511.7006460298</c:v>
                </c:pt>
                <c:pt idx="14">
                  <c:v>9537478.0592261665</c:v>
                </c:pt>
                <c:pt idx="15">
                  <c:v>10215396.531270232</c:v>
                </c:pt>
                <c:pt idx="16">
                  <c:v>10836543.749196276</c:v>
                </c:pt>
                <c:pt idx="17">
                  <c:v>11410758.950116625</c:v>
                </c:pt>
                <c:pt idx="18">
                  <c:v>11946715.355564598</c:v>
                </c:pt>
                <c:pt idx="19">
                  <c:v>12451678.512925476</c:v>
                </c:pt>
                <c:pt idx="20">
                  <c:v>12931553.488294628</c:v>
                </c:pt>
                <c:pt idx="21">
                  <c:v>13391061.129210034</c:v>
                </c:pt>
                <c:pt idx="22">
                  <c:v>13833947.620572254</c:v>
                </c:pt>
                <c:pt idx="23">
                  <c:v>14263181.139953755</c:v>
                </c:pt>
                <c:pt idx="24">
                  <c:v>14681118.645301461</c:v>
                </c:pt>
                <c:pt idx="25">
                  <c:v>15089640.255512314</c:v>
                </c:pt>
                <c:pt idx="26">
                  <c:v>15490254.624407601</c:v>
                </c:pt>
                <c:pt idx="27">
                  <c:v>15884180.441844525</c:v>
                </c:pt>
                <c:pt idx="28">
                  <c:v>16272409.104827043</c:v>
                </c:pt>
                <c:pt idx="29">
                  <c:v>16655752.863472056</c:v>
                </c:pt>
                <c:pt idx="30">
                  <c:v>17034881.885985754</c:v>
                </c:pt>
                <c:pt idx="31">
                  <c:v>17410352.907492224</c:v>
                </c:pt>
                <c:pt idx="32">
                  <c:v>17782631.488711797</c:v>
                </c:pt>
                <c:pt idx="33">
                  <c:v>18152109.411695976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EF-49F5-8F9D-93F553B9841A}"/>
            </c:ext>
          </c:extLst>
        </c:ser>
        <c:ser>
          <c:idx val="3"/>
          <c:order val="3"/>
          <c:tx>
            <c:strRef>
              <c:f>Ошибки!$F$14</c:f>
              <c:strCache>
                <c:ptCount val="1"/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Ошибки!$F$16:$F$49</c:f>
              <c:numCache>
                <c:formatCode>#,##0</c:formatCode>
                <c:ptCount val="34"/>
                <c:pt idx="0">
                  <c:v>8902303.0730280764</c:v>
                </c:pt>
                <c:pt idx="1">
                  <c:v>9345189.5643902998</c:v>
                </c:pt>
                <c:pt idx="2">
                  <c:v>9804697.2053057067</c:v>
                </c:pt>
                <c:pt idx="3">
                  <c:v>10284572.180674857</c:v>
                </c:pt>
                <c:pt idx="4">
                  <c:v>10789535.338035736</c:v>
                </c:pt>
                <c:pt idx="5">
                  <c:v>11325491.743483707</c:v>
                </c:pt>
                <c:pt idx="6">
                  <c:v>11899706.944404058</c:v>
                </c:pt>
                <c:pt idx="7">
                  <c:v>12520854.1623301</c:v>
                </c:pt>
                <c:pt idx="8">
                  <c:v>13198772.634374168</c:v>
                </c:pt>
                <c:pt idx="9">
                  <c:v>13943738.992954303</c:v>
                </c:pt>
                <c:pt idx="10">
                  <c:v>14765133.447187778</c:v>
                </c:pt>
                <c:pt idx="11">
                  <c:v>15669674.685902908</c:v>
                </c:pt>
                <c:pt idx="12">
                  <c:v>16659821.004987806</c:v>
                </c:pt>
                <c:pt idx="13">
                  <c:v>17733114.108554356</c:v>
                </c:pt>
                <c:pt idx="14">
                  <c:v>18882835.307774249</c:v>
                </c:pt>
                <c:pt idx="15">
                  <c:v>20099604.393530212</c:v>
                </c:pt>
                <c:pt idx="16">
                  <c:v>21373144.733404197</c:v>
                </c:pt>
                <c:pt idx="17">
                  <c:v>22693617.090283871</c:v>
                </c:pt>
                <c:pt idx="18">
                  <c:v>24052348.242635932</c:v>
                </c:pt>
                <c:pt idx="19">
                  <c:v>25442072.643075079</c:v>
                </c:pt>
                <c:pt idx="20">
                  <c:v>26856885.225505959</c:v>
                </c:pt>
                <c:pt idx="21">
                  <c:v>28292065.142390579</c:v>
                </c:pt>
                <c:pt idx="22">
                  <c:v>29743866.208828382</c:v>
                </c:pt>
                <c:pt idx="23">
                  <c:v>31209320.247246914</c:v>
                </c:pt>
                <c:pt idx="24">
                  <c:v>32686070.299699232</c:v>
                </c:pt>
                <c:pt idx="25">
                  <c:v>34172236.247288413</c:v>
                </c:pt>
                <c:pt idx="26">
                  <c:v>35666309.436193153</c:v>
                </c:pt>
                <c:pt idx="27">
                  <c:v>37167071.176556252</c:v>
                </c:pt>
                <c:pt idx="28">
                  <c:v>38673530.071373761</c:v>
                </c:pt>
                <c:pt idx="29">
                  <c:v>40184873.870528772</c:v>
                </c:pt>
                <c:pt idx="30">
                  <c:v>41700432.40581511</c:v>
                </c:pt>
                <c:pt idx="31">
                  <c:v>43219648.942108661</c:v>
                </c:pt>
                <c:pt idx="32">
                  <c:v>44742057.918689117</c:v>
                </c:pt>
                <c:pt idx="33">
                  <c:v>46267267.553504974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EF-49F5-8F9D-93F553B98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0977360"/>
        <c:axId val="760981936"/>
      </c:lineChart>
      <c:catAx>
        <c:axId val="760977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0981936"/>
        <c:crosses val="autoZero"/>
        <c:auto val="1"/>
        <c:lblAlgn val="ctr"/>
        <c:lblOffset val="100"/>
        <c:noMultiLvlLbl val="0"/>
      </c:catAx>
      <c:valAx>
        <c:axId val="76098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097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Ошибки!$K$14</c:f>
              <c:strCache>
                <c:ptCount val="1"/>
                <c:pt idx="0">
                  <c:v> ВВП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Ошибки!$K$16:$K$49</c:f>
              <c:numCache>
                <c:formatCode>#,##0</c:formatCode>
                <c:ptCount val="34"/>
                <c:pt idx="0">
                  <c:v>1523670.1312683504</c:v>
                </c:pt>
                <c:pt idx="1">
                  <c:v>1899714.2822209885</c:v>
                </c:pt>
                <c:pt idx="2">
                  <c:v>2271976.8034374709</c:v>
                </c:pt>
                <c:pt idx="3">
                  <c:v>2745199.6299384595</c:v>
                </c:pt>
                <c:pt idx="4">
                  <c:v>3476075.5445336094</c:v>
                </c:pt>
                <c:pt idx="5">
                  <c:v>4183589.0473623835</c:v>
                </c:pt>
                <c:pt idx="6">
                  <c:v>5380452.4239379605</c:v>
                </c:pt>
                <c:pt idx="7">
                  <c:v>5857652.2365358304</c:v>
                </c:pt>
                <c:pt idx="8">
                  <c:v>6511019.5831007604</c:v>
                </c:pt>
                <c:pt idx="9">
                  <c:v>7448243.4494492188</c:v>
                </c:pt>
                <c:pt idx="10">
                  <c:v>8915955.3337932099</c:v>
                </c:pt>
                <c:pt idx="11">
                  <c:v>10017461.84195617</c:v>
                </c:pt>
                <c:pt idx="12">
                  <c:v>9925208.0999999996</c:v>
                </c:pt>
                <c:pt idx="13">
                  <c:v>10706582.1</c:v>
                </c:pt>
                <c:pt idx="14">
                  <c:v>11852881.700000001</c:v>
                </c:pt>
                <c:pt idx="15">
                  <c:v>12766002.800000001</c:v>
                </c:pt>
                <c:pt idx="16">
                  <c:v>13515794</c:v>
                </c:pt>
                <c:pt idx="17">
                  <c:v>13615271.9</c:v>
                </c:pt>
                <c:pt idx="18">
                  <c:v>14544325.699999999</c:v>
                </c:pt>
                <c:pt idx="19">
                  <c:v>16406490.399999999</c:v>
                </c:pt>
                <c:pt idx="20">
                  <c:v>19738622.600000001</c:v>
                </c:pt>
                <c:pt idx="21">
                  <c:v>24340433.200000003</c:v>
                </c:pt>
                <c:pt idx="22">
                  <c:v>29177253.5</c:v>
                </c:pt>
                <c:pt idx="23">
                  <c:v>32463740.899999999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FB-4141-9AC5-DB832D1F4119}"/>
            </c:ext>
          </c:extLst>
        </c:ser>
        <c:ser>
          <c:idx val="1"/>
          <c:order val="1"/>
          <c:tx>
            <c:strRef>
              <c:f>Ошибки!$L$14</c:f>
              <c:strCache>
                <c:ptCount val="1"/>
                <c:pt idx="0">
                  <c:v>тренд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Ошибки!$L$16:$L$49</c:f>
              <c:numCache>
                <c:formatCode>#,##0</c:formatCode>
                <c:ptCount val="34"/>
                <c:pt idx="0">
                  <c:v>1211521.6521313498</c:v>
                </c:pt>
                <c:pt idx="1">
                  <c:v>2066183.2869989218</c:v>
                </c:pt>
                <c:pt idx="2">
                  <c:v>2920844.9218664938</c:v>
                </c:pt>
                <c:pt idx="3">
                  <c:v>3775506.556734066</c:v>
                </c:pt>
                <c:pt idx="4">
                  <c:v>4630168.1916016378</c:v>
                </c:pt>
                <c:pt idx="5">
                  <c:v>5484829.82646921</c:v>
                </c:pt>
                <c:pt idx="6">
                  <c:v>6339491.4613367822</c:v>
                </c:pt>
                <c:pt idx="7">
                  <c:v>7194153.0962043544</c:v>
                </c:pt>
                <c:pt idx="8">
                  <c:v>8048814.7310719267</c:v>
                </c:pt>
                <c:pt idx="9">
                  <c:v>8903476.3659394979</c:v>
                </c:pt>
                <c:pt idx="10">
                  <c:v>9758138.0008070711</c:v>
                </c:pt>
                <c:pt idx="11">
                  <c:v>10612799.635674642</c:v>
                </c:pt>
                <c:pt idx="12">
                  <c:v>11467461.270542216</c:v>
                </c:pt>
                <c:pt idx="13">
                  <c:v>12322122.905409787</c:v>
                </c:pt>
                <c:pt idx="14">
                  <c:v>13176784.54027736</c:v>
                </c:pt>
                <c:pt idx="15">
                  <c:v>14031446.175144931</c:v>
                </c:pt>
                <c:pt idx="16">
                  <c:v>14886107.810012503</c:v>
                </c:pt>
                <c:pt idx="17">
                  <c:v>15740769.444880076</c:v>
                </c:pt>
                <c:pt idx="18">
                  <c:v>16595431.079747647</c:v>
                </c:pt>
                <c:pt idx="19">
                  <c:v>17450092.714615218</c:v>
                </c:pt>
                <c:pt idx="20">
                  <c:v>18304754.349482793</c:v>
                </c:pt>
                <c:pt idx="21">
                  <c:v>19159415.984350365</c:v>
                </c:pt>
                <c:pt idx="22">
                  <c:v>20014077.619217936</c:v>
                </c:pt>
                <c:pt idx="23">
                  <c:v>20868739.254085507</c:v>
                </c:pt>
                <c:pt idx="24">
                  <c:v>21723400.888953079</c:v>
                </c:pt>
                <c:pt idx="25">
                  <c:v>22578062.523820654</c:v>
                </c:pt>
                <c:pt idx="26">
                  <c:v>23432724.158688225</c:v>
                </c:pt>
                <c:pt idx="27">
                  <c:v>24287385.793555796</c:v>
                </c:pt>
                <c:pt idx="28">
                  <c:v>25142047.428423367</c:v>
                </c:pt>
                <c:pt idx="29">
                  <c:v>25996709.063290942</c:v>
                </c:pt>
                <c:pt idx="30">
                  <c:v>26851370.698158514</c:v>
                </c:pt>
                <c:pt idx="31">
                  <c:v>27706032.333026085</c:v>
                </c:pt>
                <c:pt idx="32">
                  <c:v>28560693.967893656</c:v>
                </c:pt>
                <c:pt idx="33">
                  <c:v>29415355.602761228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FB-4141-9AC5-DB832D1F4119}"/>
            </c:ext>
          </c:extLst>
        </c:ser>
        <c:ser>
          <c:idx val="2"/>
          <c:order val="2"/>
          <c:tx>
            <c:strRef>
              <c:f>Ошибки!$M$14</c:f>
              <c:strCache>
                <c:ptCount val="1"/>
                <c:pt idx="0">
                  <c:v>довер.интервал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Ошибки!$M$16:$M$49</c:f>
              <c:numCache>
                <c:formatCode>#,##0.00</c:formatCode>
                <c:ptCount val="34"/>
                <c:pt idx="0">
                  <c:v>1569206.0446354293</c:v>
                </c:pt>
                <c:pt idx="1">
                  <c:v>2676194.2698915056</c:v>
                </c:pt>
                <c:pt idx="2">
                  <c:v>3783182.4951475817</c:v>
                </c:pt>
                <c:pt idx="3">
                  <c:v>4890170.7204036582</c:v>
                </c:pt>
                <c:pt idx="4">
                  <c:v>5997158.9456597334</c:v>
                </c:pt>
                <c:pt idx="5">
                  <c:v>7104147.1709158104</c:v>
                </c:pt>
                <c:pt idx="6">
                  <c:v>8211135.3961718865</c:v>
                </c:pt>
                <c:pt idx="7">
                  <c:v>9318123.6214279626</c:v>
                </c:pt>
                <c:pt idx="8">
                  <c:v>10425111.846684039</c:v>
                </c:pt>
                <c:pt idx="9">
                  <c:v>11532100.071940115</c:v>
                </c:pt>
                <c:pt idx="10">
                  <c:v>12639088.297196193</c:v>
                </c:pt>
                <c:pt idx="11">
                  <c:v>13746076.522452267</c:v>
                </c:pt>
                <c:pt idx="12">
                  <c:v>14853064.747708345</c:v>
                </c:pt>
                <c:pt idx="13">
                  <c:v>15960052.972964421</c:v>
                </c:pt>
                <c:pt idx="14">
                  <c:v>17067041.198220499</c:v>
                </c:pt>
                <c:pt idx="15">
                  <c:v>18174029.423476573</c:v>
                </c:pt>
                <c:pt idx="16">
                  <c:v>19281017.648732647</c:v>
                </c:pt>
                <c:pt idx="17">
                  <c:v>20388005.873988725</c:v>
                </c:pt>
                <c:pt idx="18">
                  <c:v>21494994.099244799</c:v>
                </c:pt>
                <c:pt idx="19">
                  <c:v>22601982.324500877</c:v>
                </c:pt>
                <c:pt idx="20">
                  <c:v>23708970.549756955</c:v>
                </c:pt>
                <c:pt idx="21">
                  <c:v>24815958.775013033</c:v>
                </c:pt>
                <c:pt idx="22">
                  <c:v>25922947.000269108</c:v>
                </c:pt>
                <c:pt idx="23">
                  <c:v>27029935.225525182</c:v>
                </c:pt>
                <c:pt idx="24">
                  <c:v>28136923.450781256</c:v>
                </c:pt>
                <c:pt idx="25">
                  <c:v>29243911.676037338</c:v>
                </c:pt>
                <c:pt idx="26">
                  <c:v>30350899.901293412</c:v>
                </c:pt>
                <c:pt idx="27">
                  <c:v>31457888.126549486</c:v>
                </c:pt>
                <c:pt idx="28">
                  <c:v>32564876.351805564</c:v>
                </c:pt>
                <c:pt idx="29">
                  <c:v>33671864.577061646</c:v>
                </c:pt>
                <c:pt idx="30">
                  <c:v>34778852.802317716</c:v>
                </c:pt>
                <c:pt idx="31">
                  <c:v>35885841.027573794</c:v>
                </c:pt>
                <c:pt idx="32">
                  <c:v>36992829.252829872</c:v>
                </c:pt>
                <c:pt idx="33">
                  <c:v>38099817.478085943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FB-4141-9AC5-DB832D1F4119}"/>
            </c:ext>
          </c:extLst>
        </c:ser>
        <c:ser>
          <c:idx val="3"/>
          <c:order val="3"/>
          <c:tx>
            <c:strRef>
              <c:f>Ошибки!$N$14</c:f>
              <c:strCache>
                <c:ptCount val="1"/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Ошибки!$N$16:$N$49</c:f>
              <c:numCache>
                <c:formatCode>#,##0.00</c:formatCode>
                <c:ptCount val="34"/>
                <c:pt idx="0">
                  <c:v>935367.74128606101</c:v>
                </c:pt>
                <c:pt idx="1">
                  <c:v>1595218.039102498</c:v>
                </c:pt>
                <c:pt idx="2">
                  <c:v>2255068.3369189352</c:v>
                </c:pt>
                <c:pt idx="3">
                  <c:v>2914918.6347353724</c:v>
                </c:pt>
                <c:pt idx="4">
                  <c:v>3574768.9325518091</c:v>
                </c:pt>
                <c:pt idx="5">
                  <c:v>4234619.2303682463</c:v>
                </c:pt>
                <c:pt idx="6">
                  <c:v>4894469.528184684</c:v>
                </c:pt>
                <c:pt idx="7">
                  <c:v>5554319.8260011207</c:v>
                </c:pt>
                <c:pt idx="8">
                  <c:v>6214170.1238175584</c:v>
                </c:pt>
                <c:pt idx="9">
                  <c:v>6874020.4216339951</c:v>
                </c:pt>
                <c:pt idx="10">
                  <c:v>7533870.7194504328</c:v>
                </c:pt>
                <c:pt idx="11">
                  <c:v>8193721.0172668695</c:v>
                </c:pt>
                <c:pt idx="12">
                  <c:v>8853571.3150833081</c:v>
                </c:pt>
                <c:pt idx="13">
                  <c:v>9513421.612899743</c:v>
                </c:pt>
                <c:pt idx="14">
                  <c:v>10173271.910716182</c:v>
                </c:pt>
                <c:pt idx="15">
                  <c:v>10833122.208532618</c:v>
                </c:pt>
                <c:pt idx="16">
                  <c:v>11492972.506349055</c:v>
                </c:pt>
                <c:pt idx="17">
                  <c:v>12152822.804165494</c:v>
                </c:pt>
                <c:pt idx="18">
                  <c:v>12812673.101981929</c:v>
                </c:pt>
                <c:pt idx="19">
                  <c:v>13472523.399798365</c:v>
                </c:pt>
                <c:pt idx="20">
                  <c:v>14132373.697614806</c:v>
                </c:pt>
                <c:pt idx="21">
                  <c:v>14792223.995431243</c:v>
                </c:pt>
                <c:pt idx="22">
                  <c:v>15452074.293247679</c:v>
                </c:pt>
                <c:pt idx="23">
                  <c:v>16111924.591064114</c:v>
                </c:pt>
                <c:pt idx="24">
                  <c:v>16771774.888880551</c:v>
                </c:pt>
                <c:pt idx="25">
                  <c:v>17431625.186696991</c:v>
                </c:pt>
                <c:pt idx="26">
                  <c:v>18091475.484513428</c:v>
                </c:pt>
                <c:pt idx="27">
                  <c:v>18751325.782329865</c:v>
                </c:pt>
                <c:pt idx="28">
                  <c:v>19411176.080146302</c:v>
                </c:pt>
                <c:pt idx="29">
                  <c:v>20071026.377962738</c:v>
                </c:pt>
                <c:pt idx="30">
                  <c:v>20730876.675779175</c:v>
                </c:pt>
                <c:pt idx="31">
                  <c:v>21390726.973595612</c:v>
                </c:pt>
                <c:pt idx="32">
                  <c:v>22050577.271412048</c:v>
                </c:pt>
                <c:pt idx="33">
                  <c:v>22710427.569228485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FB-4141-9AC5-DB832D1F4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0977360"/>
        <c:axId val="760981936"/>
      </c:lineChart>
      <c:catAx>
        <c:axId val="760977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0981936"/>
        <c:crosses val="autoZero"/>
        <c:auto val="1"/>
        <c:lblAlgn val="ctr"/>
        <c:lblOffset val="100"/>
        <c:noMultiLvlLbl val="0"/>
      </c:catAx>
      <c:valAx>
        <c:axId val="76098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097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Ошибки!$S$14</c:f>
              <c:strCache>
                <c:ptCount val="1"/>
                <c:pt idx="0">
                  <c:v> ВВП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Ошибки!$S$16:$S$49</c:f>
              <c:numCache>
                <c:formatCode>#,##0</c:formatCode>
                <c:ptCount val="34"/>
                <c:pt idx="0">
                  <c:v>1523670.1312683504</c:v>
                </c:pt>
                <c:pt idx="1">
                  <c:v>1899714.2822209885</c:v>
                </c:pt>
                <c:pt idx="2">
                  <c:v>2271976.8034374709</c:v>
                </c:pt>
                <c:pt idx="3">
                  <c:v>2745199.6299384595</c:v>
                </c:pt>
                <c:pt idx="4">
                  <c:v>3476075.5445336094</c:v>
                </c:pt>
                <c:pt idx="5">
                  <c:v>4183589.0473623835</c:v>
                </c:pt>
                <c:pt idx="6">
                  <c:v>5380452.4239379605</c:v>
                </c:pt>
                <c:pt idx="7">
                  <c:v>5857652.2365358304</c:v>
                </c:pt>
                <c:pt idx="8">
                  <c:v>6511019.5831007604</c:v>
                </c:pt>
                <c:pt idx="9">
                  <c:v>7448243.4494492188</c:v>
                </c:pt>
                <c:pt idx="10">
                  <c:v>8915955.3337932099</c:v>
                </c:pt>
                <c:pt idx="11">
                  <c:v>10017461.84195617</c:v>
                </c:pt>
                <c:pt idx="12">
                  <c:v>9925208.0999999996</c:v>
                </c:pt>
                <c:pt idx="13">
                  <c:v>10706582.1</c:v>
                </c:pt>
                <c:pt idx="14">
                  <c:v>11852881.700000001</c:v>
                </c:pt>
                <c:pt idx="15">
                  <c:v>12766002.800000001</c:v>
                </c:pt>
                <c:pt idx="16">
                  <c:v>13515794</c:v>
                </c:pt>
                <c:pt idx="17">
                  <c:v>13615271.9</c:v>
                </c:pt>
                <c:pt idx="18">
                  <c:v>14544325.699999999</c:v>
                </c:pt>
                <c:pt idx="19">
                  <c:v>16406490.399999999</c:v>
                </c:pt>
                <c:pt idx="20">
                  <c:v>19738622.600000001</c:v>
                </c:pt>
                <c:pt idx="21">
                  <c:v>24340433.200000003</c:v>
                </c:pt>
                <c:pt idx="22">
                  <c:v>29177253.5</c:v>
                </c:pt>
                <c:pt idx="23">
                  <c:v>32463740.899999999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12-4DE2-AC9F-00C8DD8B29C4}"/>
            </c:ext>
          </c:extLst>
        </c:ser>
        <c:ser>
          <c:idx val="1"/>
          <c:order val="1"/>
          <c:tx>
            <c:strRef>
              <c:f>Ошибки!$T$14</c:f>
              <c:strCache>
                <c:ptCount val="1"/>
                <c:pt idx="0">
                  <c:v>тренд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Ошибки!$T$16:$T$49</c:f>
              <c:numCache>
                <c:formatCode>#,##0</c:formatCode>
                <c:ptCount val="34"/>
                <c:pt idx="0">
                  <c:v>1180366.0784326415</c:v>
                </c:pt>
                <c:pt idx="1">
                  <c:v>1964975.5241101233</c:v>
                </c:pt>
                <c:pt idx="2">
                  <c:v>2749584.9697876051</c:v>
                </c:pt>
                <c:pt idx="3">
                  <c:v>3534194.4154650867</c:v>
                </c:pt>
                <c:pt idx="4">
                  <c:v>4318803.8611425683</c:v>
                </c:pt>
                <c:pt idx="5">
                  <c:v>5103413.3068200499</c:v>
                </c:pt>
                <c:pt idx="6">
                  <c:v>5888022.7524975315</c:v>
                </c:pt>
                <c:pt idx="7">
                  <c:v>6672632.1981750131</c:v>
                </c:pt>
                <c:pt idx="8">
                  <c:v>7457241.6438524947</c:v>
                </c:pt>
                <c:pt idx="9">
                  <c:v>8241851.0895299762</c:v>
                </c:pt>
                <c:pt idx="10">
                  <c:v>9026460.5352074597</c:v>
                </c:pt>
                <c:pt idx="11">
                  <c:v>9811069.9808849413</c:v>
                </c:pt>
                <c:pt idx="12">
                  <c:v>10595679.426562423</c:v>
                </c:pt>
                <c:pt idx="13">
                  <c:v>11380288.872239904</c:v>
                </c:pt>
                <c:pt idx="14">
                  <c:v>12164898.317917386</c:v>
                </c:pt>
                <c:pt idx="15">
                  <c:v>12949507.763594868</c:v>
                </c:pt>
                <c:pt idx="16">
                  <c:v>13734117.209272349</c:v>
                </c:pt>
                <c:pt idx="17">
                  <c:v>14518726.654949831</c:v>
                </c:pt>
                <c:pt idx="18">
                  <c:v>15303336.100627312</c:v>
                </c:pt>
                <c:pt idx="19">
                  <c:v>16087945.546304794</c:v>
                </c:pt>
                <c:pt idx="20">
                  <c:v>16872554.991982274</c:v>
                </c:pt>
                <c:pt idx="21">
                  <c:v>17657164.437659759</c:v>
                </c:pt>
                <c:pt idx="22">
                  <c:v>18441773.883337241</c:v>
                </c:pt>
                <c:pt idx="23">
                  <c:v>19226383.329014722</c:v>
                </c:pt>
                <c:pt idx="24">
                  <c:v>20010992.774692204</c:v>
                </c:pt>
                <c:pt idx="25">
                  <c:v>20795602.220369685</c:v>
                </c:pt>
                <c:pt idx="26">
                  <c:v>21580211.666047167</c:v>
                </c:pt>
                <c:pt idx="27">
                  <c:v>22364821.111724649</c:v>
                </c:pt>
                <c:pt idx="28">
                  <c:v>23149430.55740213</c:v>
                </c:pt>
                <c:pt idx="29">
                  <c:v>23934040.003079612</c:v>
                </c:pt>
                <c:pt idx="30">
                  <c:v>24718649.448757093</c:v>
                </c:pt>
                <c:pt idx="31">
                  <c:v>25503258.894434575</c:v>
                </c:pt>
                <c:pt idx="32">
                  <c:v>26287868.340112057</c:v>
                </c:pt>
                <c:pt idx="33">
                  <c:v>27072477.785789538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12-4DE2-AC9F-00C8DD8B29C4}"/>
            </c:ext>
          </c:extLst>
        </c:ser>
        <c:ser>
          <c:idx val="2"/>
          <c:order val="2"/>
          <c:tx>
            <c:strRef>
              <c:f>Ошибки!$U$14</c:f>
              <c:strCache>
                <c:ptCount val="1"/>
                <c:pt idx="0">
                  <c:v>довер.интервал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Ошибки!$U$16:$U$49</c:f>
              <c:numCache>
                <c:formatCode>#,##0.00</c:formatCode>
                <c:ptCount val="34"/>
                <c:pt idx="0">
                  <c:v>1757254.9523949879</c:v>
                </c:pt>
                <c:pt idx="1">
                  <c:v>2968074.9104369599</c:v>
                </c:pt>
                <c:pt idx="2">
                  <c:v>4193123.5560394023</c:v>
                </c:pt>
                <c:pt idx="3">
                  <c:v>5428300.8032437088</c:v>
                </c:pt>
                <c:pt idx="4">
                  <c:v>6671372.1931653842</c:v>
                </c:pt>
                <c:pt idx="5">
                  <c:v>7920923.2316965936</c:v>
                </c:pt>
                <c:pt idx="6">
                  <c:v>9175975.4565089773</c:v>
                </c:pt>
                <c:pt idx="7">
                  <c:v>10435810.7030285</c:v>
                </c:pt>
                <c:pt idx="8">
                  <c:v>11699878.924446816</c:v>
                </c:pt>
                <c:pt idx="9">
                  <c:v>12967745.069454696</c:v>
                </c:pt>
                <c:pt idx="10">
                  <c:v>14239056.26966306</c:v>
                </c:pt>
                <c:pt idx="11">
                  <c:v>15513520.458906405</c:v>
                </c:pt>
                <c:pt idx="12">
                  <c:v>16790891.835818168</c:v>
                </c:pt>
                <c:pt idx="13">
                  <c:v>18070960.62998049</c:v>
                </c:pt>
                <c:pt idx="14">
                  <c:v>19353545.686288156</c:v>
                </c:pt>
                <c:pt idx="15">
                  <c:v>20638488.958382457</c:v>
                </c:pt>
                <c:pt idx="16">
                  <c:v>21925651.33303092</c:v>
                </c:pt>
                <c:pt idx="17">
                  <c:v>23214909.405651487</c:v>
                </c:pt>
                <c:pt idx="18">
                  <c:v>24506152.950358085</c:v>
                </c:pt>
                <c:pt idx="19">
                  <c:v>25799282.906820264</c:v>
                </c:pt>
                <c:pt idx="20">
                  <c:v>27094209.758195747</c:v>
                </c:pt>
                <c:pt idx="21">
                  <c:v>28390852.209439524</c:v>
                </c:pt>
                <c:pt idx="22">
                  <c:v>29689136.099437375</c:v>
                </c:pt>
                <c:pt idx="23">
                  <c:v>30988993.497376613</c:v>
                </c:pt>
                <c:pt idx="24">
                  <c:v>32290361.945882287</c:v>
                </c:pt>
                <c:pt idx="25">
                  <c:v>33593183.822242655</c:v>
                </c:pt>
                <c:pt idx="26">
                  <c:v>34897405.795529082</c:v>
                </c:pt>
                <c:pt idx="27">
                  <c:v>36202978.362240732</c:v>
                </c:pt>
                <c:pt idx="28">
                  <c:v>37509855.446751103</c:v>
                </c:pt>
                <c:pt idx="29">
                  <c:v>38817994.055623353</c:v>
                </c:pt>
                <c:pt idx="30">
                  <c:v>40127353.976992689</c:v>
                </c:pt>
                <c:pt idx="31">
                  <c:v>41437897.517900698</c:v>
                </c:pt>
                <c:pt idx="32">
                  <c:v>42749589.273762144</c:v>
                </c:pt>
                <c:pt idx="33">
                  <c:v>44062395.925193906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12-4DE2-AC9F-00C8DD8B29C4}"/>
            </c:ext>
          </c:extLst>
        </c:ser>
        <c:ser>
          <c:idx val="3"/>
          <c:order val="3"/>
          <c:tx>
            <c:strRef>
              <c:f>Ошибки!$V$14</c:f>
              <c:strCache>
                <c:ptCount val="1"/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Ошибки!$V$16:$V$49</c:f>
              <c:numCache>
                <c:formatCode>#,##0.00</c:formatCode>
                <c:ptCount val="34"/>
                <c:pt idx="0">
                  <c:v>792863.93657081586</c:v>
                </c:pt>
                <c:pt idx="1">
                  <c:v>1300886.5769440513</c:v>
                </c:pt>
                <c:pt idx="2">
                  <c:v>1803003.752463446</c:v>
                </c:pt>
                <c:pt idx="3">
                  <c:v>2301001.8455205811</c:v>
                </c:pt>
                <c:pt idx="4">
                  <c:v>2795836.6361463703</c:v>
                </c:pt>
                <c:pt idx="5">
                  <c:v>3288105.0123054138</c:v>
                </c:pt>
                <c:pt idx="6">
                  <c:v>3778215.416796518</c:v>
                </c:pt>
                <c:pt idx="7">
                  <c:v>4266464.9368544864</c:v>
                </c:pt>
                <c:pt idx="8">
                  <c:v>4753079.3518392965</c:v>
                </c:pt>
                <c:pt idx="9">
                  <c:v>5238236.0247033155</c:v>
                </c:pt>
                <c:pt idx="10">
                  <c:v>5722077.9418681348</c:v>
                </c:pt>
                <c:pt idx="11">
                  <c:v>6204722.8045237167</c:v>
                </c:pt>
                <c:pt idx="12">
                  <c:v>6686269.1754697701</c:v>
                </c:pt>
                <c:pt idx="13">
                  <c:v>7166800.7842794331</c:v>
                </c:pt>
                <c:pt idx="14">
                  <c:v>7646389.632371882</c:v>
                </c:pt>
                <c:pt idx="15">
                  <c:v>8125098.2888112832</c:v>
                </c:pt>
                <c:pt idx="16">
                  <c:v>8602981.6242615804</c:v>
                </c:pt>
                <c:pt idx="17">
                  <c:v>9080088.1449847538</c:v>
                </c:pt>
                <c:pt idx="18">
                  <c:v>9556461.0358535182</c:v>
                </c:pt>
                <c:pt idx="19">
                  <c:v>10032138.987570349</c:v>
                </c:pt>
                <c:pt idx="20">
                  <c:v>10507156.861120535</c:v>
                </c:pt>
                <c:pt idx="21">
                  <c:v>10981546.227587217</c:v>
                </c:pt>
                <c:pt idx="22">
                  <c:v>11455335.811222395</c:v>
                </c:pt>
                <c:pt idx="23">
                  <c:v>11928551.856500534</c:v>
                </c:pt>
                <c:pt idx="24">
                  <c:v>12401218.434773458</c:v>
                </c:pt>
                <c:pt idx="25">
                  <c:v>12873357.702448742</c:v>
                </c:pt>
                <c:pt idx="26">
                  <c:v>13344990.11989771</c:v>
                </c:pt>
                <c:pt idx="27">
                  <c:v>13816134.638279743</c:v>
                </c:pt>
                <c:pt idx="28">
                  <c:v>14286808.859947184</c:v>
                </c:pt>
                <c:pt idx="29">
                  <c:v>14757029.176937357</c:v>
                </c:pt>
                <c:pt idx="30">
                  <c:v>15226810.891165821</c:v>
                </c:pt>
                <c:pt idx="31">
                  <c:v>15696168.319244036</c:v>
                </c:pt>
                <c:pt idx="32">
                  <c:v>16165114.884301417</c:v>
                </c:pt>
                <c:pt idx="33">
                  <c:v>16633663.196762359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12-4DE2-AC9F-00C8DD8B2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0977360"/>
        <c:axId val="760981936"/>
      </c:lineChart>
      <c:catAx>
        <c:axId val="760977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0981936"/>
        <c:crosses val="autoZero"/>
        <c:auto val="1"/>
        <c:lblAlgn val="ctr"/>
        <c:lblOffset val="100"/>
        <c:noMultiLvlLbl val="0"/>
      </c:catAx>
      <c:valAx>
        <c:axId val="76098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097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215298134752574"/>
          <c:y val="3.6179590618997316E-2"/>
          <c:w val="0.84692714957308235"/>
          <c:h val="0.92764081876200533"/>
        </c:manualLayout>
      </c:layout>
      <c:lineChart>
        <c:grouping val="standard"/>
        <c:varyColors val="0"/>
        <c:ser>
          <c:idx val="0"/>
          <c:order val="0"/>
          <c:tx>
            <c:strRef>
              <c:f>NPV!$C$14</c:f>
              <c:strCache>
                <c:ptCount val="1"/>
                <c:pt idx="0">
                  <c:v> ВВП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olid"/>
                <a:tailEnd type="triangle" w="lg" len="lg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10672122365204"/>
                  <c:y val="-3.115843121796754E-4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val>
            <c:numRef>
              <c:f>NPV!$C$16:$C$49</c:f>
              <c:numCache>
                <c:formatCode>#,##0</c:formatCode>
                <c:ptCount val="34"/>
                <c:pt idx="0">
                  <c:v>1523670.1312683504</c:v>
                </c:pt>
                <c:pt idx="1">
                  <c:v>1899714.2822209885</c:v>
                </c:pt>
                <c:pt idx="2">
                  <c:v>2271976.8034374709</c:v>
                </c:pt>
                <c:pt idx="3">
                  <c:v>2745199.6299384595</c:v>
                </c:pt>
                <c:pt idx="4">
                  <c:v>3476075.5445336094</c:v>
                </c:pt>
                <c:pt idx="5">
                  <c:v>4183589.0473623835</c:v>
                </c:pt>
                <c:pt idx="6">
                  <c:v>5380452.4239379605</c:v>
                </c:pt>
                <c:pt idx="7">
                  <c:v>5857652.2365358304</c:v>
                </c:pt>
                <c:pt idx="8">
                  <c:v>6511019.5831007604</c:v>
                </c:pt>
                <c:pt idx="9">
                  <c:v>7448243.4494492188</c:v>
                </c:pt>
                <c:pt idx="10">
                  <c:v>8915955.3337932099</c:v>
                </c:pt>
                <c:pt idx="11">
                  <c:v>10017461.84195617</c:v>
                </c:pt>
                <c:pt idx="12">
                  <c:v>9925208.0999999996</c:v>
                </c:pt>
                <c:pt idx="13">
                  <c:v>10706582.1</c:v>
                </c:pt>
                <c:pt idx="14">
                  <c:v>11852881.700000001</c:v>
                </c:pt>
                <c:pt idx="15">
                  <c:v>12766002.800000001</c:v>
                </c:pt>
                <c:pt idx="16">
                  <c:v>13515794</c:v>
                </c:pt>
                <c:pt idx="17">
                  <c:v>13615271.9</c:v>
                </c:pt>
                <c:pt idx="18">
                  <c:v>14544325.699999999</c:v>
                </c:pt>
                <c:pt idx="19">
                  <c:v>16406490.399999999</c:v>
                </c:pt>
                <c:pt idx="20">
                  <c:v>19738622.600000001</c:v>
                </c:pt>
                <c:pt idx="21">
                  <c:v>24340433.200000003</c:v>
                </c:pt>
                <c:pt idx="22">
                  <c:v>29177253.5</c:v>
                </c:pt>
                <c:pt idx="23">
                  <c:v>32463740.899999999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73-4FCC-8794-897A34DCB01D}"/>
            </c:ext>
          </c:extLst>
        </c:ser>
        <c:ser>
          <c:idx val="1"/>
          <c:order val="1"/>
          <c:tx>
            <c:strRef>
              <c:f>NPV!$J$14</c:f>
              <c:strCache>
                <c:ptCount val="1"/>
                <c:pt idx="0">
                  <c:v>тренд ВВП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NPV!$J$16:$J$49</c:f>
              <c:numCache>
                <c:formatCode>#,##0</c:formatCode>
                <c:ptCount val="34"/>
                <c:pt idx="0">
                  <c:v>891869.81511473912</c:v>
                </c:pt>
                <c:pt idx="1">
                  <c:v>1463084.8104772549</c:v>
                </c:pt>
                <c:pt idx="2">
                  <c:v>2068779.5910416998</c:v>
                </c:pt>
                <c:pt idx="3">
                  <c:v>2710540.5421868879</c:v>
                </c:pt>
                <c:pt idx="4">
                  <c:v>3390019.1952395183</c:v>
                </c:pt>
                <c:pt idx="5">
                  <c:v>4108934.7396936733</c:v>
                </c:pt>
                <c:pt idx="6">
                  <c:v>4869076.6285112211</c:v>
                </c:pt>
                <c:pt idx="7">
                  <c:v>5672307.2798576858</c:v>
                </c:pt>
                <c:pt idx="8">
                  <c:v>6520564.8787466129</c:v>
                </c:pt>
                <c:pt idx="9">
                  <c:v>7415866.2821880588</c:v>
                </c:pt>
                <c:pt idx="10">
                  <c:v>8360310.0315636313</c:v>
                </c:pt>
                <c:pt idx="11">
                  <c:v>9356079.4760818202</c:v>
                </c:pt>
                <c:pt idx="12">
                  <c:v>10405446.011303117</c:v>
                </c:pt>
                <c:pt idx="13">
                  <c:v>11510772.436864944</c:v>
                </c:pt>
                <c:pt idx="14">
                  <c:v>12674516.437681872</c:v>
                </c:pt>
                <c:pt idx="15">
                  <c:v>13899234.193046965</c:v>
                </c:pt>
                <c:pt idx="16">
                  <c:v>15187584.118215792</c:v>
                </c:pt>
                <c:pt idx="17">
                  <c:v>16542330.743215716</c:v>
                </c:pt>
                <c:pt idx="18">
                  <c:v>17966348.733789671</c:v>
                </c:pt>
                <c:pt idx="19">
                  <c:v>19462627.059556011</c:v>
                </c:pt>
                <c:pt idx="20">
                  <c:v>21034273.314644471</c:v>
                </c:pt>
                <c:pt idx="21">
                  <c:v>22684518.196252804</c:v>
                </c:pt>
                <c:pt idx="22">
                  <c:v>24416720.146759458</c:v>
                </c:pt>
                <c:pt idx="23">
                  <c:v>26234370.165225357</c:v>
                </c:pt>
                <c:pt idx="24">
                  <c:v>28141096.794322181</c:v>
                </c:pt>
                <c:pt idx="25">
                  <c:v>30140671.288935777</c:v>
                </c:pt>
                <c:pt idx="26">
                  <c:v>32237012.972912345</c:v>
                </c:pt>
                <c:pt idx="27">
                  <c:v>34434194.790641062</c:v>
                </c:pt>
                <c:pt idx="28">
                  <c:v>36736449.060401015</c:v>
                </c:pt>
                <c:pt idx="29">
                  <c:v>39148173.436642475</c:v>
                </c:pt>
                <c:pt idx="30">
                  <c:v>41673937.088622995</c:v>
                </c:pt>
                <c:pt idx="31">
                  <c:v>44318487.10307806</c:v>
                </c:pt>
                <c:pt idx="32">
                  <c:v>47086755.118873894</c:v>
                </c:pt>
                <c:pt idx="33">
                  <c:v>49983864.201867662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73-4FCC-8794-897A34DCB01D}"/>
            </c:ext>
          </c:extLst>
        </c:ser>
        <c:ser>
          <c:idx val="2"/>
          <c:order val="2"/>
          <c:tx>
            <c:strRef>
              <c:f>NPV!$G$14</c:f>
              <c:strCache>
                <c:ptCount val="1"/>
                <c:pt idx="0">
                  <c:v>довер.интервал NPV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NPV!$K$16:$K$49</c:f>
              <c:numCache>
                <c:formatCode>#,##0</c:formatCode>
                <c:ptCount val="34"/>
                <c:pt idx="0">
                  <c:v>-1956201.4500859925</c:v>
                </c:pt>
                <c:pt idx="1">
                  <c:v>-1286877.1868016412</c:v>
                </c:pt>
                <c:pt idx="2">
                  <c:v>-580604.81776423042</c:v>
                </c:pt>
                <c:pt idx="3">
                  <c:v>162595.71389143006</c:v>
                </c:pt>
                <c:pt idx="4">
                  <c:v>942176.77224868082</c:v>
                </c:pt>
                <c:pt idx="5">
                  <c:v>1756902.0622068932</c:v>
                </c:pt>
                <c:pt idx="6">
                  <c:v>2604677.2707518386</c:v>
                </c:pt>
                <c:pt idx="7">
                  <c:v>3482415.6439466206</c:v>
                </c:pt>
                <c:pt idx="8">
                  <c:v>4386021.7774340864</c:v>
                </c:pt>
                <c:pt idx="9">
                  <c:v>5310614.37989299</c:v>
                </c:pt>
                <c:pt idx="10">
                  <c:v>6251096.5317673925</c:v>
                </c:pt>
                <c:pt idx="11">
                  <c:v>7203056.213776174</c:v>
                </c:pt>
                <c:pt idx="12">
                  <c:v>8163748.1690284451</c:v>
                </c:pt>
                <c:pt idx="13">
                  <c:v>9132743.5197487306</c:v>
                </c:pt>
                <c:pt idx="14">
                  <c:v>10111953.60401921</c:v>
                </c:pt>
                <c:pt idx="15">
                  <c:v>11105090.40919121</c:v>
                </c:pt>
                <c:pt idx="16">
                  <c:v>12116896.199047633</c:v>
                </c:pt>
                <c:pt idx="17">
                  <c:v>13152464.67318739</c:v>
                </c:pt>
                <c:pt idx="18">
                  <c:v>14216798.490484538</c:v>
                </c:pt>
                <c:pt idx="19">
                  <c:v>15314593.402886452</c:v>
                </c:pt>
                <c:pt idx="20">
                  <c:v>16450176.729841826</c:v>
                </c:pt>
                <c:pt idx="21">
                  <c:v>17627529.220460288</c:v>
                </c:pt>
                <c:pt idx="22">
                  <c:v>18850342.104058798</c:v>
                </c:pt>
                <c:pt idx="23">
                  <c:v>20122082.664074387</c:v>
                </c:pt>
                <c:pt idx="24">
                  <c:v>21446055.93275819</c:v>
                </c:pt>
                <c:pt idx="25">
                  <c:v>22825457.991466932</c:v>
                </c:pt>
                <c:pt idx="26">
                  <c:v>24263420.175912913</c:v>
                </c:pt>
                <c:pt idx="27">
                  <c:v>25763045.071118195</c:v>
                </c:pt>
                <c:pt idx="28">
                  <c:v>27327435.670290373</c:v>
                </c:pt>
                <c:pt idx="29">
                  <c:v>28959719.077109825</c:v>
                </c:pt>
                <c:pt idx="30">
                  <c:v>30663065.954702556</c:v>
                </c:pt>
                <c:pt idx="31">
                  <c:v>32440706.70515468</c:v>
                </c:pt>
                <c:pt idx="32">
                  <c:v>34295945.157576256</c:v>
                </c:pt>
                <c:pt idx="33">
                  <c:v>36232170.369222425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73-4FCC-8794-897A34DCB01D}"/>
            </c:ext>
          </c:extLst>
        </c:ser>
        <c:ser>
          <c:idx val="3"/>
          <c:order val="3"/>
          <c:tx>
            <c:strRef>
              <c:f>NPV!$K$14:$L$14</c:f>
              <c:strCache>
                <c:ptCount val="1"/>
                <c:pt idx="0">
                  <c:v>довер.интервал ВВП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NPV!$L$16:$L$49</c:f>
              <c:numCache>
                <c:formatCode>#,##0</c:formatCode>
                <c:ptCount val="34"/>
                <c:pt idx="0">
                  <c:v>3739941.0803154707</c:v>
                </c:pt>
                <c:pt idx="1">
                  <c:v>4213046.8077561511</c:v>
                </c:pt>
                <c:pt idx="2">
                  <c:v>4718163.99984763</c:v>
                </c:pt>
                <c:pt idx="3">
                  <c:v>5258485.370482346</c:v>
                </c:pt>
                <c:pt idx="4">
                  <c:v>5837861.6182303559</c:v>
                </c:pt>
                <c:pt idx="5">
                  <c:v>6460967.4171804525</c:v>
                </c:pt>
                <c:pt idx="6">
                  <c:v>7133475.9862706047</c:v>
                </c:pt>
                <c:pt idx="7">
                  <c:v>7862198.9157687509</c:v>
                </c:pt>
                <c:pt idx="8">
                  <c:v>8655107.9800591394</c:v>
                </c:pt>
                <c:pt idx="9">
                  <c:v>9521118.1844831277</c:v>
                </c:pt>
                <c:pt idx="10">
                  <c:v>10469523.531359868</c:v>
                </c:pt>
                <c:pt idx="11">
                  <c:v>11509102.738387467</c:v>
                </c:pt>
                <c:pt idx="12">
                  <c:v>12647143.853577789</c:v>
                </c:pt>
                <c:pt idx="13">
                  <c:v>13888801.353981158</c:v>
                </c:pt>
                <c:pt idx="14">
                  <c:v>15237079.271344533</c:v>
                </c:pt>
                <c:pt idx="15">
                  <c:v>16693377.976902718</c:v>
                </c:pt>
                <c:pt idx="16">
                  <c:v>18258272.037383951</c:v>
                </c:pt>
                <c:pt idx="17">
                  <c:v>19932196.813244045</c:v>
                </c:pt>
                <c:pt idx="18">
                  <c:v>21715898.977094799</c:v>
                </c:pt>
                <c:pt idx="19">
                  <c:v>23610660.716225568</c:v>
                </c:pt>
                <c:pt idx="20">
                  <c:v>25618369.899447113</c:v>
                </c:pt>
                <c:pt idx="21">
                  <c:v>27741507.172045324</c:v>
                </c:pt>
                <c:pt idx="22">
                  <c:v>29983098.189460117</c:v>
                </c:pt>
                <c:pt idx="23">
                  <c:v>32346657.666376326</c:v>
                </c:pt>
                <c:pt idx="24">
                  <c:v>34836137.655886173</c:v>
                </c:pt>
                <c:pt idx="25">
                  <c:v>37455884.586404614</c:v>
                </c:pt>
                <c:pt idx="26">
                  <c:v>40210605.769911781</c:v>
                </c:pt>
                <c:pt idx="27">
                  <c:v>43105344.510163926</c:v>
                </c:pt>
                <c:pt idx="28">
                  <c:v>46145462.450511649</c:v>
                </c:pt>
                <c:pt idx="29">
                  <c:v>49336627.796175122</c:v>
                </c:pt>
                <c:pt idx="30">
                  <c:v>52684808.222543433</c:v>
                </c:pt>
                <c:pt idx="31">
                  <c:v>56196267.50100144</c:v>
                </c:pt>
                <c:pt idx="32">
                  <c:v>59877565.080171533</c:v>
                </c:pt>
                <c:pt idx="33">
                  <c:v>63735558.0345129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73-4FCC-8794-897A34DCB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0977360"/>
        <c:axId val="760981936"/>
      </c:lineChart>
      <c:catAx>
        <c:axId val="760977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0981936"/>
        <c:crosses val="autoZero"/>
        <c:auto val="1"/>
        <c:lblAlgn val="ctr"/>
        <c:lblOffset val="100"/>
        <c:noMultiLvlLbl val="0"/>
      </c:catAx>
      <c:valAx>
        <c:axId val="76098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097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ВДС!$C$14</c:f>
              <c:strCache>
                <c:ptCount val="1"/>
                <c:pt idx="0">
                  <c:v> ВДС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olid"/>
                <a:tailEnd type="triangle" w="lg" len="lg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10672122365204"/>
                  <c:y val="-3.115843121796754E-4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val>
            <c:numRef>
              <c:f>ВДС!$C$16:$C$49</c:f>
              <c:numCache>
                <c:formatCode>#,##0</c:formatCode>
                <c:ptCount val="34"/>
                <c:pt idx="0">
                  <c:v>854871.14703622425</c:v>
                </c:pt>
                <c:pt idx="1">
                  <c:v>1139219.2493035407</c:v>
                </c:pt>
                <c:pt idx="2">
                  <c:v>1403738.508618192</c:v>
                </c:pt>
                <c:pt idx="3">
                  <c:v>1677617.7878271635</c:v>
                </c:pt>
                <c:pt idx="4">
                  <c:v>2080056.4881224297</c:v>
                </c:pt>
                <c:pt idx="5">
                  <c:v>2564917.6229515877</c:v>
                </c:pt>
                <c:pt idx="6">
                  <c:v>3296150.8327038502</c:v>
                </c:pt>
                <c:pt idx="7">
                  <c:v>3853809.5568073275</c:v>
                </c:pt>
                <c:pt idx="8">
                  <c:v>4239214.9484877475</c:v>
                </c:pt>
                <c:pt idx="9">
                  <c:v>4675803.1769923167</c:v>
                </c:pt>
                <c:pt idx="10">
                  <c:v>5864573.2429680433</c:v>
                </c:pt>
                <c:pt idx="11">
                  <c:v>6696500.3734088941</c:v>
                </c:pt>
                <c:pt idx="12">
                  <c:v>6933386.9000000004</c:v>
                </c:pt>
                <c:pt idx="13">
                  <c:v>7504676.2999999998</c:v>
                </c:pt>
                <c:pt idx="14">
                  <c:v>8005749.4000000004</c:v>
                </c:pt>
                <c:pt idx="15">
                  <c:v>8435287.0999999996</c:v>
                </c:pt>
                <c:pt idx="16">
                  <c:v>8889867.7000000011</c:v>
                </c:pt>
                <c:pt idx="17">
                  <c:v>9318440.1999999993</c:v>
                </c:pt>
                <c:pt idx="18">
                  <c:v>9987984.4000000004</c:v>
                </c:pt>
                <c:pt idx="19">
                  <c:v>12989466.85</c:v>
                </c:pt>
                <c:pt idx="20">
                  <c:v>15127767.050000001</c:v>
                </c:pt>
                <c:pt idx="21">
                  <c:v>16660493.5</c:v>
                </c:pt>
                <c:pt idx="22">
                  <c:v>20267549.700000003</c:v>
                </c:pt>
                <c:pt idx="23">
                  <c:v>22639157.185240481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B0-4FC7-9898-93B620E1F670}"/>
            </c:ext>
          </c:extLst>
        </c:ser>
        <c:ser>
          <c:idx val="1"/>
          <c:order val="1"/>
          <c:tx>
            <c:strRef>
              <c:f>ВДС!$D$14</c:f>
              <c:strCache>
                <c:ptCount val="1"/>
                <c:pt idx="0">
                  <c:v>тренд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ВДС!$D$16:$D$49</c:f>
              <c:numCache>
                <c:formatCode>#,##0</c:formatCode>
                <c:ptCount val="34"/>
                <c:pt idx="0">
                  <c:v>-1508010.3443235662</c:v>
                </c:pt>
                <c:pt idx="1">
                  <c:v>-706204.01285895263</c:v>
                </c:pt>
                <c:pt idx="2">
                  <c:v>95602.318605660927</c:v>
                </c:pt>
                <c:pt idx="3">
                  <c:v>897408.65007027471</c:v>
                </c:pt>
                <c:pt idx="4">
                  <c:v>1699214.9815348885</c:v>
                </c:pt>
                <c:pt idx="5">
                  <c:v>2501021.3129995018</c:v>
                </c:pt>
                <c:pt idx="6">
                  <c:v>3302827.6444641156</c:v>
                </c:pt>
                <c:pt idx="7">
                  <c:v>4104633.9759287294</c:v>
                </c:pt>
                <c:pt idx="8">
                  <c:v>4906440.3073933432</c:v>
                </c:pt>
                <c:pt idx="9">
                  <c:v>5708246.638857957</c:v>
                </c:pt>
                <c:pt idx="10">
                  <c:v>6510052.9703225708</c:v>
                </c:pt>
                <c:pt idx="11">
                  <c:v>7311859.3017871836</c:v>
                </c:pt>
                <c:pt idx="12">
                  <c:v>8113665.6332517983</c:v>
                </c:pt>
                <c:pt idx="13">
                  <c:v>8915471.9647164121</c:v>
                </c:pt>
                <c:pt idx="14">
                  <c:v>9717278.2961810268</c:v>
                </c:pt>
                <c:pt idx="15">
                  <c:v>10519084.627645638</c:v>
                </c:pt>
                <c:pt idx="16">
                  <c:v>11320890.959110253</c:v>
                </c:pt>
                <c:pt idx="17">
                  <c:v>12122697.290574867</c:v>
                </c:pt>
                <c:pt idx="18">
                  <c:v>12924503.622039478</c:v>
                </c:pt>
                <c:pt idx="19">
                  <c:v>13726309.953504093</c:v>
                </c:pt>
                <c:pt idx="20">
                  <c:v>14528116.284968708</c:v>
                </c:pt>
                <c:pt idx="21">
                  <c:v>15329922.616433322</c:v>
                </c:pt>
                <c:pt idx="22">
                  <c:v>16131728.947897937</c:v>
                </c:pt>
                <c:pt idx="23">
                  <c:v>16933535.279362548</c:v>
                </c:pt>
                <c:pt idx="24">
                  <c:v>17735341.610827163</c:v>
                </c:pt>
                <c:pt idx="25">
                  <c:v>18537147.942291778</c:v>
                </c:pt>
                <c:pt idx="26">
                  <c:v>19338954.273756389</c:v>
                </c:pt>
                <c:pt idx="27">
                  <c:v>20140760.605221003</c:v>
                </c:pt>
                <c:pt idx="28">
                  <c:v>20942566.936685618</c:v>
                </c:pt>
                <c:pt idx="29">
                  <c:v>21744373.268150233</c:v>
                </c:pt>
                <c:pt idx="30">
                  <c:v>22546179.599614844</c:v>
                </c:pt>
                <c:pt idx="31">
                  <c:v>23347985.931079458</c:v>
                </c:pt>
                <c:pt idx="32">
                  <c:v>24149792.262544073</c:v>
                </c:pt>
                <c:pt idx="33">
                  <c:v>24951598.594008684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B0-4FC7-9898-93B620E1F670}"/>
            </c:ext>
          </c:extLst>
        </c:ser>
        <c:ser>
          <c:idx val="2"/>
          <c:order val="2"/>
          <c:tx>
            <c:strRef>
              <c:f>ВДС!$E$14</c:f>
              <c:strCache>
                <c:ptCount val="1"/>
                <c:pt idx="0">
                  <c:v>довер.интервал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ВДС!$E$16:$E$49</c:f>
              <c:numCache>
                <c:formatCode>#,##0</c:formatCode>
                <c:ptCount val="34"/>
                <c:pt idx="0">
                  <c:v>-6676740.1499353414</c:v>
                </c:pt>
                <c:pt idx="1">
                  <c:v>-5547163.0126943486</c:v>
                </c:pt>
                <c:pt idx="2">
                  <c:v>-4428385.4569373857</c:v>
                </c:pt>
                <c:pt idx="3">
                  <c:v>-3322841.5639509703</c:v>
                </c:pt>
                <c:pt idx="4">
                  <c:v>-2233598.7014581966</c:v>
                </c:pt>
                <c:pt idx="5">
                  <c:v>-1164493.6824461222</c:v>
                </c:pt>
                <c:pt idx="6">
                  <c:v>-120247.29176553991</c:v>
                </c:pt>
                <c:pt idx="7">
                  <c:v>893505.05033909762</c:v>
                </c:pt>
                <c:pt idx="8">
                  <c:v>1870370.3057331354</c:v>
                </c:pt>
                <c:pt idx="9">
                  <c:v>2803671.2389567187</c:v>
                </c:pt>
                <c:pt idx="10">
                  <c:v>3687313.0650267089</c:v>
                </c:pt>
                <c:pt idx="11">
                  <c:v>4516930.3200962758</c:v>
                </c:pt>
                <c:pt idx="12">
                  <c:v>5290925.7279559365</c:v>
                </c:pt>
                <c:pt idx="13">
                  <c:v>6010896.5648151739</c:v>
                </c:pt>
                <c:pt idx="14">
                  <c:v>6681208.2945208196</c:v>
                </c:pt>
                <c:pt idx="15">
                  <c:v>7307955.7020560056</c:v>
                </c:pt>
                <c:pt idx="16">
                  <c:v>7897816.022880597</c:v>
                </c:pt>
                <c:pt idx="17">
                  <c:v>8457182.2951292433</c:v>
                </c:pt>
                <c:pt idx="18">
                  <c:v>8991689.9390463941</c:v>
                </c:pt>
                <c:pt idx="19">
                  <c:v>9506059.739482848</c:v>
                </c:pt>
                <c:pt idx="20">
                  <c:v>10004128.509425661</c:v>
                </c:pt>
                <c:pt idx="21">
                  <c:v>10488963.616597926</c:v>
                </c:pt>
                <c:pt idx="22">
                  <c:v>10962999.142286163</c:v>
                </c:pt>
                <c:pt idx="23">
                  <c:v>11428163.658004042</c:v>
                </c:pt>
                <c:pt idx="24">
                  <c:v>11885988.595697414</c:v>
                </c:pt>
                <c:pt idx="25">
                  <c:v>12337695.561438836</c:v>
                </c:pt>
                <c:pt idx="26">
                  <c:v>12784264.802101247</c:v>
                </c:pt>
                <c:pt idx="27">
                  <c:v>13226488.160654031</c:v>
                </c:pt>
                <c:pt idx="28">
                  <c:v>13665009.796677899</c:v>
                </c:pt>
                <c:pt idx="29">
                  <c:v>14100357.469176214</c:v>
                </c:pt>
                <c:pt idx="30">
                  <c:v>14532966.619520076</c:v>
                </c:pt>
                <c:pt idx="31">
                  <c:v>14963198.986006735</c:v>
                </c:pt>
                <c:pt idx="32">
                  <c:v>15391357.066421852</c:v>
                </c:pt>
                <c:pt idx="33">
                  <c:v>15817695.420907337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AB0-4FC7-9898-93B620E1F670}"/>
            </c:ext>
          </c:extLst>
        </c:ser>
        <c:ser>
          <c:idx val="3"/>
          <c:order val="3"/>
          <c:tx>
            <c:strRef>
              <c:f>ВДС!$F$14</c:f>
              <c:strCache>
                <c:ptCount val="1"/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ВДС!$F$16:$F$49</c:f>
              <c:numCache>
                <c:formatCode>#,##0</c:formatCode>
                <c:ptCount val="34"/>
                <c:pt idx="0">
                  <c:v>3660719.4612882091</c:v>
                </c:pt>
                <c:pt idx="1">
                  <c:v>4134754.9869764438</c:v>
                </c:pt>
                <c:pt idx="2">
                  <c:v>4619590.0941487085</c:v>
                </c:pt>
                <c:pt idx="3">
                  <c:v>5117658.8640915193</c:v>
                </c:pt>
                <c:pt idx="4">
                  <c:v>5632028.6645279732</c:v>
                </c:pt>
                <c:pt idx="5">
                  <c:v>6166536.3084451258</c:v>
                </c:pt>
                <c:pt idx="6">
                  <c:v>6725902.5806937711</c:v>
                </c:pt>
                <c:pt idx="7">
                  <c:v>7315762.9015183616</c:v>
                </c:pt>
                <c:pt idx="8">
                  <c:v>7942510.3090535514</c:v>
                </c:pt>
                <c:pt idx="9">
                  <c:v>8612822.0387591943</c:v>
                </c:pt>
                <c:pt idx="10">
                  <c:v>9332792.8756184317</c:v>
                </c:pt>
                <c:pt idx="11">
                  <c:v>10106788.283478092</c:v>
                </c:pt>
                <c:pt idx="12">
                  <c:v>10936405.538547661</c:v>
                </c:pt>
                <c:pt idx="13">
                  <c:v>11820047.364617649</c:v>
                </c:pt>
                <c:pt idx="14">
                  <c:v>12753348.297841234</c:v>
                </c:pt>
                <c:pt idx="15">
                  <c:v>13730213.55323527</c:v>
                </c:pt>
                <c:pt idx="16">
                  <c:v>14743965.895339908</c:v>
                </c:pt>
                <c:pt idx="17">
                  <c:v>15788212.286020491</c:v>
                </c:pt>
                <c:pt idx="18">
                  <c:v>16857317.305032562</c:v>
                </c:pt>
                <c:pt idx="19">
                  <c:v>17946560.167525336</c:v>
                </c:pt>
                <c:pt idx="20">
                  <c:v>19052104.060511753</c:v>
                </c:pt>
                <c:pt idx="21">
                  <c:v>20170881.616268717</c:v>
                </c:pt>
                <c:pt idx="22">
                  <c:v>21300458.753509711</c:v>
                </c:pt>
                <c:pt idx="23">
                  <c:v>22438906.900721055</c:v>
                </c:pt>
                <c:pt idx="24">
                  <c:v>23584694.625956912</c:v>
                </c:pt>
                <c:pt idx="25">
                  <c:v>24736600.323144719</c:v>
                </c:pt>
                <c:pt idx="26">
                  <c:v>25893643.74541153</c:v>
                </c:pt>
                <c:pt idx="27">
                  <c:v>27055033.049787976</c:v>
                </c:pt>
                <c:pt idx="28">
                  <c:v>28220124.076693337</c:v>
                </c:pt>
                <c:pt idx="29">
                  <c:v>29388389.067124251</c:v>
                </c:pt>
                <c:pt idx="30">
                  <c:v>30559392.579709612</c:v>
                </c:pt>
                <c:pt idx="31">
                  <c:v>31732772.87615218</c:v>
                </c:pt>
                <c:pt idx="32">
                  <c:v>32908227.458666295</c:v>
                </c:pt>
                <c:pt idx="33">
                  <c:v>34085501.767110035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AB0-4FC7-9898-93B620E1F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0977360"/>
        <c:axId val="760981936"/>
      </c:lineChart>
      <c:catAx>
        <c:axId val="760977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0981936"/>
        <c:crosses val="autoZero"/>
        <c:auto val="1"/>
        <c:lblAlgn val="ctr"/>
        <c:lblOffset val="100"/>
        <c:noMultiLvlLbl val="0"/>
      </c:catAx>
      <c:valAx>
        <c:axId val="76098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097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ВДС!$I$14:$I$15</c:f>
              <c:strCache>
                <c:ptCount val="2"/>
                <c:pt idx="0">
                  <c:v>Ошибка сорт.</c:v>
                </c:pt>
                <c:pt idx="1">
                  <c:v>Err 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ВДС!$I$16:$I$39</c:f>
              <c:numCache>
                <c:formatCode>#,##0</c:formatCode>
                <c:ptCount val="24"/>
                <c:pt idx="0">
                  <c:v>-2936519.2220394779</c:v>
                </c:pt>
                <c:pt idx="1">
                  <c:v>-2804257.090574868</c:v>
                </c:pt>
                <c:pt idx="2">
                  <c:v>-2431023.2591102514</c:v>
                </c:pt>
                <c:pt idx="3">
                  <c:v>-2083797.5276456382</c:v>
                </c:pt>
                <c:pt idx="4">
                  <c:v>-1711528.8961810265</c:v>
                </c:pt>
                <c:pt idx="5">
                  <c:v>-1410795.6647164123</c:v>
                </c:pt>
                <c:pt idx="6">
                  <c:v>-1180278.733251798</c:v>
                </c:pt>
                <c:pt idx="7">
                  <c:v>-1032443.4618656402</c:v>
                </c:pt>
                <c:pt idx="8">
                  <c:v>-736843.10350409336</c:v>
                </c:pt>
                <c:pt idx="9">
                  <c:v>-667225.35890559573</c:v>
                </c:pt>
                <c:pt idx="10">
                  <c:v>-645479.72735452745</c:v>
                </c:pt>
                <c:pt idx="11">
                  <c:v>-615358.92837828957</c:v>
                </c:pt>
                <c:pt idx="12">
                  <c:v>-250824.41912140185</c:v>
                </c:pt>
                <c:pt idx="13">
                  <c:v>-6676.8117602653801</c:v>
                </c:pt>
                <c:pt idx="14">
                  <c:v>63896.309952085838</c:v>
                </c:pt>
                <c:pt idx="15">
                  <c:v>380841.5065875412</c:v>
                </c:pt>
                <c:pt idx="16">
                  <c:v>599650.76503129303</c:v>
                </c:pt>
                <c:pt idx="17">
                  <c:v>780209.13775688875</c:v>
                </c:pt>
                <c:pt idx="18">
                  <c:v>1308136.1900125311</c:v>
                </c:pt>
                <c:pt idx="19">
                  <c:v>1330570.8835666776</c:v>
                </c:pt>
                <c:pt idx="20">
                  <c:v>1845423.2621624933</c:v>
                </c:pt>
                <c:pt idx="21">
                  <c:v>2362881.4913597903</c:v>
                </c:pt>
                <c:pt idx="22">
                  <c:v>4135820.7521020658</c:v>
                </c:pt>
                <c:pt idx="23">
                  <c:v>5705621.9058779329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39-4104-A81E-2AC17C2C6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0176336"/>
        <c:axId val="830177168"/>
      </c:lineChart>
      <c:catAx>
        <c:axId val="8301763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0177168"/>
        <c:crosses val="autoZero"/>
        <c:auto val="1"/>
        <c:lblAlgn val="ctr"/>
        <c:lblOffset val="100"/>
        <c:noMultiLvlLbl val="0"/>
      </c:catAx>
      <c:valAx>
        <c:axId val="83017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017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ОФ!$C$15</c:f>
              <c:strCache>
                <c:ptCount val="1"/>
                <c:pt idx="0">
                  <c:v>ОФ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olid"/>
                <a:tailEnd type="triangle" w="lg" len="lg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4410672122365204"/>
                  <c:y val="-3.115843121796754E-4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val>
            <c:numRef>
              <c:f>ОФ!$C$17:$C$50</c:f>
              <c:numCache>
                <c:formatCode>#,##0</c:formatCode>
                <c:ptCount val="34"/>
                <c:pt idx="0">
                  <c:v>663998.76369988162</c:v>
                </c:pt>
                <c:pt idx="1">
                  <c:v>884858.70150511106</c:v>
                </c:pt>
                <c:pt idx="2">
                  <c:v>1090317.1051120984</c:v>
                </c:pt>
                <c:pt idx="3">
                  <c:v>1303045.6589160857</c:v>
                </c:pt>
                <c:pt idx="4">
                  <c:v>1615629.3744707303</c:v>
                </c:pt>
                <c:pt idx="5">
                  <c:v>1992232.5563758044</c:v>
                </c:pt>
                <c:pt idx="6">
                  <c:v>2560198.7919133157</c:v>
                </c:pt>
                <c:pt idx="7">
                  <c:v>2993345.5938084461</c:v>
                </c:pt>
                <c:pt idx="8">
                  <c:v>3292699.1332117636</c:v>
                </c:pt>
                <c:pt idx="9">
                  <c:v>3631807.6</c:v>
                </c:pt>
                <c:pt idx="10">
                  <c:v>6188755.7403909471</c:v>
                </c:pt>
                <c:pt idx="11">
                  <c:v>7066670.2263727253</c:v>
                </c:pt>
                <c:pt idx="12">
                  <c:v>7517411.2509606024</c:v>
                </c:pt>
                <c:pt idx="13">
                  <c:v>7806214.914021723</c:v>
                </c:pt>
                <c:pt idx="14">
                  <c:v>8342022.5787704289</c:v>
                </c:pt>
                <c:pt idx="15">
                  <c:v>8435287.0999999996</c:v>
                </c:pt>
                <c:pt idx="16">
                  <c:v>8889867.7000000011</c:v>
                </c:pt>
                <c:pt idx="17">
                  <c:v>9438926.0500000007</c:v>
                </c:pt>
                <c:pt idx="18">
                  <c:v>9987984.4000000004</c:v>
                </c:pt>
                <c:pt idx="19">
                  <c:v>10979479.5</c:v>
                </c:pt>
                <c:pt idx="20">
                  <c:v>13819986.5</c:v>
                </c:pt>
                <c:pt idx="21">
                  <c:v>16660493.5</c:v>
                </c:pt>
                <c:pt idx="22">
                  <c:v>20267549.700000003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90-4C87-81A4-B1B96708397F}"/>
            </c:ext>
          </c:extLst>
        </c:ser>
        <c:ser>
          <c:idx val="1"/>
          <c:order val="1"/>
          <c:tx>
            <c:strRef>
              <c:f>ОФ!$D$15</c:f>
              <c:strCache>
                <c:ptCount val="1"/>
                <c:pt idx="0">
                  <c:v>тренд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ОФ!$D$17:$D$50</c:f>
              <c:numCache>
                <c:formatCode>#,##0</c:formatCode>
                <c:ptCount val="34"/>
                <c:pt idx="0">
                  <c:v>934014.84084255784</c:v>
                </c:pt>
                <c:pt idx="1">
                  <c:v>1046221.4532003703</c:v>
                </c:pt>
                <c:pt idx="2">
                  <c:v>1218031.7742954073</c:v>
                </c:pt>
                <c:pt idx="3">
                  <c:v>1449445.8041276685</c:v>
                </c:pt>
                <c:pt idx="4">
                  <c:v>1740463.542697154</c:v>
                </c:pt>
                <c:pt idx="5">
                  <c:v>2091084.9900038638</c:v>
                </c:pt>
                <c:pt idx="6">
                  <c:v>2501310.146047798</c:v>
                </c:pt>
                <c:pt idx="7">
                  <c:v>2971139.010828956</c:v>
                </c:pt>
                <c:pt idx="8">
                  <c:v>3500571.5843473389</c:v>
                </c:pt>
                <c:pt idx="9">
                  <c:v>4089607.8666029461</c:v>
                </c:pt>
                <c:pt idx="10">
                  <c:v>4738247.8575957771</c:v>
                </c:pt>
                <c:pt idx="11">
                  <c:v>5446491.5573258325</c:v>
                </c:pt>
                <c:pt idx="12">
                  <c:v>6214338.9657931123</c:v>
                </c:pt>
                <c:pt idx="13">
                  <c:v>7041790.0829976164</c:v>
                </c:pt>
                <c:pt idx="14">
                  <c:v>7928844.9089393457</c:v>
                </c:pt>
                <c:pt idx="15">
                  <c:v>8875503.4436182976</c:v>
                </c:pt>
                <c:pt idx="16">
                  <c:v>9881765.6870344765</c:v>
                </c:pt>
                <c:pt idx="17">
                  <c:v>10947631.639187876</c:v>
                </c:pt>
                <c:pt idx="18">
                  <c:v>12073101.300078502</c:v>
                </c:pt>
                <c:pt idx="19">
                  <c:v>13258174.669706352</c:v>
                </c:pt>
                <c:pt idx="20">
                  <c:v>14502851.748071427</c:v>
                </c:pt>
                <c:pt idx="21">
                  <c:v>15807132.535173723</c:v>
                </c:pt>
                <c:pt idx="22">
                  <c:v>17171017.031013247</c:v>
                </c:pt>
                <c:pt idx="23">
                  <c:v>18594505.235589996</c:v>
                </c:pt>
                <c:pt idx="24">
                  <c:v>20077597.148903966</c:v>
                </c:pt>
                <c:pt idx="25">
                  <c:v>21620292.77095516</c:v>
                </c:pt>
                <c:pt idx="26">
                  <c:v>23222592.101743583</c:v>
                </c:pt>
                <c:pt idx="27">
                  <c:v>24884495.141269226</c:v>
                </c:pt>
                <c:pt idx="28">
                  <c:v>26606001.889532093</c:v>
                </c:pt>
                <c:pt idx="29">
                  <c:v>28387112.346532188</c:v>
                </c:pt>
                <c:pt idx="30">
                  <c:v>30227826.512269504</c:v>
                </c:pt>
                <c:pt idx="31">
                  <c:v>32128144.386744045</c:v>
                </c:pt>
                <c:pt idx="32">
                  <c:v>34088065.969955817</c:v>
                </c:pt>
                <c:pt idx="33">
                  <c:v>36107591.261904806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90-4C87-81A4-B1B96708397F}"/>
            </c:ext>
          </c:extLst>
        </c:ser>
        <c:ser>
          <c:idx val="2"/>
          <c:order val="2"/>
          <c:tx>
            <c:strRef>
              <c:f>ОФ!$E$15</c:f>
              <c:strCache>
                <c:ptCount val="1"/>
                <c:pt idx="0">
                  <c:v>довер.интервал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ОФ!$E$17:$E$50</c:f>
              <c:numCache>
                <c:formatCode>#,##0</c:formatCode>
                <c:ptCount val="34"/>
                <c:pt idx="0">
                  <c:v>-1344680.3288637942</c:v>
                </c:pt>
                <c:pt idx="1">
                  <c:v>-1232473.7165059817</c:v>
                </c:pt>
                <c:pt idx="2">
                  <c:v>-1060663.3954109447</c:v>
                </c:pt>
                <c:pt idx="3">
                  <c:v>-829249.36557868356</c:v>
                </c:pt>
                <c:pt idx="4">
                  <c:v>-538231.62700919807</c:v>
                </c:pt>
                <c:pt idx="5">
                  <c:v>-187610.17970248824</c:v>
                </c:pt>
                <c:pt idx="6">
                  <c:v>222614.97634144593</c:v>
                </c:pt>
                <c:pt idx="7">
                  <c:v>692443.84112260398</c:v>
                </c:pt>
                <c:pt idx="8">
                  <c:v>1221876.4146409868</c:v>
                </c:pt>
                <c:pt idx="9">
                  <c:v>1810912.696896594</c:v>
                </c:pt>
                <c:pt idx="10">
                  <c:v>2459552.6878894251</c:v>
                </c:pt>
                <c:pt idx="11">
                  <c:v>3167796.3876194805</c:v>
                </c:pt>
                <c:pt idx="12">
                  <c:v>3935643.7960867602</c:v>
                </c:pt>
                <c:pt idx="13">
                  <c:v>4763094.9132912643</c:v>
                </c:pt>
                <c:pt idx="14">
                  <c:v>5650149.7392329937</c:v>
                </c:pt>
                <c:pt idx="15">
                  <c:v>6596808.2739119455</c:v>
                </c:pt>
                <c:pt idx="16">
                  <c:v>7603070.5173281245</c:v>
                </c:pt>
                <c:pt idx="17">
                  <c:v>8668936.4694815241</c:v>
                </c:pt>
                <c:pt idx="18">
                  <c:v>9794406.1303721499</c:v>
                </c:pt>
                <c:pt idx="19">
                  <c:v>10979479.5</c:v>
                </c:pt>
                <c:pt idx="20">
                  <c:v>12224156.578365074</c:v>
                </c:pt>
                <c:pt idx="21">
                  <c:v>13528437.365467371</c:v>
                </c:pt>
                <c:pt idx="22">
                  <c:v>14892321.861306895</c:v>
                </c:pt>
                <c:pt idx="23">
                  <c:v>16315810.065883644</c:v>
                </c:pt>
                <c:pt idx="24">
                  <c:v>17798901.979197614</c:v>
                </c:pt>
                <c:pt idx="25">
                  <c:v>19341597.601248808</c:v>
                </c:pt>
                <c:pt idx="26">
                  <c:v>20943896.932037231</c:v>
                </c:pt>
                <c:pt idx="27">
                  <c:v>22605799.971562874</c:v>
                </c:pt>
                <c:pt idx="28">
                  <c:v>24327306.719825741</c:v>
                </c:pt>
                <c:pt idx="29">
                  <c:v>26108417.176825836</c:v>
                </c:pt>
                <c:pt idx="30">
                  <c:v>27949131.342563152</c:v>
                </c:pt>
                <c:pt idx="31">
                  <c:v>29849449.217037693</c:v>
                </c:pt>
                <c:pt idx="32">
                  <c:v>31809370.800249465</c:v>
                </c:pt>
                <c:pt idx="33">
                  <c:v>33828896.092198454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F90-4C87-81A4-B1B96708397F}"/>
            </c:ext>
          </c:extLst>
        </c:ser>
        <c:ser>
          <c:idx val="3"/>
          <c:order val="3"/>
          <c:tx>
            <c:strRef>
              <c:f>ОФ!$F$15</c:f>
              <c:strCache>
                <c:ptCount val="1"/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ОФ!$F$17:$F$50</c:f>
              <c:numCache>
                <c:formatCode>#,##0</c:formatCode>
                <c:ptCount val="34"/>
                <c:pt idx="0">
                  <c:v>4030547.5098293144</c:v>
                </c:pt>
                <c:pt idx="1">
                  <c:v>4142754.1221871264</c:v>
                </c:pt>
                <c:pt idx="2">
                  <c:v>4314564.4432821637</c:v>
                </c:pt>
                <c:pt idx="3">
                  <c:v>4545978.4731144253</c:v>
                </c:pt>
                <c:pt idx="4">
                  <c:v>4836996.2116839103</c:v>
                </c:pt>
                <c:pt idx="5">
                  <c:v>5187617.6589906197</c:v>
                </c:pt>
                <c:pt idx="6">
                  <c:v>5597842.8150345543</c:v>
                </c:pt>
                <c:pt idx="7">
                  <c:v>6067671.6798157124</c:v>
                </c:pt>
                <c:pt idx="8">
                  <c:v>6597104.2533340957</c:v>
                </c:pt>
                <c:pt idx="9">
                  <c:v>7186140.5355897024</c:v>
                </c:pt>
                <c:pt idx="10">
                  <c:v>7834780.5265825335</c:v>
                </c:pt>
                <c:pt idx="11">
                  <c:v>8543024.2263125889</c:v>
                </c:pt>
                <c:pt idx="12">
                  <c:v>9310871.6347798686</c:v>
                </c:pt>
                <c:pt idx="13">
                  <c:v>10138322.751984373</c:v>
                </c:pt>
                <c:pt idx="14">
                  <c:v>11025377.577926103</c:v>
                </c:pt>
                <c:pt idx="15">
                  <c:v>11972036.112605054</c:v>
                </c:pt>
                <c:pt idx="16">
                  <c:v>12978298.356021233</c:v>
                </c:pt>
                <c:pt idx="17">
                  <c:v>14044164.308174632</c:v>
                </c:pt>
                <c:pt idx="18">
                  <c:v>15169633.969065258</c:v>
                </c:pt>
                <c:pt idx="19">
                  <c:v>16354707.338693108</c:v>
                </c:pt>
                <c:pt idx="20">
                  <c:v>17599384.417058185</c:v>
                </c:pt>
                <c:pt idx="21">
                  <c:v>18903665.204160482</c:v>
                </c:pt>
                <c:pt idx="22">
                  <c:v>20267549.700000003</c:v>
                </c:pt>
                <c:pt idx="23">
                  <c:v>21691037.904576752</c:v>
                </c:pt>
                <c:pt idx="24">
                  <c:v>23174129.817890722</c:v>
                </c:pt>
                <c:pt idx="25">
                  <c:v>24716825.439941917</c:v>
                </c:pt>
                <c:pt idx="26">
                  <c:v>26319124.770730339</c:v>
                </c:pt>
                <c:pt idx="27">
                  <c:v>27981027.810255982</c:v>
                </c:pt>
                <c:pt idx="28">
                  <c:v>29702534.558518849</c:v>
                </c:pt>
                <c:pt idx="29">
                  <c:v>31483645.015518945</c:v>
                </c:pt>
                <c:pt idx="30">
                  <c:v>33324359.181256261</c:v>
                </c:pt>
                <c:pt idx="31">
                  <c:v>35224677.055730805</c:v>
                </c:pt>
                <c:pt idx="32">
                  <c:v>37184598.638942569</c:v>
                </c:pt>
                <c:pt idx="33">
                  <c:v>39204123.930891559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F90-4C87-81A4-B1B967083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0977360"/>
        <c:axId val="760981936"/>
      </c:lineChart>
      <c:catAx>
        <c:axId val="760977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0981936"/>
        <c:crosses val="autoZero"/>
        <c:auto val="1"/>
        <c:lblAlgn val="ctr"/>
        <c:lblOffset val="100"/>
        <c:noMultiLvlLbl val="0"/>
      </c:catAx>
      <c:valAx>
        <c:axId val="76098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097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ОФ!$I$15:$I$16</c:f>
              <c:strCache>
                <c:ptCount val="2"/>
                <c:pt idx="0">
                  <c:v>Ошибка сорт.</c:v>
                </c:pt>
                <c:pt idx="1">
                  <c:v>Err 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ОФ!$I$17:$I$39</c:f>
              <c:numCache>
                <c:formatCode>#,##0</c:formatCode>
                <c:ptCount val="23"/>
                <c:pt idx="0">
                  <c:v>-2278695.1697063521</c:v>
                </c:pt>
                <c:pt idx="1">
                  <c:v>-2085116.9000785016</c:v>
                </c:pt>
                <c:pt idx="2">
                  <c:v>-1508705.5891878754</c:v>
                </c:pt>
                <c:pt idx="3">
                  <c:v>-991897.98703447543</c:v>
                </c:pt>
                <c:pt idx="4">
                  <c:v>-682865.24807142653</c:v>
                </c:pt>
                <c:pt idx="5">
                  <c:v>-457800.26660294598</c:v>
                </c:pt>
                <c:pt idx="6">
                  <c:v>-440216.34361829795</c:v>
                </c:pt>
                <c:pt idx="7">
                  <c:v>-270016.07714267622</c:v>
                </c:pt>
                <c:pt idx="8">
                  <c:v>-207872.45113557531</c:v>
                </c:pt>
                <c:pt idx="9">
                  <c:v>-161362.75169525924</c:v>
                </c:pt>
                <c:pt idx="10">
                  <c:v>-146400.14521158277</c:v>
                </c:pt>
                <c:pt idx="11">
                  <c:v>-127714.66918330896</c:v>
                </c:pt>
                <c:pt idx="12">
                  <c:v>-124834.16822642367</c:v>
                </c:pt>
                <c:pt idx="13">
                  <c:v>-98852.433628059458</c:v>
                </c:pt>
                <c:pt idx="14">
                  <c:v>22206.582979490049</c:v>
                </c:pt>
                <c:pt idx="15">
                  <c:v>58888.645865517668</c:v>
                </c:pt>
                <c:pt idx="16">
                  <c:v>413177.66983108316</c:v>
                </c:pt>
                <c:pt idx="17">
                  <c:v>764424.83102410659</c:v>
                </c:pt>
                <c:pt idx="18">
                  <c:v>853360.96482627653</c:v>
                </c:pt>
                <c:pt idx="19">
                  <c:v>1303072.2851674901</c:v>
                </c:pt>
                <c:pt idx="20">
                  <c:v>1450507.8827951699</c:v>
                </c:pt>
                <c:pt idx="21">
                  <c:v>1620178.6690468928</c:v>
                </c:pt>
                <c:pt idx="22">
                  <c:v>3096532.6689867564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2C-4DED-B7D6-31AB1AA8E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0176336"/>
        <c:axId val="830177168"/>
      </c:lineChart>
      <c:catAx>
        <c:axId val="8301763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0177168"/>
        <c:crosses val="autoZero"/>
        <c:auto val="1"/>
        <c:lblAlgn val="ctr"/>
        <c:lblOffset val="100"/>
        <c:noMultiLvlLbl val="0"/>
      </c:catAx>
      <c:valAx>
        <c:axId val="83017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017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ЗП!$C$16</c:f>
              <c:strCache>
                <c:ptCount val="1"/>
                <c:pt idx="0">
                  <c:v>З/п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olid"/>
                <a:tailEnd type="triangle" w="lg" len="lg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4410672122365204"/>
                  <c:y val="-3.115843121796754E-4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val>
            <c:numRef>
              <c:f>ЗП!$C$18:$C$51</c:f>
              <c:numCache>
                <c:formatCode>#,##0</c:formatCode>
                <c:ptCount val="34"/>
                <c:pt idx="0">
                  <c:v>7124.9668564346994</c:v>
                </c:pt>
                <c:pt idx="1">
                  <c:v>9472.4628590143511</c:v>
                </c:pt>
                <c:pt idx="2">
                  <c:v>10821.718177877687</c:v>
                </c:pt>
                <c:pt idx="3">
                  <c:v>15014.027631766721</c:v>
                </c:pt>
                <c:pt idx="4">
                  <c:v>18464.986503774206</c:v>
                </c:pt>
                <c:pt idx="5">
                  <c:v>23149.291880697179</c:v>
                </c:pt>
                <c:pt idx="6">
                  <c:v>29243.136120380714</c:v>
                </c:pt>
                <c:pt idx="7">
                  <c:v>32827.12981312503</c:v>
                </c:pt>
                <c:pt idx="8">
                  <c:v>34417.519307577262</c:v>
                </c:pt>
                <c:pt idx="9">
                  <c:v>38027.270514532211</c:v>
                </c:pt>
                <c:pt idx="10">
                  <c:v>48913.793502099419</c:v>
                </c:pt>
                <c:pt idx="11">
                  <c:v>55417.97686444701</c:v>
                </c:pt>
                <c:pt idx="12">
                  <c:v>58446.402896956672</c:v>
                </c:pt>
                <c:pt idx="13">
                  <c:v>57428.570061473758</c:v>
                </c:pt>
                <c:pt idx="14">
                  <c:v>59750.30854984279</c:v>
                </c:pt>
                <c:pt idx="15">
                  <c:v>71121.2</c:v>
                </c:pt>
                <c:pt idx="16">
                  <c:v>79509</c:v>
                </c:pt>
                <c:pt idx="17">
                  <c:v>84992.9</c:v>
                </c:pt>
                <c:pt idx="18">
                  <c:v>91586</c:v>
                </c:pt>
                <c:pt idx="19">
                  <c:v>97845.4</c:v>
                </c:pt>
                <c:pt idx="20">
                  <c:v>108572.5</c:v>
                </c:pt>
                <c:pt idx="21">
                  <c:v>124522.3</c:v>
                </c:pt>
                <c:pt idx="22">
                  <c:v>145843.40000000002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27-497F-AC11-5254AD8849BD}"/>
            </c:ext>
          </c:extLst>
        </c:ser>
        <c:ser>
          <c:idx val="1"/>
          <c:order val="1"/>
          <c:tx>
            <c:strRef>
              <c:f>ЗП!$D$16</c:f>
              <c:strCache>
                <c:ptCount val="1"/>
                <c:pt idx="0">
                  <c:v>тренд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ЗП!$D$18:$D$51</c:f>
              <c:numCache>
                <c:formatCode>#,##0</c:formatCode>
                <c:ptCount val="34"/>
                <c:pt idx="0">
                  <c:v>3089.5768000632215</c:v>
                </c:pt>
                <c:pt idx="1">
                  <c:v>8326.5944043780619</c:v>
                </c:pt>
                <c:pt idx="2">
                  <c:v>13091.189573938369</c:v>
                </c:pt>
                <c:pt idx="3">
                  <c:v>17467.286269579512</c:v>
                </c:pt>
                <c:pt idx="4">
                  <c:v>21538.808452136851</c:v>
                </c:pt>
                <c:pt idx="5">
                  <c:v>25389.68008244575</c:v>
                </c:pt>
                <c:pt idx="6">
                  <c:v>29103.82512134159</c:v>
                </c:pt>
                <c:pt idx="7">
                  <c:v>32765.167529659724</c:v>
                </c:pt>
                <c:pt idx="8">
                  <c:v>36457.63126823552</c:v>
                </c:pt>
                <c:pt idx="9">
                  <c:v>40265.140297904356</c:v>
                </c:pt>
                <c:pt idx="10">
                  <c:v>44271.618579501592</c:v>
                </c:pt>
                <c:pt idx="11">
                  <c:v>48560.990073862573</c:v>
                </c:pt>
                <c:pt idx="12">
                  <c:v>53217.178741822703</c:v>
                </c:pt>
                <c:pt idx="13">
                  <c:v>58324.108544217343</c:v>
                </c:pt>
                <c:pt idx="14">
                  <c:v>63965.703441881815</c:v>
                </c:pt>
                <c:pt idx="15">
                  <c:v>70225.887395651545</c:v>
                </c:pt>
                <c:pt idx="16">
                  <c:v>77188.584366361873</c:v>
                </c:pt>
                <c:pt idx="17">
                  <c:v>84937.718314848142</c:v>
                </c:pt>
                <c:pt idx="18">
                  <c:v>93557.213201945764</c:v>
                </c:pt>
                <c:pt idx="19">
                  <c:v>103130.99298849009</c:v>
                </c:pt>
                <c:pt idx="20">
                  <c:v>113742.98163531646</c:v>
                </c:pt>
                <c:pt idx="21">
                  <c:v>125477.10310326028</c:v>
                </c:pt>
                <c:pt idx="22">
                  <c:v>138417.28135315687</c:v>
                </c:pt>
                <c:pt idx="23">
                  <c:v>152647.44034584163</c:v>
                </c:pt>
                <c:pt idx="24">
                  <c:v>168251.50404214996</c:v>
                </c:pt>
                <c:pt idx="25">
                  <c:v>185313.39640291716</c:v>
                </c:pt>
                <c:pt idx="26">
                  <c:v>203917.04138897866</c:v>
                </c:pt>
                <c:pt idx="27">
                  <c:v>224146.36296116977</c:v>
                </c:pt>
                <c:pt idx="28">
                  <c:v>246085.28508032582</c:v>
                </c:pt>
                <c:pt idx="29">
                  <c:v>269817.73170728225</c:v>
                </c:pt>
                <c:pt idx="30">
                  <c:v>295427.6268028745</c:v>
                </c:pt>
                <c:pt idx="31">
                  <c:v>322998.89432793774</c:v>
                </c:pt>
                <c:pt idx="32">
                  <c:v>352615.45824330754</c:v>
                </c:pt>
                <c:pt idx="33">
                  <c:v>384361.2425098191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27-497F-AC11-5254AD8849BD}"/>
            </c:ext>
          </c:extLst>
        </c:ser>
        <c:ser>
          <c:idx val="2"/>
          <c:order val="2"/>
          <c:tx>
            <c:strRef>
              <c:f>ЗП!$E$16</c:f>
              <c:strCache>
                <c:ptCount val="1"/>
                <c:pt idx="0">
                  <c:v>довер.интервал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ЗП!$E$18:$E$51</c:f>
              <c:numCache>
                <c:formatCode>#,##0</c:formatCode>
                <c:ptCount val="34"/>
                <c:pt idx="0">
                  <c:v>-2196.0161884268764</c:v>
                </c:pt>
                <c:pt idx="1">
                  <c:v>3041.001415887964</c:v>
                </c:pt>
                <c:pt idx="2">
                  <c:v>7805.5965854482711</c:v>
                </c:pt>
                <c:pt idx="3">
                  <c:v>12181.693281089414</c:v>
                </c:pt>
                <c:pt idx="4">
                  <c:v>16253.215463646753</c:v>
                </c:pt>
                <c:pt idx="5">
                  <c:v>20104.087093955652</c:v>
                </c:pt>
                <c:pt idx="6">
                  <c:v>23818.232132851492</c:v>
                </c:pt>
                <c:pt idx="7">
                  <c:v>27479.574541169626</c:v>
                </c:pt>
                <c:pt idx="8">
                  <c:v>31172.038279745422</c:v>
                </c:pt>
                <c:pt idx="9">
                  <c:v>34979.547309414258</c:v>
                </c:pt>
                <c:pt idx="10">
                  <c:v>38986.025591011494</c:v>
                </c:pt>
                <c:pt idx="11">
                  <c:v>43275.397085372475</c:v>
                </c:pt>
                <c:pt idx="12">
                  <c:v>47931.585753332605</c:v>
                </c:pt>
                <c:pt idx="13">
                  <c:v>53038.515555727245</c:v>
                </c:pt>
                <c:pt idx="14">
                  <c:v>58680.110453391717</c:v>
                </c:pt>
                <c:pt idx="15">
                  <c:v>64940.294407161447</c:v>
                </c:pt>
                <c:pt idx="16">
                  <c:v>71902.991377871775</c:v>
                </c:pt>
                <c:pt idx="17">
                  <c:v>79652.125326358044</c:v>
                </c:pt>
                <c:pt idx="18">
                  <c:v>88271.620213455666</c:v>
                </c:pt>
                <c:pt idx="19">
                  <c:v>97845.4</c:v>
                </c:pt>
                <c:pt idx="20">
                  <c:v>108457.38864682637</c:v>
                </c:pt>
                <c:pt idx="21">
                  <c:v>120191.51011477018</c:v>
                </c:pt>
                <c:pt idx="22">
                  <c:v>133131.68836466677</c:v>
                </c:pt>
                <c:pt idx="23">
                  <c:v>147361.84735735154</c:v>
                </c:pt>
                <c:pt idx="24">
                  <c:v>162965.91105365986</c:v>
                </c:pt>
                <c:pt idx="25">
                  <c:v>180027.80341442706</c:v>
                </c:pt>
                <c:pt idx="26">
                  <c:v>198631.44840048856</c:v>
                </c:pt>
                <c:pt idx="27">
                  <c:v>218860.76997267967</c:v>
                </c:pt>
                <c:pt idx="28">
                  <c:v>240799.69209183572</c:v>
                </c:pt>
                <c:pt idx="29">
                  <c:v>264532.13871879212</c:v>
                </c:pt>
                <c:pt idx="30">
                  <c:v>290142.03381438437</c:v>
                </c:pt>
                <c:pt idx="31">
                  <c:v>317713.30133944761</c:v>
                </c:pt>
                <c:pt idx="32">
                  <c:v>347329.86525481741</c:v>
                </c:pt>
                <c:pt idx="33">
                  <c:v>379075.64952132897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27-497F-AC11-5254AD8849BD}"/>
            </c:ext>
          </c:extLst>
        </c:ser>
        <c:ser>
          <c:idx val="3"/>
          <c:order val="3"/>
          <c:tx>
            <c:strRef>
              <c:f>ЗП!$F$16</c:f>
              <c:strCache>
                <c:ptCount val="1"/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ЗП!$F$18:$F$51</c:f>
              <c:numCache>
                <c:formatCode>#,##0</c:formatCode>
                <c:ptCount val="34"/>
                <c:pt idx="0">
                  <c:v>10515.695446906377</c:v>
                </c:pt>
                <c:pt idx="1">
                  <c:v>15752.713051221217</c:v>
                </c:pt>
                <c:pt idx="2">
                  <c:v>20517.308220781524</c:v>
                </c:pt>
                <c:pt idx="3">
                  <c:v>24893.404916422667</c:v>
                </c:pt>
                <c:pt idx="4">
                  <c:v>28964.927098980006</c:v>
                </c:pt>
                <c:pt idx="5">
                  <c:v>32815.798729288901</c:v>
                </c:pt>
                <c:pt idx="6">
                  <c:v>36529.943768184748</c:v>
                </c:pt>
                <c:pt idx="7">
                  <c:v>40191.286176502879</c:v>
                </c:pt>
                <c:pt idx="8">
                  <c:v>43883.749915078675</c:v>
                </c:pt>
                <c:pt idx="9">
                  <c:v>47691.258944747511</c:v>
                </c:pt>
                <c:pt idx="10">
                  <c:v>51697.737226344747</c:v>
                </c:pt>
                <c:pt idx="11">
                  <c:v>55987.108720705728</c:v>
                </c:pt>
                <c:pt idx="12">
                  <c:v>60643.297388665858</c:v>
                </c:pt>
                <c:pt idx="13">
                  <c:v>65750.22719106049</c:v>
                </c:pt>
                <c:pt idx="14">
                  <c:v>71391.822088724963</c:v>
                </c:pt>
                <c:pt idx="15">
                  <c:v>77652.006042494701</c:v>
                </c:pt>
                <c:pt idx="16">
                  <c:v>84614.703013205028</c:v>
                </c:pt>
                <c:pt idx="17">
                  <c:v>92363.836961691297</c:v>
                </c:pt>
                <c:pt idx="18">
                  <c:v>100983.33184878892</c:v>
                </c:pt>
                <c:pt idx="19">
                  <c:v>110557.11163533325</c:v>
                </c:pt>
                <c:pt idx="20">
                  <c:v>121169.10028215962</c:v>
                </c:pt>
                <c:pt idx="21">
                  <c:v>132903.22175010343</c:v>
                </c:pt>
                <c:pt idx="22">
                  <c:v>145843.40000000002</c:v>
                </c:pt>
                <c:pt idx="23">
                  <c:v>160073.55899268479</c:v>
                </c:pt>
                <c:pt idx="24">
                  <c:v>175677.62268899311</c:v>
                </c:pt>
                <c:pt idx="25">
                  <c:v>192739.51504976032</c:v>
                </c:pt>
                <c:pt idx="26">
                  <c:v>211343.16003582181</c:v>
                </c:pt>
                <c:pt idx="27">
                  <c:v>231572.48160801292</c:v>
                </c:pt>
                <c:pt idx="28">
                  <c:v>253511.40372716897</c:v>
                </c:pt>
                <c:pt idx="29">
                  <c:v>277243.85035412537</c:v>
                </c:pt>
                <c:pt idx="30">
                  <c:v>302853.74544971762</c:v>
                </c:pt>
                <c:pt idx="31">
                  <c:v>330425.01297478087</c:v>
                </c:pt>
                <c:pt idx="32">
                  <c:v>360041.57689015067</c:v>
                </c:pt>
                <c:pt idx="33">
                  <c:v>391787.36115666223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27-497F-AC11-5254AD884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0977360"/>
        <c:axId val="760981936"/>
      </c:lineChart>
      <c:catAx>
        <c:axId val="760977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0981936"/>
        <c:crosses val="autoZero"/>
        <c:auto val="1"/>
        <c:lblAlgn val="ctr"/>
        <c:lblOffset val="100"/>
        <c:noMultiLvlLbl val="0"/>
      </c:catAx>
      <c:valAx>
        <c:axId val="76098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097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ЗП!$I$16:$I$17</c:f>
              <c:strCache>
                <c:ptCount val="2"/>
                <c:pt idx="0">
                  <c:v>Ошибка сорт.</c:v>
                </c:pt>
                <c:pt idx="1">
                  <c:v>Err 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ЗП!$I$18:$I$40</c:f>
              <c:numCache>
                <c:formatCode>#,##0</c:formatCode>
                <c:ptCount val="23"/>
                <c:pt idx="0">
                  <c:v>-5285.5929884900979</c:v>
                </c:pt>
                <c:pt idx="1">
                  <c:v>-5170.4816353164642</c:v>
                </c:pt>
                <c:pt idx="2">
                  <c:v>-4215.3948920390249</c:v>
                </c:pt>
                <c:pt idx="3">
                  <c:v>-3073.8219483626453</c:v>
                </c:pt>
                <c:pt idx="4">
                  <c:v>-2453.2586378127908</c:v>
                </c:pt>
                <c:pt idx="5">
                  <c:v>-2269.4713960606823</c:v>
                </c:pt>
                <c:pt idx="6">
                  <c:v>-2240.3882017485703</c:v>
                </c:pt>
                <c:pt idx="7">
                  <c:v>-2237.8697833721453</c:v>
                </c:pt>
                <c:pt idx="8">
                  <c:v>-2040.1119606582579</c:v>
                </c:pt>
                <c:pt idx="9">
                  <c:v>-1971.213201945764</c:v>
                </c:pt>
                <c:pt idx="10">
                  <c:v>-954.80310326027393</c:v>
                </c:pt>
                <c:pt idx="11">
                  <c:v>-895.53848274358461</c:v>
                </c:pt>
                <c:pt idx="12">
                  <c:v>55.181685151852435</c:v>
                </c:pt>
                <c:pt idx="13">
                  <c:v>61.962283465305518</c:v>
                </c:pt>
                <c:pt idx="14">
                  <c:v>139.310999039124</c:v>
                </c:pt>
                <c:pt idx="15">
                  <c:v>895.31260434845171</c:v>
                </c:pt>
                <c:pt idx="16">
                  <c:v>1145.8684546362892</c:v>
                </c:pt>
                <c:pt idx="17">
                  <c:v>2320.4156336381275</c:v>
                </c:pt>
                <c:pt idx="18">
                  <c:v>4035.3900563714778</c:v>
                </c:pt>
                <c:pt idx="19">
                  <c:v>4642.1749225978274</c:v>
                </c:pt>
                <c:pt idx="20">
                  <c:v>5229.2241551339685</c:v>
                </c:pt>
                <c:pt idx="21">
                  <c:v>6856.9867905844367</c:v>
                </c:pt>
                <c:pt idx="22">
                  <c:v>7426.1186468431551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6E-4C8D-A38B-FD8826D91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0176336"/>
        <c:axId val="830177168"/>
      </c:lineChart>
      <c:catAx>
        <c:axId val="8301763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0177168"/>
        <c:crosses val="autoZero"/>
        <c:auto val="1"/>
        <c:lblAlgn val="ctr"/>
        <c:lblOffset val="100"/>
        <c:noMultiLvlLbl val="0"/>
      </c:catAx>
      <c:valAx>
        <c:axId val="83017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017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ССЧ!$C$14</c:f>
              <c:strCache>
                <c:ptCount val="1"/>
                <c:pt idx="0">
                  <c:v> Численность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ССЧ!$C$16:$C$49</c:f>
              <c:numCache>
                <c:formatCode>#,##0</c:formatCode>
                <c:ptCount val="34"/>
                <c:pt idx="0">
                  <c:v>3013.1797778016089</c:v>
                </c:pt>
                <c:pt idx="1">
                  <c:v>3063.7503642895449</c:v>
                </c:pt>
                <c:pt idx="2">
                  <c:v>3114.3209507774804</c:v>
                </c:pt>
                <c:pt idx="3">
                  <c:v>3164.8915372654155</c:v>
                </c:pt>
                <c:pt idx="4">
                  <c:v>3262.6488048257374</c:v>
                </c:pt>
                <c:pt idx="5">
                  <c:v>3415.8645222520108</c:v>
                </c:pt>
                <c:pt idx="6">
                  <c:v>3564.3803710455763</c:v>
                </c:pt>
                <c:pt idx="7">
                  <c:v>3721.2849999999999</c:v>
                </c:pt>
                <c:pt idx="8">
                  <c:v>3722.31</c:v>
                </c:pt>
                <c:pt idx="9">
                  <c:v>3588.8969999999999</c:v>
                </c:pt>
                <c:pt idx="10">
                  <c:v>3517.73</c:v>
                </c:pt>
                <c:pt idx="11">
                  <c:v>3511.3829999999998</c:v>
                </c:pt>
                <c:pt idx="12">
                  <c:v>3511.895</c:v>
                </c:pt>
                <c:pt idx="13">
                  <c:v>3506.1019999999999</c:v>
                </c:pt>
                <c:pt idx="14">
                  <c:v>3420.6927000000001</c:v>
                </c:pt>
                <c:pt idx="15">
                  <c:v>4608.7519299999994</c:v>
                </c:pt>
                <c:pt idx="16">
                  <c:v>4690.2311</c:v>
                </c:pt>
                <c:pt idx="17">
                  <c:v>4692.8642</c:v>
                </c:pt>
                <c:pt idx="18">
                  <c:v>4732.6019299999998</c:v>
                </c:pt>
                <c:pt idx="19">
                  <c:v>4651.6728800000001</c:v>
                </c:pt>
                <c:pt idx="20">
                  <c:v>4634.6379999999999</c:v>
                </c:pt>
                <c:pt idx="21">
                  <c:v>4624.0249999999996</c:v>
                </c:pt>
                <c:pt idx="22">
                  <c:v>4571.1329999999998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E8-40BE-911F-39E68ADE5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0977360"/>
        <c:axId val="760981936"/>
      </c:lineChart>
      <c:catAx>
        <c:axId val="760977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0981936"/>
        <c:crosses val="autoZero"/>
        <c:auto val="1"/>
        <c:lblAlgn val="ctr"/>
        <c:lblOffset val="100"/>
        <c:noMultiLvlLbl val="0"/>
      </c:catAx>
      <c:valAx>
        <c:axId val="760981936"/>
        <c:scaling>
          <c:orientation val="minMax"/>
          <c:min val="3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097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ССЧ!$C$14:$C$15</c:f>
              <c:strCache>
                <c:ptCount val="2"/>
                <c:pt idx="0">
                  <c:v> Численность</c:v>
                </c:pt>
                <c:pt idx="1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ССЧ!$C$16:$C$49</c:f>
              <c:numCache>
                <c:formatCode>#,##0</c:formatCode>
                <c:ptCount val="34"/>
                <c:pt idx="0">
                  <c:v>3013.1797778016089</c:v>
                </c:pt>
                <c:pt idx="1">
                  <c:v>3063.7503642895449</c:v>
                </c:pt>
                <c:pt idx="2">
                  <c:v>3114.3209507774804</c:v>
                </c:pt>
                <c:pt idx="3">
                  <c:v>3164.8915372654155</c:v>
                </c:pt>
                <c:pt idx="4">
                  <c:v>3262.6488048257374</c:v>
                </c:pt>
                <c:pt idx="5">
                  <c:v>3415.8645222520108</c:v>
                </c:pt>
                <c:pt idx="6">
                  <c:v>3564.3803710455763</c:v>
                </c:pt>
                <c:pt idx="7">
                  <c:v>3721.2849999999999</c:v>
                </c:pt>
                <c:pt idx="8">
                  <c:v>3722.31</c:v>
                </c:pt>
                <c:pt idx="9">
                  <c:v>3588.8969999999999</c:v>
                </c:pt>
                <c:pt idx="10">
                  <c:v>3517.73</c:v>
                </c:pt>
                <c:pt idx="11">
                  <c:v>3511.3829999999998</c:v>
                </c:pt>
                <c:pt idx="12">
                  <c:v>3511.895</c:v>
                </c:pt>
                <c:pt idx="13">
                  <c:v>3506.1019999999999</c:v>
                </c:pt>
                <c:pt idx="14">
                  <c:v>3420.6927000000001</c:v>
                </c:pt>
                <c:pt idx="15">
                  <c:v>4608.7519299999994</c:v>
                </c:pt>
                <c:pt idx="16">
                  <c:v>4690.2311</c:v>
                </c:pt>
                <c:pt idx="17">
                  <c:v>4692.8642</c:v>
                </c:pt>
                <c:pt idx="18">
                  <c:v>4732.6019299999998</c:v>
                </c:pt>
                <c:pt idx="19">
                  <c:v>4651.6728800000001</c:v>
                </c:pt>
                <c:pt idx="20">
                  <c:v>4634.6379999999999</c:v>
                </c:pt>
                <c:pt idx="21">
                  <c:v>4624.0249999999996</c:v>
                </c:pt>
                <c:pt idx="22">
                  <c:v>4571.1329999999998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09-4119-87BE-4EB7B34EA723}"/>
            </c:ext>
          </c:extLst>
        </c:ser>
        <c:ser>
          <c:idx val="1"/>
          <c:order val="1"/>
          <c:tx>
            <c:strRef>
              <c:f>ССЧ!$D$14:$D$15</c:f>
              <c:strCache>
                <c:ptCount val="2"/>
                <c:pt idx="0">
                  <c:v>тренд</c:v>
                </c:pt>
                <c:pt idx="1">
                  <c:v>Y^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ССЧ!$D$16:$D$49</c:f>
              <c:numCache>
                <c:formatCode>#,##0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3158.9076865608245</c:v>
                </c:pt>
                <c:pt idx="8">
                  <c:v>3501.5888530838429</c:v>
                </c:pt>
                <c:pt idx="9">
                  <c:v>3702.0444852031906</c:v>
                </c:pt>
                <c:pt idx="10">
                  <c:v>3844.2700196068608</c:v>
                </c:pt>
                <c:pt idx="11">
                  <c:v>3954.588714699395</c:v>
                </c:pt>
                <c:pt idx="12">
                  <c:v>4044.7256517262085</c:v>
                </c:pt>
                <c:pt idx="13">
                  <c:v>4120.9353460956609</c:v>
                </c:pt>
                <c:pt idx="14">
                  <c:v>4186.9511861298797</c:v>
                </c:pt>
                <c:pt idx="15">
                  <c:v>4245.1812838455562</c:v>
                </c:pt>
                <c:pt idx="16">
                  <c:v>4297.2698812224135</c:v>
                </c:pt>
                <c:pt idx="17">
                  <c:v>4344.3897491420666</c:v>
                </c:pt>
                <c:pt idx="18">
                  <c:v>4387.4068182492265</c:v>
                </c:pt>
                <c:pt idx="19">
                  <c:v>4426.978685821523</c:v>
                </c:pt>
                <c:pt idx="20">
                  <c:v>4463.6165126186797</c:v>
                </c:pt>
                <c:pt idx="21">
                  <c:v>4497.7255133417611</c:v>
                </c:pt>
                <c:pt idx="22">
                  <c:v>4529.6323526528977</c:v>
                </c:pt>
                <c:pt idx="23">
                  <c:v>4559.604221119982</c:v>
                </c:pt>
                <c:pt idx="24">
                  <c:v>4587.8624503685751</c:v>
                </c:pt>
                <c:pt idx="25">
                  <c:v>4614.5924421728969</c:v>
                </c:pt>
                <c:pt idx="26">
                  <c:v>4639.9510477454314</c:v>
                </c:pt>
                <c:pt idx="27">
                  <c:v>4664.0721447380274</c:v>
                </c:pt>
                <c:pt idx="28">
                  <c:v>4687.0709156650846</c:v>
                </c:pt>
                <c:pt idx="29">
                  <c:v>4709.0471745015875</c:v>
                </c:pt>
                <c:pt idx="30">
                  <c:v>4730.0879847722454</c:v>
                </c:pt>
                <c:pt idx="31">
                  <c:v>4750.2697428379661</c:v>
                </c:pt>
                <c:pt idx="32">
                  <c:v>4769.6598523445409</c:v>
                </c:pt>
                <c:pt idx="33">
                  <c:v>4788.3180824879228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09-4119-87BE-4EB7B34EA723}"/>
            </c:ext>
          </c:extLst>
        </c:ser>
        <c:ser>
          <c:idx val="2"/>
          <c:order val="2"/>
          <c:tx>
            <c:strRef>
              <c:f>ССЧ!$E$14:$E$15</c:f>
              <c:strCache>
                <c:ptCount val="2"/>
                <c:pt idx="0">
                  <c:v>довер.интервал</c:v>
                </c:pt>
                <c:pt idx="1">
                  <c:v>низ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ССЧ!$E$16:$E$49</c:f>
              <c:numCache>
                <c:formatCode>#,##0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2567.6726794542665</c:v>
                </c:pt>
                <c:pt idx="8">
                  <c:v>2910.3538459772849</c:v>
                </c:pt>
                <c:pt idx="9">
                  <c:v>3110.8094780966326</c:v>
                </c:pt>
                <c:pt idx="10">
                  <c:v>3253.0350125003029</c:v>
                </c:pt>
                <c:pt idx="11">
                  <c:v>3363.3537075928371</c:v>
                </c:pt>
                <c:pt idx="12">
                  <c:v>3453.4906446196505</c:v>
                </c:pt>
                <c:pt idx="13">
                  <c:v>3529.7003389891029</c:v>
                </c:pt>
                <c:pt idx="14">
                  <c:v>3595.7161790233217</c:v>
                </c:pt>
                <c:pt idx="15">
                  <c:v>3653.9462767389982</c:v>
                </c:pt>
                <c:pt idx="16">
                  <c:v>3706.0348741158555</c:v>
                </c:pt>
                <c:pt idx="17">
                  <c:v>3753.1547420355087</c:v>
                </c:pt>
                <c:pt idx="18">
                  <c:v>3796.1718111426685</c:v>
                </c:pt>
                <c:pt idx="19">
                  <c:v>3835.743678714965</c:v>
                </c:pt>
                <c:pt idx="20">
                  <c:v>3872.3815055121217</c:v>
                </c:pt>
                <c:pt idx="21">
                  <c:v>3906.4905062352032</c:v>
                </c:pt>
                <c:pt idx="22">
                  <c:v>3938.3973455463397</c:v>
                </c:pt>
                <c:pt idx="23">
                  <c:v>3968.369214013424</c:v>
                </c:pt>
                <c:pt idx="24">
                  <c:v>3996.6274432620171</c:v>
                </c:pt>
                <c:pt idx="25">
                  <c:v>4023.3574350663389</c:v>
                </c:pt>
                <c:pt idx="26">
                  <c:v>4048.7160406388734</c:v>
                </c:pt>
                <c:pt idx="27">
                  <c:v>4072.8371376314694</c:v>
                </c:pt>
                <c:pt idx="28">
                  <c:v>4095.8359085585266</c:v>
                </c:pt>
                <c:pt idx="29">
                  <c:v>4117.81216739503</c:v>
                </c:pt>
                <c:pt idx="30">
                  <c:v>4138.8529776656878</c:v>
                </c:pt>
                <c:pt idx="31">
                  <c:v>4159.0347357314085</c:v>
                </c:pt>
                <c:pt idx="32">
                  <c:v>4178.4248452379834</c:v>
                </c:pt>
                <c:pt idx="33">
                  <c:v>4197.0830753813652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09-4119-87BE-4EB7B34EA723}"/>
            </c:ext>
          </c:extLst>
        </c:ser>
        <c:ser>
          <c:idx val="3"/>
          <c:order val="3"/>
          <c:tx>
            <c:strRef>
              <c:f>ССЧ!$F$14:$F$15</c:f>
              <c:strCache>
                <c:ptCount val="2"/>
                <c:pt idx="0">
                  <c:v>довер.интервал</c:v>
                </c:pt>
                <c:pt idx="1">
                  <c:v>верх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ССЧ!$F$16:$F$49</c:f>
              <c:numCache>
                <c:formatCode>#,##0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3750.1426936673824</c:v>
                </c:pt>
                <c:pt idx="8">
                  <c:v>4092.8238601904009</c:v>
                </c:pt>
                <c:pt idx="9">
                  <c:v>4293.2794923097481</c:v>
                </c:pt>
                <c:pt idx="10">
                  <c:v>4435.5050267134184</c:v>
                </c:pt>
                <c:pt idx="11">
                  <c:v>4545.823721805953</c:v>
                </c:pt>
                <c:pt idx="12">
                  <c:v>4635.9606588327661</c:v>
                </c:pt>
                <c:pt idx="13">
                  <c:v>4712.1703532022184</c:v>
                </c:pt>
                <c:pt idx="14">
                  <c:v>4778.1861932364372</c:v>
                </c:pt>
                <c:pt idx="15">
                  <c:v>4836.4162909521137</c:v>
                </c:pt>
                <c:pt idx="16">
                  <c:v>4888.504888328971</c:v>
                </c:pt>
                <c:pt idx="17">
                  <c:v>4935.6247562486242</c:v>
                </c:pt>
                <c:pt idx="18">
                  <c:v>4978.641825355784</c:v>
                </c:pt>
                <c:pt idx="19">
                  <c:v>5018.2136929280805</c:v>
                </c:pt>
                <c:pt idx="20">
                  <c:v>5054.8515197252373</c:v>
                </c:pt>
                <c:pt idx="21">
                  <c:v>5088.9605204483187</c:v>
                </c:pt>
                <c:pt idx="22">
                  <c:v>5120.8673597594552</c:v>
                </c:pt>
                <c:pt idx="23">
                  <c:v>5150.8392282265395</c:v>
                </c:pt>
                <c:pt idx="24">
                  <c:v>5179.0974574751326</c:v>
                </c:pt>
                <c:pt idx="25">
                  <c:v>5205.8274492794544</c:v>
                </c:pt>
                <c:pt idx="26">
                  <c:v>5231.186054851989</c:v>
                </c:pt>
                <c:pt idx="27">
                  <c:v>5255.307151844585</c:v>
                </c:pt>
                <c:pt idx="28">
                  <c:v>5278.3059227716421</c:v>
                </c:pt>
                <c:pt idx="29">
                  <c:v>5300.282181608145</c:v>
                </c:pt>
                <c:pt idx="30">
                  <c:v>5321.3229918788029</c:v>
                </c:pt>
                <c:pt idx="31">
                  <c:v>5341.5047499445236</c:v>
                </c:pt>
                <c:pt idx="32">
                  <c:v>5360.8948594510985</c:v>
                </c:pt>
                <c:pt idx="33">
                  <c:v>5379.5530895944803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09-4119-87BE-4EB7B34EA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0647928"/>
        <c:axId val="590646848"/>
      </c:lineChart>
      <c:catAx>
        <c:axId val="590647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0646848"/>
        <c:crosses val="autoZero"/>
        <c:auto val="1"/>
        <c:lblAlgn val="ctr"/>
        <c:lblOffset val="100"/>
        <c:noMultiLvlLbl val="0"/>
      </c:catAx>
      <c:valAx>
        <c:axId val="590646848"/>
        <c:scaling>
          <c:orientation val="minMax"/>
          <c:min val="35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0647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ССЧ!$D$14</c:f>
          <c:strCache>
            <c:ptCount val="1"/>
            <c:pt idx="0">
              <c:v>тренд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4.9248943486546654E-2"/>
                  <c:y val="-0.5072714348206474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val>
            <c:numRef>
              <c:f>ССЧ!$C$23:$C$38</c:f>
              <c:numCache>
                <c:formatCode>#,##0</c:formatCode>
                <c:ptCount val="16"/>
                <c:pt idx="0">
                  <c:v>3721.2849999999999</c:v>
                </c:pt>
                <c:pt idx="1">
                  <c:v>3722.31</c:v>
                </c:pt>
                <c:pt idx="2">
                  <c:v>3588.8969999999999</c:v>
                </c:pt>
                <c:pt idx="3">
                  <c:v>3517.73</c:v>
                </c:pt>
                <c:pt idx="4">
                  <c:v>3511.3829999999998</c:v>
                </c:pt>
                <c:pt idx="5">
                  <c:v>3511.895</c:v>
                </c:pt>
                <c:pt idx="6">
                  <c:v>3506.1019999999999</c:v>
                </c:pt>
                <c:pt idx="7">
                  <c:v>3420.6927000000001</c:v>
                </c:pt>
                <c:pt idx="8">
                  <c:v>4608.7519299999994</c:v>
                </c:pt>
                <c:pt idx="9">
                  <c:v>4690.2311</c:v>
                </c:pt>
                <c:pt idx="10">
                  <c:v>4692.8642</c:v>
                </c:pt>
                <c:pt idx="11">
                  <c:v>4732.6019299999998</c:v>
                </c:pt>
                <c:pt idx="12">
                  <c:v>4651.6728800000001</c:v>
                </c:pt>
                <c:pt idx="13">
                  <c:v>4634.6379999999999</c:v>
                </c:pt>
                <c:pt idx="14">
                  <c:v>4624.0249999999996</c:v>
                </c:pt>
                <c:pt idx="15">
                  <c:v>4571.1329999999998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0D-4B3B-A1CD-B512FF9CB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2917992"/>
        <c:axId val="582923032"/>
      </c:lineChart>
      <c:catAx>
        <c:axId val="582917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2923032"/>
        <c:crosses val="autoZero"/>
        <c:auto val="1"/>
        <c:lblAlgn val="ctr"/>
        <c:lblOffset val="100"/>
        <c:noMultiLvlLbl val="0"/>
      </c:catAx>
      <c:valAx>
        <c:axId val="582923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2917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ИТОГ!$G$1</c:f>
          <c:strCache>
            <c:ptCount val="1"/>
            <c:pt idx="0">
              <c:v> ВДС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ИТОГ!$G$1:$G$2</c:f>
              <c:strCache>
                <c:ptCount val="2"/>
                <c:pt idx="0">
                  <c:v> ВДС</c:v>
                </c:pt>
                <c:pt idx="1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ИТОГ!$G$3:$G$31</c:f>
              <c:numCache>
                <c:formatCode>#,##0</c:formatCode>
                <c:ptCount val="29"/>
                <c:pt idx="0">
                  <c:v>854871.14703622425</c:v>
                </c:pt>
                <c:pt idx="1">
                  <c:v>1139219.2493035407</c:v>
                </c:pt>
                <c:pt idx="2">
                  <c:v>1403738.508618192</c:v>
                </c:pt>
                <c:pt idx="3">
                  <c:v>1677617.7878271635</c:v>
                </c:pt>
                <c:pt idx="4">
                  <c:v>2080056.4881224297</c:v>
                </c:pt>
                <c:pt idx="5">
                  <c:v>2564917.6229515877</c:v>
                </c:pt>
                <c:pt idx="6">
                  <c:v>3296150.8327038502</c:v>
                </c:pt>
                <c:pt idx="7">
                  <c:v>3853809.5568073275</c:v>
                </c:pt>
                <c:pt idx="8">
                  <c:v>4239214.9484877475</c:v>
                </c:pt>
                <c:pt idx="9">
                  <c:v>4675803.1769923167</c:v>
                </c:pt>
                <c:pt idx="10">
                  <c:v>5864573.2429680433</c:v>
                </c:pt>
                <c:pt idx="11">
                  <c:v>6696500.3734088941</c:v>
                </c:pt>
                <c:pt idx="12">
                  <c:v>6933386.9000000004</c:v>
                </c:pt>
                <c:pt idx="13">
                  <c:v>7504676.2999999998</c:v>
                </c:pt>
                <c:pt idx="14">
                  <c:v>8005749.4000000004</c:v>
                </c:pt>
                <c:pt idx="15">
                  <c:v>8435287.0999999996</c:v>
                </c:pt>
                <c:pt idx="16">
                  <c:v>8889867.7000000011</c:v>
                </c:pt>
                <c:pt idx="17">
                  <c:v>9318440.1999999993</c:v>
                </c:pt>
                <c:pt idx="18">
                  <c:v>9987984.4000000004</c:v>
                </c:pt>
                <c:pt idx="19">
                  <c:v>12989466.85</c:v>
                </c:pt>
                <c:pt idx="20">
                  <c:v>15127767.050000001</c:v>
                </c:pt>
                <c:pt idx="21">
                  <c:v>16660493.5</c:v>
                </c:pt>
                <c:pt idx="22">
                  <c:v>20267549.700000003</c:v>
                </c:pt>
                <c:pt idx="23">
                  <c:v>22639157.185240481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C0-4E71-8918-7FD8DA1B8F64}"/>
            </c:ext>
          </c:extLst>
        </c:ser>
        <c:ser>
          <c:idx val="1"/>
          <c:order val="1"/>
          <c:tx>
            <c:strRef>
              <c:f>ИТОГ!$H$1:$H$2</c:f>
              <c:strCache>
                <c:ptCount val="2"/>
                <c:pt idx="0">
                  <c:v>Полином. Тренд</c:v>
                </c:pt>
                <c:pt idx="1">
                  <c:v>среднее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ИТОГ!$H$3:$H$31</c:f>
              <c:numCache>
                <c:formatCode>#,##0</c:formatCode>
                <c:ptCount val="29"/>
                <c:pt idx="0">
                  <c:v>-1508010.3443235662</c:v>
                </c:pt>
                <c:pt idx="1">
                  <c:v>-706204.01285895263</c:v>
                </c:pt>
                <c:pt idx="2">
                  <c:v>95602.318605660927</c:v>
                </c:pt>
                <c:pt idx="3">
                  <c:v>897408.65007027471</c:v>
                </c:pt>
                <c:pt idx="4">
                  <c:v>1699214.9815348885</c:v>
                </c:pt>
                <c:pt idx="5">
                  <c:v>2501021.3129995018</c:v>
                </c:pt>
                <c:pt idx="6">
                  <c:v>3302827.6444641156</c:v>
                </c:pt>
                <c:pt idx="7">
                  <c:v>4104633.9759287294</c:v>
                </c:pt>
                <c:pt idx="8">
                  <c:v>4906440.3073933432</c:v>
                </c:pt>
                <c:pt idx="9">
                  <c:v>5708246.638857957</c:v>
                </c:pt>
                <c:pt idx="10">
                  <c:v>6510052.9703225708</c:v>
                </c:pt>
                <c:pt idx="11">
                  <c:v>7311859.3017871836</c:v>
                </c:pt>
                <c:pt idx="12">
                  <c:v>8113665.6332517983</c:v>
                </c:pt>
                <c:pt idx="13">
                  <c:v>8915471.9647164121</c:v>
                </c:pt>
                <c:pt idx="14">
                  <c:v>9717278.2961810268</c:v>
                </c:pt>
                <c:pt idx="15">
                  <c:v>10519084.627645638</c:v>
                </c:pt>
                <c:pt idx="16">
                  <c:v>11320890.959110253</c:v>
                </c:pt>
                <c:pt idx="17">
                  <c:v>12122697.290574867</c:v>
                </c:pt>
                <c:pt idx="18">
                  <c:v>12924503.622039478</c:v>
                </c:pt>
                <c:pt idx="19">
                  <c:v>13726309.953504093</c:v>
                </c:pt>
                <c:pt idx="20">
                  <c:v>14528116.284968708</c:v>
                </c:pt>
                <c:pt idx="21">
                  <c:v>15329922.616433322</c:v>
                </c:pt>
                <c:pt idx="22">
                  <c:v>16131728.947897937</c:v>
                </c:pt>
                <c:pt idx="23">
                  <c:v>16933535.279362548</c:v>
                </c:pt>
                <c:pt idx="24">
                  <c:v>17735341.610827163</c:v>
                </c:pt>
                <c:pt idx="25">
                  <c:v>18537147.942291778</c:v>
                </c:pt>
                <c:pt idx="26">
                  <c:v>19338954.273756389</c:v>
                </c:pt>
                <c:pt idx="27">
                  <c:v>20140760.605221003</c:v>
                </c:pt>
                <c:pt idx="28">
                  <c:v>20942566.936685618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C0-4E71-8918-7FD8DA1B8F64}"/>
            </c:ext>
          </c:extLst>
        </c:ser>
        <c:ser>
          <c:idx val="2"/>
          <c:order val="2"/>
          <c:tx>
            <c:strRef>
              <c:f>ИТОГ!$I$1:$I$2</c:f>
              <c:strCache>
                <c:ptCount val="2"/>
                <c:pt idx="0">
                  <c:v>Канал: верх</c:v>
                </c:pt>
                <c:pt idx="1">
                  <c:v>макс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ИТОГ!$I$3:$I$31</c:f>
              <c:numCache>
                <c:formatCode>#,##0</c:formatCode>
                <c:ptCount val="29"/>
                <c:pt idx="0">
                  <c:v>3660719.4612882091</c:v>
                </c:pt>
                <c:pt idx="1">
                  <c:v>4134754.9869764438</c:v>
                </c:pt>
                <c:pt idx="2">
                  <c:v>4619590.0941487085</c:v>
                </c:pt>
                <c:pt idx="3">
                  <c:v>5117658.8640915193</c:v>
                </c:pt>
                <c:pt idx="4">
                  <c:v>5632028.6645279732</c:v>
                </c:pt>
                <c:pt idx="5">
                  <c:v>6166536.3084451258</c:v>
                </c:pt>
                <c:pt idx="6">
                  <c:v>6725902.5806937711</c:v>
                </c:pt>
                <c:pt idx="7">
                  <c:v>7315762.9015183616</c:v>
                </c:pt>
                <c:pt idx="8">
                  <c:v>7942510.3090535514</c:v>
                </c:pt>
                <c:pt idx="9">
                  <c:v>8612822.0387591943</c:v>
                </c:pt>
                <c:pt idx="10">
                  <c:v>9332792.8756184317</c:v>
                </c:pt>
                <c:pt idx="11">
                  <c:v>10106788.283478092</c:v>
                </c:pt>
                <c:pt idx="12">
                  <c:v>10936405.538547661</c:v>
                </c:pt>
                <c:pt idx="13">
                  <c:v>11820047.364617649</c:v>
                </c:pt>
                <c:pt idx="14">
                  <c:v>12753348.297841234</c:v>
                </c:pt>
                <c:pt idx="15">
                  <c:v>13730213.55323527</c:v>
                </c:pt>
                <c:pt idx="16">
                  <c:v>14743965.895339908</c:v>
                </c:pt>
                <c:pt idx="17">
                  <c:v>15788212.286020491</c:v>
                </c:pt>
                <c:pt idx="18">
                  <c:v>16857317.305032562</c:v>
                </c:pt>
                <c:pt idx="19">
                  <c:v>17946560.167525336</c:v>
                </c:pt>
                <c:pt idx="20">
                  <c:v>19052104.060511753</c:v>
                </c:pt>
                <c:pt idx="21">
                  <c:v>20170881.616268717</c:v>
                </c:pt>
                <c:pt idx="22">
                  <c:v>21300458.753509711</c:v>
                </c:pt>
                <c:pt idx="23">
                  <c:v>22438906.900721055</c:v>
                </c:pt>
                <c:pt idx="24">
                  <c:v>23584694.625956912</c:v>
                </c:pt>
                <c:pt idx="25">
                  <c:v>24736600.323144719</c:v>
                </c:pt>
                <c:pt idx="26">
                  <c:v>25893643.74541153</c:v>
                </c:pt>
                <c:pt idx="27">
                  <c:v>27055033.049787976</c:v>
                </c:pt>
                <c:pt idx="28">
                  <c:v>28220124.076693337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C0-4E71-8918-7FD8DA1B8F64}"/>
            </c:ext>
          </c:extLst>
        </c:ser>
        <c:ser>
          <c:idx val="3"/>
          <c:order val="3"/>
          <c:tx>
            <c:strRef>
              <c:f>ИТОГ!$J$1:$J$2</c:f>
              <c:strCache>
                <c:ptCount val="2"/>
                <c:pt idx="0">
                  <c:v>Канал: низ</c:v>
                </c:pt>
                <c:pt idx="1">
                  <c:v>мин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ИТОГ!$J$3:$J$31</c:f>
              <c:numCache>
                <c:formatCode>#,##0</c:formatCode>
                <c:ptCount val="29"/>
                <c:pt idx="0">
                  <c:v>-6676740.1499353414</c:v>
                </c:pt>
                <c:pt idx="1">
                  <c:v>-5547163.0126943486</c:v>
                </c:pt>
                <c:pt idx="2">
                  <c:v>-4428385.4569373857</c:v>
                </c:pt>
                <c:pt idx="3">
                  <c:v>-3322841.5639509703</c:v>
                </c:pt>
                <c:pt idx="4">
                  <c:v>-2233598.7014581966</c:v>
                </c:pt>
                <c:pt idx="5">
                  <c:v>-1164493.6824461222</c:v>
                </c:pt>
                <c:pt idx="6">
                  <c:v>-120247.29176553991</c:v>
                </c:pt>
                <c:pt idx="7">
                  <c:v>893505.05033909762</c:v>
                </c:pt>
                <c:pt idx="8">
                  <c:v>1870370.3057331354</c:v>
                </c:pt>
                <c:pt idx="9">
                  <c:v>2803671.2389567187</c:v>
                </c:pt>
                <c:pt idx="10">
                  <c:v>3687313.0650267089</c:v>
                </c:pt>
                <c:pt idx="11">
                  <c:v>4516930.3200962758</c:v>
                </c:pt>
                <c:pt idx="12">
                  <c:v>5290925.7279559365</c:v>
                </c:pt>
                <c:pt idx="13">
                  <c:v>6010896.5648151739</c:v>
                </c:pt>
                <c:pt idx="14">
                  <c:v>6681208.2945208196</c:v>
                </c:pt>
                <c:pt idx="15">
                  <c:v>7307955.7020560056</c:v>
                </c:pt>
                <c:pt idx="16">
                  <c:v>7897816.022880597</c:v>
                </c:pt>
                <c:pt idx="17">
                  <c:v>8457182.2951292433</c:v>
                </c:pt>
                <c:pt idx="18">
                  <c:v>8991689.9390463941</c:v>
                </c:pt>
                <c:pt idx="19">
                  <c:v>9506059.739482848</c:v>
                </c:pt>
                <c:pt idx="20">
                  <c:v>10004128.509425661</c:v>
                </c:pt>
                <c:pt idx="21">
                  <c:v>10488963.616597926</c:v>
                </c:pt>
                <c:pt idx="22">
                  <c:v>10962999.142286163</c:v>
                </c:pt>
                <c:pt idx="23">
                  <c:v>11428163.658004042</c:v>
                </c:pt>
                <c:pt idx="24">
                  <c:v>11885988.595697414</c:v>
                </c:pt>
                <c:pt idx="25">
                  <c:v>12337695.561438836</c:v>
                </c:pt>
                <c:pt idx="26">
                  <c:v>12784264.802101247</c:v>
                </c:pt>
                <c:pt idx="27">
                  <c:v>13226488.160654031</c:v>
                </c:pt>
                <c:pt idx="28">
                  <c:v>13665009.796677899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C0-4E71-8918-7FD8DA1B8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1114543"/>
        <c:axId val="341119951"/>
      </c:lineChart>
      <c:catAx>
        <c:axId val="341114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119951"/>
        <c:crosses val="autoZero"/>
        <c:auto val="1"/>
        <c:lblAlgn val="ctr"/>
        <c:lblOffset val="100"/>
        <c:noMultiLvlLbl val="0"/>
      </c:catAx>
      <c:valAx>
        <c:axId val="34111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114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ИТОГ!$K$1</c:f>
          <c:strCache>
            <c:ptCount val="1"/>
            <c:pt idx="0">
              <c:v>ОФ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ИТОГ!$K$1:$K$2</c:f>
              <c:strCache>
                <c:ptCount val="2"/>
                <c:pt idx="0">
                  <c:v>ОФ</c:v>
                </c:pt>
                <c:pt idx="1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ИТОГ!$K$3:$K$31</c:f>
              <c:numCache>
                <c:formatCode>#,##0</c:formatCode>
                <c:ptCount val="29"/>
                <c:pt idx="0">
                  <c:v>663998.76369988162</c:v>
                </c:pt>
                <c:pt idx="1">
                  <c:v>884858.70150511106</c:v>
                </c:pt>
                <c:pt idx="2">
                  <c:v>1090317.1051120984</c:v>
                </c:pt>
                <c:pt idx="3">
                  <c:v>1303045.6589160857</c:v>
                </c:pt>
                <c:pt idx="4">
                  <c:v>1615629.3744707303</c:v>
                </c:pt>
                <c:pt idx="5">
                  <c:v>1992232.5563758044</c:v>
                </c:pt>
                <c:pt idx="6">
                  <c:v>2560198.7919133157</c:v>
                </c:pt>
                <c:pt idx="7">
                  <c:v>2993345.5938084461</c:v>
                </c:pt>
                <c:pt idx="8">
                  <c:v>3292699.1332117636</c:v>
                </c:pt>
                <c:pt idx="9">
                  <c:v>3631807.6</c:v>
                </c:pt>
                <c:pt idx="10">
                  <c:v>6188755.7403909471</c:v>
                </c:pt>
                <c:pt idx="11">
                  <c:v>7066670.2263727253</c:v>
                </c:pt>
                <c:pt idx="12">
                  <c:v>7517411.2509606024</c:v>
                </c:pt>
                <c:pt idx="13">
                  <c:v>7806214.914021723</c:v>
                </c:pt>
                <c:pt idx="14">
                  <c:v>8342022.5787704289</c:v>
                </c:pt>
                <c:pt idx="15">
                  <c:v>8435287.0999999996</c:v>
                </c:pt>
                <c:pt idx="16">
                  <c:v>8889867.7000000011</c:v>
                </c:pt>
                <c:pt idx="17">
                  <c:v>9438926.0500000007</c:v>
                </c:pt>
                <c:pt idx="18">
                  <c:v>9987984.4000000004</c:v>
                </c:pt>
                <c:pt idx="19">
                  <c:v>10979479.5</c:v>
                </c:pt>
                <c:pt idx="20">
                  <c:v>13819986.5</c:v>
                </c:pt>
                <c:pt idx="21">
                  <c:v>16660493.5</c:v>
                </c:pt>
                <c:pt idx="22">
                  <c:v>20267549.700000003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05-47D3-B8D9-DF8BC7F729CE}"/>
            </c:ext>
          </c:extLst>
        </c:ser>
        <c:ser>
          <c:idx val="1"/>
          <c:order val="1"/>
          <c:tx>
            <c:strRef>
              <c:f>ИТОГ!$L$1:$L$2</c:f>
              <c:strCache>
                <c:ptCount val="2"/>
                <c:pt idx="0">
                  <c:v>Полином. Тренд</c:v>
                </c:pt>
                <c:pt idx="1">
                  <c:v>среднее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ИТОГ!$L$3:$L$31</c:f>
              <c:numCache>
                <c:formatCode>#,##0</c:formatCode>
                <c:ptCount val="29"/>
                <c:pt idx="0">
                  <c:v>934014.84084255784</c:v>
                </c:pt>
                <c:pt idx="1">
                  <c:v>1046221.4532003703</c:v>
                </c:pt>
                <c:pt idx="2">
                  <c:v>1218031.7742954073</c:v>
                </c:pt>
                <c:pt idx="3">
                  <c:v>1449445.8041276685</c:v>
                </c:pt>
                <c:pt idx="4">
                  <c:v>1740463.542697154</c:v>
                </c:pt>
                <c:pt idx="5">
                  <c:v>2091084.9900038638</c:v>
                </c:pt>
                <c:pt idx="6">
                  <c:v>2501310.146047798</c:v>
                </c:pt>
                <c:pt idx="7">
                  <c:v>2971139.010828956</c:v>
                </c:pt>
                <c:pt idx="8">
                  <c:v>3500571.5843473389</c:v>
                </c:pt>
                <c:pt idx="9">
                  <c:v>4089607.8666029461</c:v>
                </c:pt>
                <c:pt idx="10">
                  <c:v>4738247.8575957771</c:v>
                </c:pt>
                <c:pt idx="11">
                  <c:v>5446491.5573258325</c:v>
                </c:pt>
                <c:pt idx="12">
                  <c:v>6214338.9657931123</c:v>
                </c:pt>
                <c:pt idx="13">
                  <c:v>7041790.0829976164</c:v>
                </c:pt>
                <c:pt idx="14">
                  <c:v>7928844.9089393457</c:v>
                </c:pt>
                <c:pt idx="15">
                  <c:v>8875503.4436182976</c:v>
                </c:pt>
                <c:pt idx="16">
                  <c:v>9881765.6870344765</c:v>
                </c:pt>
                <c:pt idx="17">
                  <c:v>10947631.639187876</c:v>
                </c:pt>
                <c:pt idx="18">
                  <c:v>12073101.300078502</c:v>
                </c:pt>
                <c:pt idx="19">
                  <c:v>13258174.669706352</c:v>
                </c:pt>
                <c:pt idx="20">
                  <c:v>14502851.748071427</c:v>
                </c:pt>
                <c:pt idx="21">
                  <c:v>15807132.535173723</c:v>
                </c:pt>
                <c:pt idx="22">
                  <c:v>17171017.031013247</c:v>
                </c:pt>
                <c:pt idx="23">
                  <c:v>18594505.235589996</c:v>
                </c:pt>
                <c:pt idx="24">
                  <c:v>20077597.148903966</c:v>
                </c:pt>
                <c:pt idx="25">
                  <c:v>21620292.77095516</c:v>
                </c:pt>
                <c:pt idx="26">
                  <c:v>23222592.101743583</c:v>
                </c:pt>
                <c:pt idx="27">
                  <c:v>24884495.141269226</c:v>
                </c:pt>
                <c:pt idx="28">
                  <c:v>26606001.889532093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05-47D3-B8D9-DF8BC7F729CE}"/>
            </c:ext>
          </c:extLst>
        </c:ser>
        <c:ser>
          <c:idx val="2"/>
          <c:order val="2"/>
          <c:tx>
            <c:strRef>
              <c:f>ИТОГ!$M$1:$M$2</c:f>
              <c:strCache>
                <c:ptCount val="2"/>
                <c:pt idx="0">
                  <c:v>Канал: верх</c:v>
                </c:pt>
                <c:pt idx="1">
                  <c:v>макс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ИТОГ!$M$3:$M$31</c:f>
              <c:numCache>
                <c:formatCode>#,##0</c:formatCode>
                <c:ptCount val="29"/>
                <c:pt idx="0">
                  <c:v>4030547.5098293144</c:v>
                </c:pt>
                <c:pt idx="1">
                  <c:v>4142754.1221871264</c:v>
                </c:pt>
                <c:pt idx="2">
                  <c:v>4314564.4432821637</c:v>
                </c:pt>
                <c:pt idx="3">
                  <c:v>4545978.4731144253</c:v>
                </c:pt>
                <c:pt idx="4">
                  <c:v>4836996.2116839103</c:v>
                </c:pt>
                <c:pt idx="5">
                  <c:v>5187617.6589906197</c:v>
                </c:pt>
                <c:pt idx="6">
                  <c:v>5597842.8150345543</c:v>
                </c:pt>
                <c:pt idx="7">
                  <c:v>6067671.6798157124</c:v>
                </c:pt>
                <c:pt idx="8">
                  <c:v>6597104.2533340957</c:v>
                </c:pt>
                <c:pt idx="9">
                  <c:v>7186140.5355897024</c:v>
                </c:pt>
                <c:pt idx="10">
                  <c:v>7834780.5265825335</c:v>
                </c:pt>
                <c:pt idx="11">
                  <c:v>8543024.2263125889</c:v>
                </c:pt>
                <c:pt idx="12">
                  <c:v>9310871.6347798686</c:v>
                </c:pt>
                <c:pt idx="13">
                  <c:v>10138322.751984373</c:v>
                </c:pt>
                <c:pt idx="14">
                  <c:v>11025377.577926103</c:v>
                </c:pt>
                <c:pt idx="15">
                  <c:v>11972036.112605054</c:v>
                </c:pt>
                <c:pt idx="16">
                  <c:v>12978298.356021233</c:v>
                </c:pt>
                <c:pt idx="17">
                  <c:v>14044164.308174632</c:v>
                </c:pt>
                <c:pt idx="18">
                  <c:v>15169633.969065258</c:v>
                </c:pt>
                <c:pt idx="19">
                  <c:v>16354707.338693108</c:v>
                </c:pt>
                <c:pt idx="20">
                  <c:v>17599384.417058185</c:v>
                </c:pt>
                <c:pt idx="21">
                  <c:v>18903665.204160482</c:v>
                </c:pt>
                <c:pt idx="22">
                  <c:v>20267549.700000003</c:v>
                </c:pt>
                <c:pt idx="23">
                  <c:v>21691037.904576752</c:v>
                </c:pt>
                <c:pt idx="24">
                  <c:v>23174129.817890722</c:v>
                </c:pt>
                <c:pt idx="25">
                  <c:v>24716825.439941917</c:v>
                </c:pt>
                <c:pt idx="26">
                  <c:v>26319124.770730339</c:v>
                </c:pt>
                <c:pt idx="27">
                  <c:v>27981027.810255982</c:v>
                </c:pt>
                <c:pt idx="28">
                  <c:v>29702534.558518849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05-47D3-B8D9-DF8BC7F729CE}"/>
            </c:ext>
          </c:extLst>
        </c:ser>
        <c:ser>
          <c:idx val="3"/>
          <c:order val="3"/>
          <c:tx>
            <c:strRef>
              <c:f>ИТОГ!$N$1:$N$2</c:f>
              <c:strCache>
                <c:ptCount val="2"/>
                <c:pt idx="0">
                  <c:v>Канал: низ</c:v>
                </c:pt>
                <c:pt idx="1">
                  <c:v>мин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ИТОГ!$N$3:$N$31</c:f>
              <c:numCache>
                <c:formatCode>#,##0</c:formatCode>
                <c:ptCount val="29"/>
                <c:pt idx="0">
                  <c:v>-1344680.3288637942</c:v>
                </c:pt>
                <c:pt idx="1">
                  <c:v>-1232473.7165059817</c:v>
                </c:pt>
                <c:pt idx="2">
                  <c:v>-1060663.3954109447</c:v>
                </c:pt>
                <c:pt idx="3">
                  <c:v>-829249.36557868356</c:v>
                </c:pt>
                <c:pt idx="4">
                  <c:v>-538231.62700919807</c:v>
                </c:pt>
                <c:pt idx="5">
                  <c:v>-187610.17970248824</c:v>
                </c:pt>
                <c:pt idx="6">
                  <c:v>222614.97634144593</c:v>
                </c:pt>
                <c:pt idx="7">
                  <c:v>692443.84112260398</c:v>
                </c:pt>
                <c:pt idx="8">
                  <c:v>1221876.4146409868</c:v>
                </c:pt>
                <c:pt idx="9">
                  <c:v>1810912.696896594</c:v>
                </c:pt>
                <c:pt idx="10">
                  <c:v>2459552.6878894251</c:v>
                </c:pt>
                <c:pt idx="11">
                  <c:v>3167796.3876194805</c:v>
                </c:pt>
                <c:pt idx="12">
                  <c:v>3935643.7960867602</c:v>
                </c:pt>
                <c:pt idx="13">
                  <c:v>4763094.9132912643</c:v>
                </c:pt>
                <c:pt idx="14">
                  <c:v>5650149.7392329937</c:v>
                </c:pt>
                <c:pt idx="15">
                  <c:v>6596808.2739119455</c:v>
                </c:pt>
                <c:pt idx="16">
                  <c:v>7603070.5173281245</c:v>
                </c:pt>
                <c:pt idx="17">
                  <c:v>8668936.4694815241</c:v>
                </c:pt>
                <c:pt idx="18">
                  <c:v>9794406.1303721499</c:v>
                </c:pt>
                <c:pt idx="19">
                  <c:v>10979479.5</c:v>
                </c:pt>
                <c:pt idx="20">
                  <c:v>12224156.578365074</c:v>
                </c:pt>
                <c:pt idx="21">
                  <c:v>13528437.365467371</c:v>
                </c:pt>
                <c:pt idx="22">
                  <c:v>14892321.861306895</c:v>
                </c:pt>
                <c:pt idx="23">
                  <c:v>16315810.065883644</c:v>
                </c:pt>
                <c:pt idx="24">
                  <c:v>17798901.979197614</c:v>
                </c:pt>
                <c:pt idx="25">
                  <c:v>19341597.601248808</c:v>
                </c:pt>
                <c:pt idx="26">
                  <c:v>20943896.932037231</c:v>
                </c:pt>
                <c:pt idx="27">
                  <c:v>22605799.971562874</c:v>
                </c:pt>
                <c:pt idx="28">
                  <c:v>24327306.719825741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05-47D3-B8D9-DF8BC7F72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1114543"/>
        <c:axId val="341119951"/>
      </c:lineChart>
      <c:catAx>
        <c:axId val="341114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119951"/>
        <c:crosses val="autoZero"/>
        <c:auto val="1"/>
        <c:lblAlgn val="ctr"/>
        <c:lblOffset val="100"/>
        <c:noMultiLvlLbl val="0"/>
      </c:catAx>
      <c:valAx>
        <c:axId val="34111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114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ИТОГ!$C$1</c:f>
          <c:strCache>
            <c:ptCount val="1"/>
            <c:pt idx="0">
              <c:v> ВВП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ИТОГ!$C$1:$C$2</c:f>
              <c:strCache>
                <c:ptCount val="2"/>
                <c:pt idx="0">
                  <c:v> ВВП</c:v>
                </c:pt>
                <c:pt idx="1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ИТОГ!$C$3:$C$31</c:f>
              <c:numCache>
                <c:formatCode>#,##0</c:formatCode>
                <c:ptCount val="29"/>
                <c:pt idx="0">
                  <c:v>1523670.1312683504</c:v>
                </c:pt>
                <c:pt idx="1">
                  <c:v>1899714.2822209885</c:v>
                </c:pt>
                <c:pt idx="2">
                  <c:v>2271976.8034374709</c:v>
                </c:pt>
                <c:pt idx="3">
                  <c:v>2745199.6299384595</c:v>
                </c:pt>
                <c:pt idx="4">
                  <c:v>3476075.5445336094</c:v>
                </c:pt>
                <c:pt idx="5">
                  <c:v>4183589.0473623835</c:v>
                </c:pt>
                <c:pt idx="6">
                  <c:v>5380452.4239379605</c:v>
                </c:pt>
                <c:pt idx="7">
                  <c:v>5857652.2365358304</c:v>
                </c:pt>
                <c:pt idx="8">
                  <c:v>6511019.5831007604</c:v>
                </c:pt>
                <c:pt idx="9">
                  <c:v>7448243.4494492188</c:v>
                </c:pt>
                <c:pt idx="10">
                  <c:v>8915955.3337932099</c:v>
                </c:pt>
                <c:pt idx="11">
                  <c:v>10017461.84195617</c:v>
                </c:pt>
                <c:pt idx="12">
                  <c:v>9925208.0999999996</c:v>
                </c:pt>
                <c:pt idx="13">
                  <c:v>10706582.1</c:v>
                </c:pt>
                <c:pt idx="14">
                  <c:v>11852881.700000001</c:v>
                </c:pt>
                <c:pt idx="15">
                  <c:v>12766002.800000001</c:v>
                </c:pt>
                <c:pt idx="16">
                  <c:v>13515794</c:v>
                </c:pt>
                <c:pt idx="17">
                  <c:v>13615271.9</c:v>
                </c:pt>
                <c:pt idx="18">
                  <c:v>14544325.699999999</c:v>
                </c:pt>
                <c:pt idx="19">
                  <c:v>16406490.399999999</c:v>
                </c:pt>
                <c:pt idx="20">
                  <c:v>19738622.600000001</c:v>
                </c:pt>
                <c:pt idx="21">
                  <c:v>24340433.200000003</c:v>
                </c:pt>
                <c:pt idx="22">
                  <c:v>29177253.5</c:v>
                </c:pt>
                <c:pt idx="23">
                  <c:v>32463740.899999999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BB-45B0-B2F9-FFAAF56814BF}"/>
            </c:ext>
          </c:extLst>
        </c:ser>
        <c:ser>
          <c:idx val="1"/>
          <c:order val="1"/>
          <c:tx>
            <c:strRef>
              <c:f>ИТОГ!$D$1:$D$2</c:f>
              <c:strCache>
                <c:ptCount val="2"/>
                <c:pt idx="0">
                  <c:v>Полином. Тренд</c:v>
                </c:pt>
                <c:pt idx="1">
                  <c:v>среднее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ИТОГ!$D$3:$D$31</c:f>
              <c:numCache>
                <c:formatCode>#,##0</c:formatCode>
                <c:ptCount val="29"/>
                <c:pt idx="0">
                  <c:v>891869.81511473912</c:v>
                </c:pt>
                <c:pt idx="1">
                  <c:v>1463084.8104772549</c:v>
                </c:pt>
                <c:pt idx="2">
                  <c:v>2068779.5910416998</c:v>
                </c:pt>
                <c:pt idx="3">
                  <c:v>2710540.5421868879</c:v>
                </c:pt>
                <c:pt idx="4">
                  <c:v>3390019.1952395183</c:v>
                </c:pt>
                <c:pt idx="5">
                  <c:v>4108934.7396936733</c:v>
                </c:pt>
                <c:pt idx="6">
                  <c:v>4869076.6285112211</c:v>
                </c:pt>
                <c:pt idx="7">
                  <c:v>5672307.2798576858</c:v>
                </c:pt>
                <c:pt idx="8">
                  <c:v>6520564.8787466129</c:v>
                </c:pt>
                <c:pt idx="9">
                  <c:v>7415866.2821880588</c:v>
                </c:pt>
                <c:pt idx="10">
                  <c:v>8360310.0315636313</c:v>
                </c:pt>
                <c:pt idx="11">
                  <c:v>9356079.4760818202</c:v>
                </c:pt>
                <c:pt idx="12">
                  <c:v>10405446.011303117</c:v>
                </c:pt>
                <c:pt idx="13">
                  <c:v>11510772.436864944</c:v>
                </c:pt>
                <c:pt idx="14">
                  <c:v>12674516.437681872</c:v>
                </c:pt>
                <c:pt idx="15">
                  <c:v>13899234.193046965</c:v>
                </c:pt>
                <c:pt idx="16">
                  <c:v>15187584.118215792</c:v>
                </c:pt>
                <c:pt idx="17">
                  <c:v>16542330.743215716</c:v>
                </c:pt>
                <c:pt idx="18">
                  <c:v>17966348.733789671</c:v>
                </c:pt>
                <c:pt idx="19">
                  <c:v>19462627.059556011</c:v>
                </c:pt>
                <c:pt idx="20">
                  <c:v>21034273.314644471</c:v>
                </c:pt>
                <c:pt idx="21">
                  <c:v>22684518.196252804</c:v>
                </c:pt>
                <c:pt idx="22">
                  <c:v>24416720.146759458</c:v>
                </c:pt>
                <c:pt idx="23">
                  <c:v>26234370.165225357</c:v>
                </c:pt>
                <c:pt idx="24">
                  <c:v>28141096.794322181</c:v>
                </c:pt>
                <c:pt idx="25">
                  <c:v>30140671.288935777</c:v>
                </c:pt>
                <c:pt idx="26">
                  <c:v>32237012.972912345</c:v>
                </c:pt>
                <c:pt idx="27">
                  <c:v>34434194.790641062</c:v>
                </c:pt>
                <c:pt idx="28">
                  <c:v>36736449.060401015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BB-45B0-B2F9-FFAAF56814BF}"/>
            </c:ext>
          </c:extLst>
        </c:ser>
        <c:ser>
          <c:idx val="2"/>
          <c:order val="2"/>
          <c:tx>
            <c:strRef>
              <c:f>ИТОГ!$E$1:$E$2</c:f>
              <c:strCache>
                <c:ptCount val="2"/>
                <c:pt idx="0">
                  <c:v>Канал: верх</c:v>
                </c:pt>
                <c:pt idx="1">
                  <c:v>макс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ИТОГ!$E$3:$E$31</c:f>
              <c:numCache>
                <c:formatCode>#,##0</c:formatCode>
                <c:ptCount val="29"/>
                <c:pt idx="0">
                  <c:v>3739941.0803154707</c:v>
                </c:pt>
                <c:pt idx="1">
                  <c:v>4213046.8077561511</c:v>
                </c:pt>
                <c:pt idx="2">
                  <c:v>4718163.99984763</c:v>
                </c:pt>
                <c:pt idx="3">
                  <c:v>5258485.370482346</c:v>
                </c:pt>
                <c:pt idx="4">
                  <c:v>5837861.6182303559</c:v>
                </c:pt>
                <c:pt idx="5">
                  <c:v>6460967.4171804525</c:v>
                </c:pt>
                <c:pt idx="6">
                  <c:v>7133475.9862706047</c:v>
                </c:pt>
                <c:pt idx="7">
                  <c:v>7862198.9157687509</c:v>
                </c:pt>
                <c:pt idx="8">
                  <c:v>8655107.9800591394</c:v>
                </c:pt>
                <c:pt idx="9">
                  <c:v>9521118.1844831277</c:v>
                </c:pt>
                <c:pt idx="10">
                  <c:v>10469523.531359868</c:v>
                </c:pt>
                <c:pt idx="11">
                  <c:v>11509102.738387467</c:v>
                </c:pt>
                <c:pt idx="12">
                  <c:v>12647143.853577789</c:v>
                </c:pt>
                <c:pt idx="13">
                  <c:v>13888801.353981158</c:v>
                </c:pt>
                <c:pt idx="14">
                  <c:v>15237079.271344533</c:v>
                </c:pt>
                <c:pt idx="15">
                  <c:v>16693377.976902718</c:v>
                </c:pt>
                <c:pt idx="16">
                  <c:v>18258272.037383951</c:v>
                </c:pt>
                <c:pt idx="17">
                  <c:v>19932196.813244045</c:v>
                </c:pt>
                <c:pt idx="18">
                  <c:v>21715898.977094799</c:v>
                </c:pt>
                <c:pt idx="19">
                  <c:v>23610660.716225568</c:v>
                </c:pt>
                <c:pt idx="20">
                  <c:v>25618369.899447113</c:v>
                </c:pt>
                <c:pt idx="21">
                  <c:v>27741507.172045324</c:v>
                </c:pt>
                <c:pt idx="22">
                  <c:v>29983098.189460117</c:v>
                </c:pt>
                <c:pt idx="23">
                  <c:v>32346657.666376326</c:v>
                </c:pt>
                <c:pt idx="24">
                  <c:v>34836137.655886173</c:v>
                </c:pt>
                <c:pt idx="25">
                  <c:v>37455884.586404614</c:v>
                </c:pt>
                <c:pt idx="26">
                  <c:v>40210605.769911781</c:v>
                </c:pt>
                <c:pt idx="27">
                  <c:v>43105344.510163926</c:v>
                </c:pt>
                <c:pt idx="28">
                  <c:v>46145462.450511649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BB-45B0-B2F9-FFAAF56814BF}"/>
            </c:ext>
          </c:extLst>
        </c:ser>
        <c:ser>
          <c:idx val="3"/>
          <c:order val="3"/>
          <c:tx>
            <c:strRef>
              <c:f>ИТОГ!$F$1:$F$2</c:f>
              <c:strCache>
                <c:ptCount val="2"/>
                <c:pt idx="0">
                  <c:v>Канал: низ</c:v>
                </c:pt>
                <c:pt idx="1">
                  <c:v>мин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ИТОГ!$F$3:$F$31</c:f>
              <c:numCache>
                <c:formatCode>#,##0</c:formatCode>
                <c:ptCount val="29"/>
                <c:pt idx="0">
                  <c:v>-1956201.4500859925</c:v>
                </c:pt>
                <c:pt idx="1">
                  <c:v>-1286877.1868016412</c:v>
                </c:pt>
                <c:pt idx="2">
                  <c:v>-580604.81776423042</c:v>
                </c:pt>
                <c:pt idx="3">
                  <c:v>162595.71389143006</c:v>
                </c:pt>
                <c:pt idx="4">
                  <c:v>942176.77224868082</c:v>
                </c:pt>
                <c:pt idx="5">
                  <c:v>1756902.0622068932</c:v>
                </c:pt>
                <c:pt idx="6">
                  <c:v>2604677.2707518386</c:v>
                </c:pt>
                <c:pt idx="7">
                  <c:v>3482415.6439466206</c:v>
                </c:pt>
                <c:pt idx="8">
                  <c:v>4386021.7774340864</c:v>
                </c:pt>
                <c:pt idx="9">
                  <c:v>5310614.37989299</c:v>
                </c:pt>
                <c:pt idx="10">
                  <c:v>6251096.5317673925</c:v>
                </c:pt>
                <c:pt idx="11">
                  <c:v>7203056.213776174</c:v>
                </c:pt>
                <c:pt idx="12">
                  <c:v>8163748.1690284451</c:v>
                </c:pt>
                <c:pt idx="13">
                  <c:v>9132743.5197487306</c:v>
                </c:pt>
                <c:pt idx="14">
                  <c:v>10111953.60401921</c:v>
                </c:pt>
                <c:pt idx="15">
                  <c:v>11105090.40919121</c:v>
                </c:pt>
                <c:pt idx="16">
                  <c:v>12116896.199047633</c:v>
                </c:pt>
                <c:pt idx="17">
                  <c:v>13152464.67318739</c:v>
                </c:pt>
                <c:pt idx="18">
                  <c:v>14216798.490484538</c:v>
                </c:pt>
                <c:pt idx="19">
                  <c:v>15314593.402886452</c:v>
                </c:pt>
                <c:pt idx="20">
                  <c:v>16450176.729841826</c:v>
                </c:pt>
                <c:pt idx="21">
                  <c:v>17627529.220460288</c:v>
                </c:pt>
                <c:pt idx="22">
                  <c:v>18850342.104058798</c:v>
                </c:pt>
                <c:pt idx="23">
                  <c:v>20122082.664074387</c:v>
                </c:pt>
                <c:pt idx="24">
                  <c:v>21446055.93275819</c:v>
                </c:pt>
                <c:pt idx="25">
                  <c:v>22825457.991466932</c:v>
                </c:pt>
                <c:pt idx="26">
                  <c:v>24263420.175912913</c:v>
                </c:pt>
                <c:pt idx="27">
                  <c:v>25763045.071118195</c:v>
                </c:pt>
                <c:pt idx="28">
                  <c:v>27327435.670290373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BB-45B0-B2F9-FFAAF5681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1114543"/>
        <c:axId val="341119951"/>
      </c:lineChart>
      <c:catAx>
        <c:axId val="341114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119951"/>
        <c:crosses val="autoZero"/>
        <c:auto val="1"/>
        <c:lblAlgn val="ctr"/>
        <c:lblOffset val="100"/>
        <c:noMultiLvlLbl val="0"/>
      </c:catAx>
      <c:valAx>
        <c:axId val="34111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114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ИТОГ!$O$1</c:f>
          <c:strCache>
            <c:ptCount val="1"/>
            <c:pt idx="0">
              <c:v>З/П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ИТОГ!$O$1:$O$2</c:f>
              <c:strCache>
                <c:ptCount val="2"/>
                <c:pt idx="0">
                  <c:v>З/П</c:v>
                </c:pt>
                <c:pt idx="1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ИТОГ!$O$3:$O$31</c:f>
              <c:numCache>
                <c:formatCode>#,##0</c:formatCode>
                <c:ptCount val="29"/>
                <c:pt idx="0">
                  <c:v>7124.9668564346994</c:v>
                </c:pt>
                <c:pt idx="1">
                  <c:v>9472.4628590143511</c:v>
                </c:pt>
                <c:pt idx="2">
                  <c:v>10821.718177877687</c:v>
                </c:pt>
                <c:pt idx="3">
                  <c:v>15014.027631766721</c:v>
                </c:pt>
                <c:pt idx="4">
                  <c:v>18464.986503774206</c:v>
                </c:pt>
                <c:pt idx="5">
                  <c:v>23149.291880697179</c:v>
                </c:pt>
                <c:pt idx="6">
                  <c:v>29243.136120380714</c:v>
                </c:pt>
                <c:pt idx="7">
                  <c:v>32827.12981312503</c:v>
                </c:pt>
                <c:pt idx="8">
                  <c:v>34417.519307577262</c:v>
                </c:pt>
                <c:pt idx="9">
                  <c:v>38027.270514532211</c:v>
                </c:pt>
                <c:pt idx="10">
                  <c:v>48913.793502099419</c:v>
                </c:pt>
                <c:pt idx="11">
                  <c:v>55417.97686444701</c:v>
                </c:pt>
                <c:pt idx="12">
                  <c:v>58446.402896956672</c:v>
                </c:pt>
                <c:pt idx="13">
                  <c:v>57428.570061473758</c:v>
                </c:pt>
                <c:pt idx="14">
                  <c:v>59750.30854984279</c:v>
                </c:pt>
                <c:pt idx="15">
                  <c:v>71121.2</c:v>
                </c:pt>
                <c:pt idx="16">
                  <c:v>79509</c:v>
                </c:pt>
                <c:pt idx="17">
                  <c:v>84992.9</c:v>
                </c:pt>
                <c:pt idx="18">
                  <c:v>91586</c:v>
                </c:pt>
                <c:pt idx="19">
                  <c:v>97845.4</c:v>
                </c:pt>
                <c:pt idx="20">
                  <c:v>108572.5</c:v>
                </c:pt>
                <c:pt idx="21">
                  <c:v>124522.3</c:v>
                </c:pt>
                <c:pt idx="22">
                  <c:v>145843.40000000002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12-44A4-B240-C6E27454BFFD}"/>
            </c:ext>
          </c:extLst>
        </c:ser>
        <c:ser>
          <c:idx val="1"/>
          <c:order val="1"/>
          <c:tx>
            <c:strRef>
              <c:f>ИТОГ!$P$1:$P$2</c:f>
              <c:strCache>
                <c:ptCount val="2"/>
                <c:pt idx="0">
                  <c:v>Полином. Тренд</c:v>
                </c:pt>
                <c:pt idx="1">
                  <c:v>среднее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ИТОГ!$P$3:$P$31</c:f>
              <c:numCache>
                <c:formatCode>#,##0</c:formatCode>
                <c:ptCount val="29"/>
                <c:pt idx="0">
                  <c:v>3089.5768000632215</c:v>
                </c:pt>
                <c:pt idx="1">
                  <c:v>8326.5944043780619</c:v>
                </c:pt>
                <c:pt idx="2">
                  <c:v>13091.189573938369</c:v>
                </c:pt>
                <c:pt idx="3">
                  <c:v>17467.286269579512</c:v>
                </c:pt>
                <c:pt idx="4">
                  <c:v>21538.808452136851</c:v>
                </c:pt>
                <c:pt idx="5">
                  <c:v>25389.68008244575</c:v>
                </c:pt>
                <c:pt idx="6">
                  <c:v>29103.82512134159</c:v>
                </c:pt>
                <c:pt idx="7">
                  <c:v>32765.167529659724</c:v>
                </c:pt>
                <c:pt idx="8">
                  <c:v>36457.63126823552</c:v>
                </c:pt>
                <c:pt idx="9">
                  <c:v>40265.140297904356</c:v>
                </c:pt>
                <c:pt idx="10">
                  <c:v>44271.618579501592</c:v>
                </c:pt>
                <c:pt idx="11">
                  <c:v>48560.990073862573</c:v>
                </c:pt>
                <c:pt idx="12">
                  <c:v>53217.178741822703</c:v>
                </c:pt>
                <c:pt idx="13">
                  <c:v>58324.108544217343</c:v>
                </c:pt>
                <c:pt idx="14">
                  <c:v>63965.703441881815</c:v>
                </c:pt>
                <c:pt idx="15">
                  <c:v>70225.887395651545</c:v>
                </c:pt>
                <c:pt idx="16">
                  <c:v>77188.584366361873</c:v>
                </c:pt>
                <c:pt idx="17">
                  <c:v>84937.718314848142</c:v>
                </c:pt>
                <c:pt idx="18">
                  <c:v>93557.213201945764</c:v>
                </c:pt>
                <c:pt idx="19">
                  <c:v>103130.99298849009</c:v>
                </c:pt>
                <c:pt idx="20">
                  <c:v>113742.98163531646</c:v>
                </c:pt>
                <c:pt idx="21">
                  <c:v>125477.10310326028</c:v>
                </c:pt>
                <c:pt idx="22">
                  <c:v>138417.28135315687</c:v>
                </c:pt>
                <c:pt idx="23">
                  <c:v>152647.44034584163</c:v>
                </c:pt>
                <c:pt idx="24">
                  <c:v>168251.50404214996</c:v>
                </c:pt>
                <c:pt idx="25">
                  <c:v>185313.39640291716</c:v>
                </c:pt>
                <c:pt idx="26">
                  <c:v>203917.04138897866</c:v>
                </c:pt>
                <c:pt idx="27">
                  <c:v>224146.36296116977</c:v>
                </c:pt>
                <c:pt idx="28">
                  <c:v>246085.28508032582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12-44A4-B240-C6E27454BFFD}"/>
            </c:ext>
          </c:extLst>
        </c:ser>
        <c:ser>
          <c:idx val="2"/>
          <c:order val="2"/>
          <c:tx>
            <c:strRef>
              <c:f>ИТОГ!$Q$1:$Q$2</c:f>
              <c:strCache>
                <c:ptCount val="2"/>
                <c:pt idx="0">
                  <c:v>Канал: верх</c:v>
                </c:pt>
                <c:pt idx="1">
                  <c:v>макс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ИТОГ!$Q$3:$Q$31</c:f>
              <c:numCache>
                <c:formatCode>#,##0</c:formatCode>
                <c:ptCount val="29"/>
                <c:pt idx="0">
                  <c:v>10515.695446906377</c:v>
                </c:pt>
                <c:pt idx="1">
                  <c:v>15752.713051221217</c:v>
                </c:pt>
                <c:pt idx="2">
                  <c:v>20517.308220781524</c:v>
                </c:pt>
                <c:pt idx="3">
                  <c:v>24893.404916422667</c:v>
                </c:pt>
                <c:pt idx="4">
                  <c:v>28964.927098980006</c:v>
                </c:pt>
                <c:pt idx="5">
                  <c:v>32815.798729288901</c:v>
                </c:pt>
                <c:pt idx="6">
                  <c:v>36529.943768184748</c:v>
                </c:pt>
                <c:pt idx="7">
                  <c:v>40191.286176502879</c:v>
                </c:pt>
                <c:pt idx="8">
                  <c:v>43883.749915078675</c:v>
                </c:pt>
                <c:pt idx="9">
                  <c:v>47691.258944747511</c:v>
                </c:pt>
                <c:pt idx="10">
                  <c:v>51697.737226344747</c:v>
                </c:pt>
                <c:pt idx="11">
                  <c:v>55987.108720705728</c:v>
                </c:pt>
                <c:pt idx="12">
                  <c:v>60643.297388665858</c:v>
                </c:pt>
                <c:pt idx="13">
                  <c:v>65750.22719106049</c:v>
                </c:pt>
                <c:pt idx="14">
                  <c:v>71391.822088724963</c:v>
                </c:pt>
                <c:pt idx="15">
                  <c:v>77652.006042494701</c:v>
                </c:pt>
                <c:pt idx="16">
                  <c:v>84614.703013205028</c:v>
                </c:pt>
                <c:pt idx="17">
                  <c:v>92363.836961691297</c:v>
                </c:pt>
                <c:pt idx="18">
                  <c:v>100983.33184878892</c:v>
                </c:pt>
                <c:pt idx="19">
                  <c:v>110557.11163533325</c:v>
                </c:pt>
                <c:pt idx="20">
                  <c:v>121169.10028215962</c:v>
                </c:pt>
                <c:pt idx="21">
                  <c:v>132903.22175010343</c:v>
                </c:pt>
                <c:pt idx="22">
                  <c:v>145843.40000000002</c:v>
                </c:pt>
                <c:pt idx="23">
                  <c:v>160073.55899268479</c:v>
                </c:pt>
                <c:pt idx="24">
                  <c:v>175677.62268899311</c:v>
                </c:pt>
                <c:pt idx="25">
                  <c:v>192739.51504976032</c:v>
                </c:pt>
                <c:pt idx="26">
                  <c:v>211343.16003582181</c:v>
                </c:pt>
                <c:pt idx="27">
                  <c:v>231572.48160801292</c:v>
                </c:pt>
                <c:pt idx="28">
                  <c:v>253511.40372716897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12-44A4-B240-C6E27454BFFD}"/>
            </c:ext>
          </c:extLst>
        </c:ser>
        <c:ser>
          <c:idx val="3"/>
          <c:order val="3"/>
          <c:tx>
            <c:strRef>
              <c:f>ИТОГ!$R$1:$R$2</c:f>
              <c:strCache>
                <c:ptCount val="2"/>
                <c:pt idx="0">
                  <c:v>Канал: низ</c:v>
                </c:pt>
                <c:pt idx="1">
                  <c:v>мин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ИТОГ!$R$3:$R$31</c:f>
              <c:numCache>
                <c:formatCode>#,##0</c:formatCode>
                <c:ptCount val="29"/>
                <c:pt idx="0">
                  <c:v>-2196.0161884268764</c:v>
                </c:pt>
                <c:pt idx="1">
                  <c:v>3041.001415887964</c:v>
                </c:pt>
                <c:pt idx="2">
                  <c:v>7805.5965854482711</c:v>
                </c:pt>
                <c:pt idx="3">
                  <c:v>12181.693281089414</c:v>
                </c:pt>
                <c:pt idx="4">
                  <c:v>16253.215463646753</c:v>
                </c:pt>
                <c:pt idx="5">
                  <c:v>20104.087093955652</c:v>
                </c:pt>
                <c:pt idx="6">
                  <c:v>23818.232132851492</c:v>
                </c:pt>
                <c:pt idx="7">
                  <c:v>27479.574541169626</c:v>
                </c:pt>
                <c:pt idx="8">
                  <c:v>31172.038279745422</c:v>
                </c:pt>
                <c:pt idx="9">
                  <c:v>34979.547309414258</c:v>
                </c:pt>
                <c:pt idx="10">
                  <c:v>38986.025591011494</c:v>
                </c:pt>
                <c:pt idx="11">
                  <c:v>43275.397085372475</c:v>
                </c:pt>
                <c:pt idx="12">
                  <c:v>47931.585753332605</c:v>
                </c:pt>
                <c:pt idx="13">
                  <c:v>53038.515555727245</c:v>
                </c:pt>
                <c:pt idx="14">
                  <c:v>58680.110453391717</c:v>
                </c:pt>
                <c:pt idx="15">
                  <c:v>64940.294407161447</c:v>
                </c:pt>
                <c:pt idx="16">
                  <c:v>71902.991377871775</c:v>
                </c:pt>
                <c:pt idx="17">
                  <c:v>79652.125326358044</c:v>
                </c:pt>
                <c:pt idx="18">
                  <c:v>88271.620213455666</c:v>
                </c:pt>
                <c:pt idx="19">
                  <c:v>97845.4</c:v>
                </c:pt>
                <c:pt idx="20">
                  <c:v>108457.38864682637</c:v>
                </c:pt>
                <c:pt idx="21">
                  <c:v>120191.51011477018</c:v>
                </c:pt>
                <c:pt idx="22">
                  <c:v>133131.68836466677</c:v>
                </c:pt>
                <c:pt idx="23">
                  <c:v>147361.84735735154</c:v>
                </c:pt>
                <c:pt idx="24">
                  <c:v>162965.91105365986</c:v>
                </c:pt>
                <c:pt idx="25">
                  <c:v>180027.80341442706</c:v>
                </c:pt>
                <c:pt idx="26">
                  <c:v>198631.44840048856</c:v>
                </c:pt>
                <c:pt idx="27">
                  <c:v>218860.76997267967</c:v>
                </c:pt>
                <c:pt idx="28">
                  <c:v>240799.69209183572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E12-44A4-B240-C6E27454B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1114543"/>
        <c:axId val="341119951"/>
      </c:lineChart>
      <c:catAx>
        <c:axId val="341114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119951"/>
        <c:crosses val="autoZero"/>
        <c:auto val="1"/>
        <c:lblAlgn val="ctr"/>
        <c:lblOffset val="100"/>
        <c:noMultiLvlLbl val="0"/>
      </c:catAx>
      <c:valAx>
        <c:axId val="34111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114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ИТОГ!$S$1:$S$2</c:f>
              <c:strCache>
                <c:ptCount val="2"/>
                <c:pt idx="0">
                  <c:v>ССЧ</c:v>
                </c:pt>
                <c:pt idx="1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ИТОГ!$S$3:$S$31</c:f>
              <c:numCache>
                <c:formatCode>#,##0</c:formatCode>
                <c:ptCount val="29"/>
                <c:pt idx="0">
                  <c:v>3013.1797778016089</c:v>
                </c:pt>
                <c:pt idx="1">
                  <c:v>3063.7503642895449</c:v>
                </c:pt>
                <c:pt idx="2">
                  <c:v>3114.3209507774804</c:v>
                </c:pt>
                <c:pt idx="3">
                  <c:v>3164.8915372654155</c:v>
                </c:pt>
                <c:pt idx="4">
                  <c:v>3262.6488048257374</c:v>
                </c:pt>
                <c:pt idx="5">
                  <c:v>3415.8645222520108</c:v>
                </c:pt>
                <c:pt idx="6">
                  <c:v>3564.3803710455763</c:v>
                </c:pt>
                <c:pt idx="7">
                  <c:v>3721.2849999999999</c:v>
                </c:pt>
                <c:pt idx="8">
                  <c:v>3722.31</c:v>
                </c:pt>
                <c:pt idx="9">
                  <c:v>3588.8969999999999</c:v>
                </c:pt>
                <c:pt idx="10">
                  <c:v>3517.73</c:v>
                </c:pt>
                <c:pt idx="11">
                  <c:v>3511.3829999999998</c:v>
                </c:pt>
                <c:pt idx="12">
                  <c:v>3511.895</c:v>
                </c:pt>
                <c:pt idx="13">
                  <c:v>3506.1019999999999</c:v>
                </c:pt>
                <c:pt idx="14">
                  <c:v>3420.6927000000001</c:v>
                </c:pt>
                <c:pt idx="15">
                  <c:v>4608.7519299999994</c:v>
                </c:pt>
                <c:pt idx="16">
                  <c:v>4690.2311</c:v>
                </c:pt>
                <c:pt idx="17">
                  <c:v>4692.8642</c:v>
                </c:pt>
                <c:pt idx="18">
                  <c:v>4732.6019299999998</c:v>
                </c:pt>
                <c:pt idx="19">
                  <c:v>4651.6728800000001</c:v>
                </c:pt>
                <c:pt idx="20">
                  <c:v>4634.6379999999999</c:v>
                </c:pt>
                <c:pt idx="21">
                  <c:v>4624.0249999999996</c:v>
                </c:pt>
                <c:pt idx="22">
                  <c:v>4571.1329999999998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F3-4DB6-98C8-7976D1219544}"/>
            </c:ext>
          </c:extLst>
        </c:ser>
        <c:ser>
          <c:idx val="1"/>
          <c:order val="1"/>
          <c:tx>
            <c:strRef>
              <c:f>ИТОГ!$T$1:$T$2</c:f>
              <c:strCache>
                <c:ptCount val="2"/>
                <c:pt idx="0">
                  <c:v>Полином. Тренд</c:v>
                </c:pt>
                <c:pt idx="1">
                  <c:v>среднее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ИТОГ!$T$3:$T$31</c:f>
              <c:numCache>
                <c:formatCode>#,##0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3158.9076865608245</c:v>
                </c:pt>
                <c:pt idx="8">
                  <c:v>3501.5888530838429</c:v>
                </c:pt>
                <c:pt idx="9">
                  <c:v>3702.0444852031906</c:v>
                </c:pt>
                <c:pt idx="10">
                  <c:v>3844.2700196068608</c:v>
                </c:pt>
                <c:pt idx="11">
                  <c:v>3954.588714699395</c:v>
                </c:pt>
                <c:pt idx="12">
                  <c:v>4044.7256517262085</c:v>
                </c:pt>
                <c:pt idx="13">
                  <c:v>4120.9353460956609</c:v>
                </c:pt>
                <c:pt idx="14">
                  <c:v>4186.9511861298797</c:v>
                </c:pt>
                <c:pt idx="15">
                  <c:v>4245.1812838455562</c:v>
                </c:pt>
                <c:pt idx="16">
                  <c:v>4297.2698812224135</c:v>
                </c:pt>
                <c:pt idx="17">
                  <c:v>4344.3897491420666</c:v>
                </c:pt>
                <c:pt idx="18">
                  <c:v>4387.4068182492265</c:v>
                </c:pt>
                <c:pt idx="19">
                  <c:v>4426.978685821523</c:v>
                </c:pt>
                <c:pt idx="20">
                  <c:v>4463.6165126186797</c:v>
                </c:pt>
                <c:pt idx="21">
                  <c:v>4497.7255133417611</c:v>
                </c:pt>
                <c:pt idx="22">
                  <c:v>4529.6323526528977</c:v>
                </c:pt>
                <c:pt idx="23">
                  <c:v>4559.604221119982</c:v>
                </c:pt>
                <c:pt idx="24">
                  <c:v>4587.8624503685751</c:v>
                </c:pt>
                <c:pt idx="25">
                  <c:v>4614.5924421728969</c:v>
                </c:pt>
                <c:pt idx="26">
                  <c:v>4639.9510477454314</c:v>
                </c:pt>
                <c:pt idx="27">
                  <c:v>4664.0721447380274</c:v>
                </c:pt>
                <c:pt idx="28">
                  <c:v>4687.0709156650846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F3-4DB6-98C8-7976D1219544}"/>
            </c:ext>
          </c:extLst>
        </c:ser>
        <c:ser>
          <c:idx val="2"/>
          <c:order val="2"/>
          <c:tx>
            <c:strRef>
              <c:f>ИТОГ!$U$1:$U$2</c:f>
              <c:strCache>
                <c:ptCount val="2"/>
                <c:pt idx="0">
                  <c:v>Канал: верх</c:v>
                </c:pt>
                <c:pt idx="1">
                  <c:v>макс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ИТОГ!$U$3:$U$31</c:f>
              <c:numCache>
                <c:formatCode>#,##0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3750.1426936673824</c:v>
                </c:pt>
                <c:pt idx="8">
                  <c:v>4092.8238601904009</c:v>
                </c:pt>
                <c:pt idx="9">
                  <c:v>4293.2794923097481</c:v>
                </c:pt>
                <c:pt idx="10">
                  <c:v>4435.5050267134184</c:v>
                </c:pt>
                <c:pt idx="11">
                  <c:v>4545.823721805953</c:v>
                </c:pt>
                <c:pt idx="12">
                  <c:v>4635.9606588327661</c:v>
                </c:pt>
                <c:pt idx="13">
                  <c:v>4712.1703532022184</c:v>
                </c:pt>
                <c:pt idx="14">
                  <c:v>4778.1861932364372</c:v>
                </c:pt>
                <c:pt idx="15">
                  <c:v>4836.4162909521137</c:v>
                </c:pt>
                <c:pt idx="16">
                  <c:v>4888.504888328971</c:v>
                </c:pt>
                <c:pt idx="17">
                  <c:v>4935.6247562486242</c:v>
                </c:pt>
                <c:pt idx="18">
                  <c:v>4978.641825355784</c:v>
                </c:pt>
                <c:pt idx="19">
                  <c:v>5018.2136929280805</c:v>
                </c:pt>
                <c:pt idx="20">
                  <c:v>5054.8515197252373</c:v>
                </c:pt>
                <c:pt idx="21">
                  <c:v>5088.9605204483187</c:v>
                </c:pt>
                <c:pt idx="22">
                  <c:v>5120.8673597594552</c:v>
                </c:pt>
                <c:pt idx="23">
                  <c:v>5150.8392282265395</c:v>
                </c:pt>
                <c:pt idx="24">
                  <c:v>5179.0974574751326</c:v>
                </c:pt>
                <c:pt idx="25">
                  <c:v>5205.8274492794544</c:v>
                </c:pt>
                <c:pt idx="26">
                  <c:v>5231.186054851989</c:v>
                </c:pt>
                <c:pt idx="27">
                  <c:v>5255.307151844585</c:v>
                </c:pt>
                <c:pt idx="28">
                  <c:v>5278.3059227716421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F3-4DB6-98C8-7976D1219544}"/>
            </c:ext>
          </c:extLst>
        </c:ser>
        <c:ser>
          <c:idx val="3"/>
          <c:order val="3"/>
          <c:tx>
            <c:strRef>
              <c:f>ИТОГ!$V$1:$V$2</c:f>
              <c:strCache>
                <c:ptCount val="2"/>
                <c:pt idx="0">
                  <c:v>Канал: низ</c:v>
                </c:pt>
                <c:pt idx="1">
                  <c:v>мин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ИТОГ!$V$3:$V$31</c:f>
              <c:numCache>
                <c:formatCode>#,##0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2567.6726794542665</c:v>
                </c:pt>
                <c:pt idx="8">
                  <c:v>2910.3538459772849</c:v>
                </c:pt>
                <c:pt idx="9">
                  <c:v>3110.8094780966326</c:v>
                </c:pt>
                <c:pt idx="10">
                  <c:v>3253.0350125003029</c:v>
                </c:pt>
                <c:pt idx="11">
                  <c:v>3363.3537075928371</c:v>
                </c:pt>
                <c:pt idx="12">
                  <c:v>3453.4906446196505</c:v>
                </c:pt>
                <c:pt idx="13">
                  <c:v>3529.7003389891029</c:v>
                </c:pt>
                <c:pt idx="14">
                  <c:v>3595.7161790233217</c:v>
                </c:pt>
                <c:pt idx="15">
                  <c:v>3653.9462767389982</c:v>
                </c:pt>
                <c:pt idx="16">
                  <c:v>3706.0348741158555</c:v>
                </c:pt>
                <c:pt idx="17">
                  <c:v>3753.1547420355087</c:v>
                </c:pt>
                <c:pt idx="18">
                  <c:v>3796.1718111426685</c:v>
                </c:pt>
                <c:pt idx="19">
                  <c:v>3835.743678714965</c:v>
                </c:pt>
                <c:pt idx="20">
                  <c:v>3872.3815055121217</c:v>
                </c:pt>
                <c:pt idx="21">
                  <c:v>3906.4905062352032</c:v>
                </c:pt>
                <c:pt idx="22">
                  <c:v>3938.3973455463397</c:v>
                </c:pt>
                <c:pt idx="23">
                  <c:v>3968.369214013424</c:v>
                </c:pt>
                <c:pt idx="24">
                  <c:v>3996.6274432620171</c:v>
                </c:pt>
                <c:pt idx="25">
                  <c:v>4023.3574350663389</c:v>
                </c:pt>
                <c:pt idx="26">
                  <c:v>4048.7160406388734</c:v>
                </c:pt>
                <c:pt idx="27">
                  <c:v>4072.8371376314694</c:v>
                </c:pt>
                <c:pt idx="28">
                  <c:v>4095.8359085585266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F3-4DB6-98C8-7976D1219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4509183"/>
        <c:axId val="2062065423"/>
      </c:lineChart>
      <c:catAx>
        <c:axId val="2054509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2065423"/>
        <c:crosses val="autoZero"/>
        <c:auto val="1"/>
        <c:lblAlgn val="ctr"/>
        <c:lblOffset val="100"/>
        <c:noMultiLvlLbl val="0"/>
      </c:catAx>
      <c:valAx>
        <c:axId val="206206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4509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2" fmlaLink="$E$3" max="2023" min="2002" page="10" val="2009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19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586154</xdr:colOff>
      <xdr:row>1</xdr:row>
      <xdr:rowOff>36634</xdr:rowOff>
    </xdr:from>
    <xdr:to>
      <xdr:col>15</xdr:col>
      <xdr:colOff>564173</xdr:colOff>
      <xdr:row>5</xdr:row>
      <xdr:rowOff>131884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6550269" y="417634"/>
          <a:ext cx="3018692" cy="857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Точность (</a:t>
          </a:r>
          <a:r>
            <a:rPr lang="en-US" sz="1100"/>
            <a:t>R^2)</a:t>
          </a:r>
        </a:p>
        <a:p>
          <a:r>
            <a:rPr lang="ru-RU" sz="1100"/>
            <a:t>Смысл </a:t>
          </a:r>
        </a:p>
        <a:p>
          <a:r>
            <a:rPr lang="ru-RU" sz="1100"/>
            <a:t>Адекватность (ожидания = графическая)</a:t>
          </a:r>
          <a:endParaRPr lang="en-US" sz="1100"/>
        </a:p>
      </xdr:txBody>
    </xdr:sp>
    <xdr:clientData/>
  </xdr:twoCellAnchor>
  <xdr:twoCellAnchor>
    <xdr:from>
      <xdr:col>17</xdr:col>
      <xdr:colOff>308671</xdr:colOff>
      <xdr:row>10</xdr:row>
      <xdr:rowOff>102892</xdr:rowOff>
    </xdr:from>
    <xdr:to>
      <xdr:col>24</xdr:col>
      <xdr:colOff>241436</xdr:colOff>
      <xdr:row>18</xdr:row>
      <xdr:rowOff>136510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0647626" y="2198392"/>
          <a:ext cx="4175719" cy="15576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Очевидно, </a:t>
          </a:r>
        </a:p>
        <a:p>
          <a:r>
            <a:rPr lang="ru-RU" sz="1600"/>
            <a:t>через</a:t>
          </a:r>
          <a:r>
            <a:rPr lang="ru-RU" sz="1600" baseline="0"/>
            <a:t> 5 лет прогноз ВВП ожидается </a:t>
          </a:r>
        </a:p>
        <a:p>
          <a:r>
            <a:rPr lang="ru-RU" sz="1600" baseline="0"/>
            <a:t>от 570 трлн руб до 630 трлн руб</a:t>
          </a:r>
          <a:endParaRPr lang="en-US" sz="1600"/>
        </a:p>
      </xdr:txBody>
    </xdr:sp>
    <xdr:clientData/>
  </xdr:twoCellAnchor>
  <xdr:twoCellAnchor>
    <xdr:from>
      <xdr:col>8</xdr:col>
      <xdr:colOff>44824</xdr:colOff>
      <xdr:row>10</xdr:row>
      <xdr:rowOff>44831</xdr:rowOff>
    </xdr:from>
    <xdr:to>
      <xdr:col>15</xdr:col>
      <xdr:colOff>381001</xdr:colOff>
      <xdr:row>24</xdr:row>
      <xdr:rowOff>121031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0.7186</cdr:x>
      <cdr:y>0</cdr:y>
    </cdr:from>
    <cdr:to>
      <cdr:x>0.7186</cdr:x>
      <cdr:y>0.90278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0B23FC61-68EB-4872-9534-E645EEF15B0C}"/>
            </a:ext>
          </a:extLst>
        </cdr:cNvPr>
        <cdr:cNvCxnSpPr/>
      </cdr:nvCxnSpPr>
      <cdr:spPr>
        <a:xfrm xmlns:a="http://schemas.openxmlformats.org/drawingml/2006/main" flipV="1">
          <a:off x="3307976" y="0"/>
          <a:ext cx="0" cy="247650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0.16217</cdr:x>
      <cdr:y>0.08631</cdr:y>
    </cdr:from>
    <cdr:to>
      <cdr:x>0.71893</cdr:x>
      <cdr:y>0.80793</cdr:y>
    </cdr:to>
    <cdr:sp macro="" textlink="">
      <cdr:nvSpPr>
        <cdr:cNvPr id="9" name="Полилиния: фигура 8">
          <a:extLst xmlns:a="http://schemas.openxmlformats.org/drawingml/2006/main">
            <a:ext uri="{FF2B5EF4-FFF2-40B4-BE49-F238E27FC236}">
              <a16:creationId xmlns:a16="http://schemas.microsoft.com/office/drawing/2014/main" id="{D3F13C1E-1768-420D-9FF6-FC02AB8734F6}"/>
            </a:ext>
          </a:extLst>
        </cdr:cNvPr>
        <cdr:cNvSpPr/>
      </cdr:nvSpPr>
      <cdr:spPr>
        <a:xfrm xmlns:a="http://schemas.openxmlformats.org/drawingml/2006/main">
          <a:off x="750306" y="236777"/>
          <a:ext cx="2575892" cy="1979544"/>
        </a:xfrm>
        <a:custGeom xmlns:a="http://schemas.openxmlformats.org/drawingml/2006/main">
          <a:avLst/>
          <a:gdLst>
            <a:gd name="connsiteX0" fmla="*/ 0 w 2575892"/>
            <a:gd name="connsiteY0" fmla="*/ 1979544 h 1979544"/>
            <a:gd name="connsiteX1" fmla="*/ 1043609 w 2575892"/>
            <a:gd name="connsiteY1" fmla="*/ 1590261 h 1979544"/>
            <a:gd name="connsiteX2" fmla="*/ 2012674 w 2575892"/>
            <a:gd name="connsiteY2" fmla="*/ 1225826 h 1979544"/>
            <a:gd name="connsiteX3" fmla="*/ 2575892 w 2575892"/>
            <a:gd name="connsiteY3" fmla="*/ 0 h 197954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575892" h="1979544">
              <a:moveTo>
                <a:pt x="0" y="1979544"/>
              </a:moveTo>
              <a:lnTo>
                <a:pt x="1043609" y="1590261"/>
              </a:lnTo>
              <a:cubicBezTo>
                <a:pt x="1379055" y="1464641"/>
                <a:pt x="1757294" y="1490869"/>
                <a:pt x="2012674" y="1225826"/>
              </a:cubicBezTo>
              <a:cubicBezTo>
                <a:pt x="2268054" y="960783"/>
                <a:pt x="2472359" y="255380"/>
                <a:pt x="2575892" y="0"/>
              </a:cubicBezTo>
            </a:path>
          </a:pathLst>
        </a:custGeom>
        <a:noFill xmlns:a="http://schemas.openxmlformats.org/drawingml/2006/main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ru-RU"/>
        </a:p>
      </cdr:txBody>
    </cdr:sp>
  </cdr:relSizeAnchor>
  <cdr:relSizeAnchor xmlns:cdr="http://schemas.openxmlformats.org/drawingml/2006/chartDrawing">
    <cdr:from>
      <cdr:x>0.18903</cdr:x>
      <cdr:y>0.00479</cdr:y>
    </cdr:from>
    <cdr:to>
      <cdr:x>0.7798</cdr:x>
      <cdr:y>0.88342</cdr:y>
    </cdr:to>
    <cdr:sp macro="" textlink="">
      <cdr:nvSpPr>
        <cdr:cNvPr id="10" name="Полилиния: фигура 9">
          <a:extLst xmlns:a="http://schemas.openxmlformats.org/drawingml/2006/main">
            <a:ext uri="{FF2B5EF4-FFF2-40B4-BE49-F238E27FC236}">
              <a16:creationId xmlns:a16="http://schemas.microsoft.com/office/drawing/2014/main" id="{DEF2E9EF-3791-4760-8853-4BFF9977A460}"/>
            </a:ext>
          </a:extLst>
        </cdr:cNvPr>
        <cdr:cNvSpPr/>
      </cdr:nvSpPr>
      <cdr:spPr>
        <a:xfrm xmlns:a="http://schemas.openxmlformats.org/drawingml/2006/main">
          <a:off x="874546" y="13147"/>
          <a:ext cx="2733260" cy="2410239"/>
        </a:xfrm>
        <a:custGeom xmlns:a="http://schemas.openxmlformats.org/drawingml/2006/main">
          <a:avLst/>
          <a:gdLst>
            <a:gd name="connsiteX0" fmla="*/ 0 w 2733260"/>
            <a:gd name="connsiteY0" fmla="*/ 2410239 h 2410239"/>
            <a:gd name="connsiteX1" fmla="*/ 811695 w 2733260"/>
            <a:gd name="connsiteY1" fmla="*/ 2178326 h 2410239"/>
            <a:gd name="connsiteX2" fmla="*/ 1316934 w 2733260"/>
            <a:gd name="connsiteY2" fmla="*/ 1938131 h 2410239"/>
            <a:gd name="connsiteX3" fmla="*/ 2045804 w 2733260"/>
            <a:gd name="connsiteY3" fmla="*/ 1656522 h 2410239"/>
            <a:gd name="connsiteX4" fmla="*/ 2733260 w 2733260"/>
            <a:gd name="connsiteY4" fmla="*/ 0 h 24102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733260" h="2410239">
              <a:moveTo>
                <a:pt x="0" y="2410239"/>
              </a:moveTo>
              <a:cubicBezTo>
                <a:pt x="296103" y="2333625"/>
                <a:pt x="592206" y="2257011"/>
                <a:pt x="811695" y="2178326"/>
              </a:cubicBezTo>
              <a:cubicBezTo>
                <a:pt x="1031184" y="2099641"/>
                <a:pt x="1111249" y="2025098"/>
                <a:pt x="1316934" y="1938131"/>
              </a:cubicBezTo>
              <a:cubicBezTo>
                <a:pt x="1522619" y="1851164"/>
                <a:pt x="1809750" y="1979544"/>
                <a:pt x="2045804" y="1656522"/>
              </a:cubicBezTo>
              <a:cubicBezTo>
                <a:pt x="2281858" y="1333500"/>
                <a:pt x="2599358" y="260902"/>
                <a:pt x="2733260" y="0"/>
              </a:cubicBezTo>
            </a:path>
          </a:pathLst>
        </a:custGeom>
        <a:noFill xmlns:a="http://schemas.openxmlformats.org/drawingml/2006/main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ru-RU"/>
            <a:t>ё</a:t>
          </a:r>
        </a:p>
      </cdr:txBody>
    </cdr:sp>
  </cdr:relSizeAnchor>
  <cdr:relSizeAnchor xmlns:cdr="http://schemas.openxmlformats.org/drawingml/2006/chartDrawing">
    <cdr:from>
      <cdr:x>0.16217</cdr:x>
      <cdr:y>0.08631</cdr:y>
    </cdr:from>
    <cdr:to>
      <cdr:x>0.97852</cdr:x>
      <cdr:y>0.08631</cdr:y>
    </cdr:to>
    <cdr:cxnSp macro="">
      <cdr:nvCxnSpPr>
        <cdr:cNvPr id="12" name="Прямая соединительная линия 11">
          <a:extLst xmlns:a="http://schemas.openxmlformats.org/drawingml/2006/main">
            <a:ext uri="{FF2B5EF4-FFF2-40B4-BE49-F238E27FC236}">
              <a16:creationId xmlns:a16="http://schemas.microsoft.com/office/drawing/2014/main" id="{0F991324-47C4-4320-BD66-A8C70F465240}"/>
            </a:ext>
          </a:extLst>
        </cdr:cNvPr>
        <cdr:cNvCxnSpPr/>
      </cdr:nvCxnSpPr>
      <cdr:spPr>
        <a:xfrm xmlns:a="http://schemas.openxmlformats.org/drawingml/2006/main" flipH="1">
          <a:off x="750306" y="236778"/>
          <a:ext cx="3776870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0.15859</cdr:x>
      <cdr:y>0.27392</cdr:y>
    </cdr:from>
    <cdr:to>
      <cdr:x>0.97494</cdr:x>
      <cdr:y>0.27392</cdr:y>
    </cdr:to>
    <cdr:cxnSp macro="">
      <cdr:nvCxnSpPr>
        <cdr:cNvPr id="14" name="Прямая соединительная линия 13">
          <a:extLst xmlns:a="http://schemas.openxmlformats.org/drawingml/2006/main">
            <a:ext uri="{FF2B5EF4-FFF2-40B4-BE49-F238E27FC236}">
              <a16:creationId xmlns:a16="http://schemas.microsoft.com/office/drawing/2014/main" id="{1D9960AD-3D81-4443-8FDD-0DF0D1E67C02}"/>
            </a:ext>
          </a:extLst>
        </cdr:cNvPr>
        <cdr:cNvCxnSpPr/>
      </cdr:nvCxnSpPr>
      <cdr:spPr>
        <a:xfrm xmlns:a="http://schemas.openxmlformats.org/drawingml/2006/main" flipH="1">
          <a:off x="733742" y="751405"/>
          <a:ext cx="3776870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59120</xdr:colOff>
      <xdr:row>11</xdr:row>
      <xdr:rowOff>122858</xdr:rowOff>
    </xdr:from>
    <xdr:to>
      <xdr:col>20</xdr:col>
      <xdr:colOff>149242</xdr:colOff>
      <xdr:row>29</xdr:row>
      <xdr:rowOff>183963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123266</xdr:colOff>
      <xdr:row>29</xdr:row>
      <xdr:rowOff>152402</xdr:rowOff>
    </xdr:from>
    <xdr:to>
      <xdr:col>19</xdr:col>
      <xdr:colOff>156883</xdr:colOff>
      <xdr:row>47</xdr:row>
      <xdr:rowOff>100854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191446</xdr:colOff>
      <xdr:row>4</xdr:row>
      <xdr:rowOff>64897</xdr:rowOff>
    </xdr:from>
    <xdr:to>
      <xdr:col>10</xdr:col>
      <xdr:colOff>174310</xdr:colOff>
      <xdr:row>11</xdr:row>
      <xdr:rowOff>163432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6141770" y="826897"/>
          <a:ext cx="3266187" cy="12415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/>
            <a:t>Верх</a:t>
          </a:r>
          <a:r>
            <a:rPr lang="ru-RU" sz="1400" baseline="0"/>
            <a:t> = Тренд + Ширина * </a:t>
          </a:r>
          <a:endParaRPr lang="en-US" sz="1400" baseline="0"/>
        </a:p>
        <a:p>
          <a:r>
            <a:rPr lang="ru-RU"/>
            <a:t>(</a:t>
          </a:r>
          <a:r>
            <a:rPr lang="en-US"/>
            <a:t>1 + (t</a:t>
          </a:r>
          <a:r>
            <a:rPr lang="ru-RU"/>
            <a:t> </a:t>
          </a:r>
          <a:r>
            <a:rPr lang="en-US"/>
            <a:t>-</a:t>
          </a:r>
          <a:r>
            <a:rPr lang="ru-RU"/>
            <a:t> </a:t>
          </a:r>
          <a:r>
            <a:rPr lang="en-US">
              <a:solidFill>
                <a:srgbClr val="FF0000"/>
              </a:solidFill>
            </a:rPr>
            <a:t>t</a:t>
          </a:r>
          <a:r>
            <a:rPr lang="ru-RU">
              <a:solidFill>
                <a:srgbClr val="FF0000"/>
              </a:solidFill>
            </a:rPr>
            <a:t>ср </a:t>
          </a:r>
          <a:r>
            <a:rPr lang="en-US"/>
            <a:t>)^2</a:t>
          </a:r>
          <a:r>
            <a:rPr lang="ru-RU"/>
            <a:t> </a:t>
          </a:r>
          <a:r>
            <a:rPr lang="en-US"/>
            <a:t>/</a:t>
          </a:r>
          <a:r>
            <a:rPr lang="ru-RU"/>
            <a:t> </a:t>
          </a:r>
          <a:r>
            <a:rPr lang="en-US"/>
            <a:t>(</a:t>
          </a:r>
          <a:r>
            <a:rPr lang="ru-RU"/>
            <a:t>Станд_откл</a:t>
          </a:r>
          <a:r>
            <a:rPr lang="en-US"/>
            <a:t>)^2 </a:t>
          </a:r>
          <a:r>
            <a:rPr lang="ru-RU"/>
            <a:t>)</a:t>
          </a:r>
          <a:r>
            <a:rPr lang="en-US"/>
            <a:t>^</a:t>
          </a:r>
          <a:r>
            <a:rPr lang="ru-RU"/>
            <a:t>(1/</a:t>
          </a:r>
          <a:r>
            <a:rPr lang="en-US"/>
            <a:t>2</a:t>
          </a:r>
          <a:r>
            <a:rPr lang="ru-RU"/>
            <a:t>)</a:t>
          </a:r>
          <a:endParaRPr lang="en-US"/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0.16322</cdr:x>
      <cdr:y>0.18713</cdr:y>
    </cdr:from>
    <cdr:to>
      <cdr:x>0.96782</cdr:x>
      <cdr:y>0.86397</cdr:y>
    </cdr:to>
    <cdr:sp macro="" textlink="">
      <cdr:nvSpPr>
        <cdr:cNvPr id="2" name="Полилиния 1"/>
        <cdr:cNvSpPr/>
      </cdr:nvSpPr>
      <cdr:spPr>
        <a:xfrm xmlns:a="http://schemas.openxmlformats.org/drawingml/2006/main">
          <a:off x="795617" y="632010"/>
          <a:ext cx="3922058" cy="2286000"/>
        </a:xfrm>
        <a:custGeom xmlns:a="http://schemas.openxmlformats.org/drawingml/2006/main">
          <a:avLst/>
          <a:gdLst>
            <a:gd name="connsiteX0" fmla="*/ 0 w 3922058"/>
            <a:gd name="connsiteY0" fmla="*/ 2286000 h 2286000"/>
            <a:gd name="connsiteX1" fmla="*/ 291353 w 3922058"/>
            <a:gd name="connsiteY1" fmla="*/ 1703294 h 2286000"/>
            <a:gd name="connsiteX2" fmla="*/ 930088 w 3922058"/>
            <a:gd name="connsiteY2" fmla="*/ 1490383 h 2286000"/>
            <a:gd name="connsiteX3" fmla="*/ 1860176 w 3922058"/>
            <a:gd name="connsiteY3" fmla="*/ 1423147 h 2286000"/>
            <a:gd name="connsiteX4" fmla="*/ 3507441 w 3922058"/>
            <a:gd name="connsiteY4" fmla="*/ 1176618 h 2286000"/>
            <a:gd name="connsiteX5" fmla="*/ 3922058 w 3922058"/>
            <a:gd name="connsiteY5" fmla="*/ 0 h 2286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3922058" h="2286000">
              <a:moveTo>
                <a:pt x="0" y="2286000"/>
              </a:moveTo>
              <a:cubicBezTo>
                <a:pt x="68169" y="2060948"/>
                <a:pt x="136338" y="1835897"/>
                <a:pt x="291353" y="1703294"/>
              </a:cubicBezTo>
              <a:cubicBezTo>
                <a:pt x="446368" y="1570691"/>
                <a:pt x="668618" y="1537074"/>
                <a:pt x="930088" y="1490383"/>
              </a:cubicBezTo>
              <a:cubicBezTo>
                <a:pt x="1191558" y="1443692"/>
                <a:pt x="1430617" y="1475441"/>
                <a:pt x="1860176" y="1423147"/>
              </a:cubicBezTo>
              <a:cubicBezTo>
                <a:pt x="2289735" y="1370853"/>
                <a:pt x="3163794" y="1413809"/>
                <a:pt x="3507441" y="1176618"/>
              </a:cubicBezTo>
              <a:cubicBezTo>
                <a:pt x="3851088" y="939427"/>
                <a:pt x="3886573" y="469713"/>
                <a:pt x="3922058" y="0"/>
              </a:cubicBezTo>
            </a:path>
          </a:pathLst>
        </a:custGeom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394607</xdr:colOff>
      <xdr:row>50</xdr:row>
      <xdr:rowOff>91847</xdr:rowOff>
    </xdr:from>
    <xdr:to>
      <xdr:col>6</xdr:col>
      <xdr:colOff>381000</xdr:colOff>
      <xdr:row>77</xdr:row>
      <xdr:rowOff>145038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98652</xdr:colOff>
      <xdr:row>50</xdr:row>
      <xdr:rowOff>159883</xdr:rowOff>
    </xdr:from>
    <xdr:to>
      <xdr:col>14</xdr:col>
      <xdr:colOff>85045</xdr:colOff>
      <xdr:row>76</xdr:row>
      <xdr:rowOff>162576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117257</xdr:colOff>
      <xdr:row>51</xdr:row>
      <xdr:rowOff>23812</xdr:rowOff>
    </xdr:from>
    <xdr:to>
      <xdr:col>22</xdr:col>
      <xdr:colOff>309562</xdr:colOff>
      <xdr:row>77</xdr:row>
      <xdr:rowOff>-1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0.10316</cdr:x>
      <cdr:y>0.55729</cdr:y>
    </cdr:from>
    <cdr:to>
      <cdr:x>0.33044</cdr:x>
      <cdr:y>0.87496</cdr:y>
    </cdr:to>
    <cdr:sp macro="" textlink="">
      <cdr:nvSpPr>
        <cdr:cNvPr id="2" name="Овал 1"/>
        <cdr:cNvSpPr/>
      </cdr:nvSpPr>
      <cdr:spPr>
        <a:xfrm xmlns:a="http://schemas.openxmlformats.org/drawingml/2006/main">
          <a:off x="581654" y="2855870"/>
          <a:ext cx="1281545" cy="1627909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  <a:prstDash val="dash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0.52114</cdr:x>
      <cdr:y>0.56897</cdr:y>
    </cdr:from>
    <cdr:to>
      <cdr:x>0.69137</cdr:x>
      <cdr:y>0.73908</cdr:y>
    </cdr:to>
    <cdr:sp macro="" textlink="">
      <cdr:nvSpPr>
        <cdr:cNvPr id="2" name="Овал 1"/>
        <cdr:cNvSpPr/>
      </cdr:nvSpPr>
      <cdr:spPr>
        <a:xfrm xmlns:a="http://schemas.openxmlformats.org/drawingml/2006/main" rot="19888630">
          <a:off x="3064164" y="2908301"/>
          <a:ext cx="1000921" cy="869538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  <a:prstDash val="dash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0.48638</cdr:x>
      <cdr:y>0.61422</cdr:y>
    </cdr:from>
    <cdr:to>
      <cdr:x>0.65661</cdr:x>
      <cdr:y>0.78433</cdr:y>
    </cdr:to>
    <cdr:sp macro="" textlink="">
      <cdr:nvSpPr>
        <cdr:cNvPr id="2" name="Овал 1"/>
        <cdr:cNvSpPr/>
      </cdr:nvSpPr>
      <cdr:spPr>
        <a:xfrm xmlns:a="http://schemas.openxmlformats.org/drawingml/2006/main" rot="19888630">
          <a:off x="2855759" y="3139644"/>
          <a:ext cx="999503" cy="869527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  <a:prstDash val="dash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387052</xdr:colOff>
      <xdr:row>14</xdr:row>
      <xdr:rowOff>50347</xdr:rowOff>
    </xdr:from>
    <xdr:to>
      <xdr:col>22</xdr:col>
      <xdr:colOff>1361</xdr:colOff>
      <xdr:row>34</xdr:row>
      <xdr:rowOff>101640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59120</xdr:colOff>
      <xdr:row>11</xdr:row>
      <xdr:rowOff>122858</xdr:rowOff>
    </xdr:from>
    <xdr:to>
      <xdr:col>20</xdr:col>
      <xdr:colOff>149242</xdr:colOff>
      <xdr:row>29</xdr:row>
      <xdr:rowOff>183963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123266</xdr:colOff>
      <xdr:row>29</xdr:row>
      <xdr:rowOff>152402</xdr:rowOff>
    </xdr:from>
    <xdr:to>
      <xdr:col>19</xdr:col>
      <xdr:colOff>156883</xdr:colOff>
      <xdr:row>47</xdr:row>
      <xdr:rowOff>100854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0.16322</cdr:x>
      <cdr:y>0.18713</cdr:y>
    </cdr:from>
    <cdr:to>
      <cdr:x>0.96782</cdr:x>
      <cdr:y>0.86397</cdr:y>
    </cdr:to>
    <cdr:sp macro="" textlink="">
      <cdr:nvSpPr>
        <cdr:cNvPr id="2" name="Полилиния 1"/>
        <cdr:cNvSpPr/>
      </cdr:nvSpPr>
      <cdr:spPr>
        <a:xfrm xmlns:a="http://schemas.openxmlformats.org/drawingml/2006/main">
          <a:off x="795617" y="632010"/>
          <a:ext cx="3922058" cy="2286000"/>
        </a:xfrm>
        <a:custGeom xmlns:a="http://schemas.openxmlformats.org/drawingml/2006/main">
          <a:avLst/>
          <a:gdLst>
            <a:gd name="connsiteX0" fmla="*/ 0 w 3922058"/>
            <a:gd name="connsiteY0" fmla="*/ 2286000 h 2286000"/>
            <a:gd name="connsiteX1" fmla="*/ 291353 w 3922058"/>
            <a:gd name="connsiteY1" fmla="*/ 1703294 h 2286000"/>
            <a:gd name="connsiteX2" fmla="*/ 930088 w 3922058"/>
            <a:gd name="connsiteY2" fmla="*/ 1490383 h 2286000"/>
            <a:gd name="connsiteX3" fmla="*/ 1860176 w 3922058"/>
            <a:gd name="connsiteY3" fmla="*/ 1423147 h 2286000"/>
            <a:gd name="connsiteX4" fmla="*/ 3507441 w 3922058"/>
            <a:gd name="connsiteY4" fmla="*/ 1176618 h 2286000"/>
            <a:gd name="connsiteX5" fmla="*/ 3922058 w 3922058"/>
            <a:gd name="connsiteY5" fmla="*/ 0 h 2286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3922058" h="2286000">
              <a:moveTo>
                <a:pt x="0" y="2286000"/>
              </a:moveTo>
              <a:cubicBezTo>
                <a:pt x="68169" y="2060948"/>
                <a:pt x="136338" y="1835897"/>
                <a:pt x="291353" y="1703294"/>
              </a:cubicBezTo>
              <a:cubicBezTo>
                <a:pt x="446368" y="1570691"/>
                <a:pt x="668618" y="1537074"/>
                <a:pt x="930088" y="1490383"/>
              </a:cubicBezTo>
              <a:cubicBezTo>
                <a:pt x="1191558" y="1443692"/>
                <a:pt x="1430617" y="1475441"/>
                <a:pt x="1860176" y="1423147"/>
              </a:cubicBezTo>
              <a:cubicBezTo>
                <a:pt x="2289735" y="1370853"/>
                <a:pt x="3163794" y="1413809"/>
                <a:pt x="3507441" y="1176618"/>
              </a:cubicBezTo>
              <a:cubicBezTo>
                <a:pt x="3851088" y="939427"/>
                <a:pt x="3886573" y="469713"/>
                <a:pt x="3922058" y="0"/>
              </a:cubicBezTo>
            </a:path>
          </a:pathLst>
        </a:custGeom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59120</xdr:colOff>
      <xdr:row>12</xdr:row>
      <xdr:rowOff>122858</xdr:rowOff>
    </xdr:from>
    <xdr:to>
      <xdr:col>20</xdr:col>
      <xdr:colOff>149242</xdr:colOff>
      <xdr:row>30</xdr:row>
      <xdr:rowOff>183963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123266</xdr:colOff>
      <xdr:row>30</xdr:row>
      <xdr:rowOff>152402</xdr:rowOff>
    </xdr:from>
    <xdr:to>
      <xdr:col>19</xdr:col>
      <xdr:colOff>156883</xdr:colOff>
      <xdr:row>48</xdr:row>
      <xdr:rowOff>100854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555881</xdr:colOff>
      <xdr:row>4</xdr:row>
      <xdr:rowOff>56616</xdr:rowOff>
    </xdr:from>
    <xdr:to>
      <xdr:col>12</xdr:col>
      <xdr:colOff>99767</xdr:colOff>
      <xdr:row>8</xdr:row>
      <xdr:rowOff>173936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7289642" y="818616"/>
          <a:ext cx="3271060" cy="8793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baseline="0"/>
            <a:t>Канал = Тренд +- Предельные ошибки </a:t>
          </a:r>
          <a:endParaRPr lang="en-US"/>
        </a:p>
      </xdr:txBody>
    </xdr:sp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0.16322</cdr:x>
      <cdr:y>0.18713</cdr:y>
    </cdr:from>
    <cdr:to>
      <cdr:x>0.96782</cdr:x>
      <cdr:y>0.86397</cdr:y>
    </cdr:to>
    <cdr:sp macro="" textlink="">
      <cdr:nvSpPr>
        <cdr:cNvPr id="2" name="Полилиния 1"/>
        <cdr:cNvSpPr/>
      </cdr:nvSpPr>
      <cdr:spPr>
        <a:xfrm xmlns:a="http://schemas.openxmlformats.org/drawingml/2006/main">
          <a:off x="795617" y="632010"/>
          <a:ext cx="3922058" cy="2286000"/>
        </a:xfrm>
        <a:custGeom xmlns:a="http://schemas.openxmlformats.org/drawingml/2006/main">
          <a:avLst/>
          <a:gdLst>
            <a:gd name="connsiteX0" fmla="*/ 0 w 3922058"/>
            <a:gd name="connsiteY0" fmla="*/ 2286000 h 2286000"/>
            <a:gd name="connsiteX1" fmla="*/ 291353 w 3922058"/>
            <a:gd name="connsiteY1" fmla="*/ 1703294 h 2286000"/>
            <a:gd name="connsiteX2" fmla="*/ 930088 w 3922058"/>
            <a:gd name="connsiteY2" fmla="*/ 1490383 h 2286000"/>
            <a:gd name="connsiteX3" fmla="*/ 1860176 w 3922058"/>
            <a:gd name="connsiteY3" fmla="*/ 1423147 h 2286000"/>
            <a:gd name="connsiteX4" fmla="*/ 3507441 w 3922058"/>
            <a:gd name="connsiteY4" fmla="*/ 1176618 h 2286000"/>
            <a:gd name="connsiteX5" fmla="*/ 3922058 w 3922058"/>
            <a:gd name="connsiteY5" fmla="*/ 0 h 2286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3922058" h="2286000">
              <a:moveTo>
                <a:pt x="0" y="2286000"/>
              </a:moveTo>
              <a:cubicBezTo>
                <a:pt x="68169" y="2060948"/>
                <a:pt x="136338" y="1835897"/>
                <a:pt x="291353" y="1703294"/>
              </a:cubicBezTo>
              <a:cubicBezTo>
                <a:pt x="446368" y="1570691"/>
                <a:pt x="668618" y="1537074"/>
                <a:pt x="930088" y="1490383"/>
              </a:cubicBezTo>
              <a:cubicBezTo>
                <a:pt x="1191558" y="1443692"/>
                <a:pt x="1430617" y="1475441"/>
                <a:pt x="1860176" y="1423147"/>
              </a:cubicBezTo>
              <a:cubicBezTo>
                <a:pt x="2289735" y="1370853"/>
                <a:pt x="3163794" y="1413809"/>
                <a:pt x="3507441" y="1176618"/>
              </a:cubicBezTo>
              <a:cubicBezTo>
                <a:pt x="3851088" y="939427"/>
                <a:pt x="3886573" y="469713"/>
                <a:pt x="3922058" y="0"/>
              </a:cubicBezTo>
            </a:path>
          </a:pathLst>
        </a:custGeom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59120</xdr:colOff>
      <xdr:row>13</xdr:row>
      <xdr:rowOff>122858</xdr:rowOff>
    </xdr:from>
    <xdr:to>
      <xdr:col>20</xdr:col>
      <xdr:colOff>149242</xdr:colOff>
      <xdr:row>31</xdr:row>
      <xdr:rowOff>183963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123266</xdr:colOff>
      <xdr:row>31</xdr:row>
      <xdr:rowOff>152402</xdr:rowOff>
    </xdr:from>
    <xdr:to>
      <xdr:col>19</xdr:col>
      <xdr:colOff>156883</xdr:colOff>
      <xdr:row>49</xdr:row>
      <xdr:rowOff>100854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555881</xdr:colOff>
      <xdr:row>4</xdr:row>
      <xdr:rowOff>56616</xdr:rowOff>
    </xdr:from>
    <xdr:to>
      <xdr:col>12</xdr:col>
      <xdr:colOff>99767</xdr:colOff>
      <xdr:row>9</xdr:row>
      <xdr:rowOff>173936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7471031" y="818616"/>
          <a:ext cx="3258636" cy="8793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baseline="0"/>
            <a:t>Канал = Тренд +- Предельные ошибки </a:t>
          </a:r>
          <a:endParaRPr lang="en-US"/>
        </a:p>
      </xdr:txBody>
    </xdr:sp>
    <xdr:clientData/>
  </xdr:twoCell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0.11473</cdr:x>
      <cdr:y>0.16075</cdr:y>
    </cdr:from>
    <cdr:to>
      <cdr:x>0.95835</cdr:x>
      <cdr:y>0.86397</cdr:y>
    </cdr:to>
    <cdr:sp macro="" textlink="">
      <cdr:nvSpPr>
        <cdr:cNvPr id="2" name="Полилиния 1"/>
        <cdr:cNvSpPr/>
      </cdr:nvSpPr>
      <cdr:spPr>
        <a:xfrm xmlns:a="http://schemas.openxmlformats.org/drawingml/2006/main">
          <a:off x="563353" y="542924"/>
          <a:ext cx="4142556" cy="2375094"/>
        </a:xfrm>
        <a:custGeom xmlns:a="http://schemas.openxmlformats.org/drawingml/2006/main">
          <a:avLst/>
          <a:gdLst>
            <a:gd name="connsiteX0" fmla="*/ 0 w 3922058"/>
            <a:gd name="connsiteY0" fmla="*/ 2286000 h 2286000"/>
            <a:gd name="connsiteX1" fmla="*/ 291353 w 3922058"/>
            <a:gd name="connsiteY1" fmla="*/ 1703294 h 2286000"/>
            <a:gd name="connsiteX2" fmla="*/ 930088 w 3922058"/>
            <a:gd name="connsiteY2" fmla="*/ 1490383 h 2286000"/>
            <a:gd name="connsiteX3" fmla="*/ 1860176 w 3922058"/>
            <a:gd name="connsiteY3" fmla="*/ 1423147 h 2286000"/>
            <a:gd name="connsiteX4" fmla="*/ 3507441 w 3922058"/>
            <a:gd name="connsiteY4" fmla="*/ 1176618 h 2286000"/>
            <a:gd name="connsiteX5" fmla="*/ 3922058 w 3922058"/>
            <a:gd name="connsiteY5" fmla="*/ 0 h 2286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3922058" h="2286000">
              <a:moveTo>
                <a:pt x="0" y="2286000"/>
              </a:moveTo>
              <a:cubicBezTo>
                <a:pt x="68169" y="2060948"/>
                <a:pt x="136338" y="1835897"/>
                <a:pt x="291353" y="1703294"/>
              </a:cubicBezTo>
              <a:cubicBezTo>
                <a:pt x="446368" y="1570691"/>
                <a:pt x="668618" y="1537074"/>
                <a:pt x="930088" y="1490383"/>
              </a:cubicBezTo>
              <a:cubicBezTo>
                <a:pt x="1191558" y="1443692"/>
                <a:pt x="1430617" y="1475441"/>
                <a:pt x="1860176" y="1423147"/>
              </a:cubicBezTo>
              <a:cubicBezTo>
                <a:pt x="2289735" y="1370853"/>
                <a:pt x="3163794" y="1413809"/>
                <a:pt x="3507441" y="1176618"/>
              </a:cubicBezTo>
              <a:cubicBezTo>
                <a:pt x="3851088" y="939427"/>
                <a:pt x="3886573" y="469713"/>
                <a:pt x="3922058" y="0"/>
              </a:cubicBezTo>
            </a:path>
          </a:pathLst>
        </a:custGeom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66675</xdr:colOff>
      <xdr:row>0</xdr:row>
      <xdr:rowOff>161926</xdr:rowOff>
    </xdr:from>
    <xdr:to>
      <xdr:col>20</xdr:col>
      <xdr:colOff>161925</xdr:colOff>
      <xdr:row>11</xdr:row>
      <xdr:rowOff>66676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47625</xdr:colOff>
          <xdr:row>1</xdr:row>
          <xdr:rowOff>85725</xdr:rowOff>
        </xdr:from>
        <xdr:to>
          <xdr:col>5</xdr:col>
          <xdr:colOff>238125</xdr:colOff>
          <xdr:row>3</xdr:row>
          <xdr:rowOff>104775</xdr:rowOff>
        </xdr:to>
        <xdr:sp macro="" textlink="">
          <xdr:nvSpPr>
            <xdr:cNvPr id="12289" name="Spinner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8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10</xdr:col>
      <xdr:colOff>504824</xdr:colOff>
      <xdr:row>22</xdr:row>
      <xdr:rowOff>14287</xdr:rowOff>
    </xdr:from>
    <xdr:to>
      <xdr:col>19</xdr:col>
      <xdr:colOff>590549</xdr:colOff>
      <xdr:row>45</xdr:row>
      <xdr:rowOff>28575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573352</xdr:colOff>
      <xdr:row>6</xdr:row>
      <xdr:rowOff>140512</xdr:rowOff>
    </xdr:from>
    <xdr:to>
      <xdr:col>21</xdr:col>
      <xdr:colOff>262512</xdr:colOff>
      <xdr:row>21</xdr:row>
      <xdr:rowOff>26212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0.30034</cdr:x>
      <cdr:y>0.05154</cdr:y>
    </cdr:from>
    <cdr:to>
      <cdr:x>0.30034</cdr:x>
      <cdr:y>0.8563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A313893C-42A9-3D8C-1D29-1357C7C7C1B6}"/>
            </a:ext>
          </a:extLst>
        </cdr:cNvPr>
        <cdr:cNvCxnSpPr/>
      </cdr:nvCxnSpPr>
      <cdr:spPr>
        <a:xfrm xmlns:a="http://schemas.openxmlformats.org/drawingml/2006/main">
          <a:off x="1664284" y="103094"/>
          <a:ext cx="0" cy="160972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0.11775</cdr:x>
      <cdr:y>0.09048</cdr:y>
    </cdr:from>
    <cdr:to>
      <cdr:x>0.27133</cdr:x>
      <cdr:y>0.61905</cdr:y>
    </cdr:to>
    <cdr:cxnSp macro="">
      <cdr:nvCxnSpPr>
        <cdr:cNvPr id="5" name="Прямая соединительная линия 4">
          <a:extLst xmlns:a="http://schemas.openxmlformats.org/drawingml/2006/main">
            <a:ext uri="{FF2B5EF4-FFF2-40B4-BE49-F238E27FC236}">
              <a16:creationId xmlns:a16="http://schemas.microsoft.com/office/drawing/2014/main" id="{C9675A55-5ABD-5459-4131-9B23B612BF7F}"/>
            </a:ext>
          </a:extLst>
        </cdr:cNvPr>
        <cdr:cNvCxnSpPr/>
      </cdr:nvCxnSpPr>
      <cdr:spPr>
        <a:xfrm xmlns:a="http://schemas.openxmlformats.org/drawingml/2006/main">
          <a:off x="657225" y="180974"/>
          <a:ext cx="857250" cy="105727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0.13652</cdr:x>
      <cdr:y>0.08095</cdr:y>
    </cdr:from>
    <cdr:to>
      <cdr:x>0.26451</cdr:x>
      <cdr:y>0.62857</cdr:y>
    </cdr:to>
    <cdr:cxnSp macro="">
      <cdr:nvCxnSpPr>
        <cdr:cNvPr id="7" name="Прямая соединительная линия 6">
          <a:extLst xmlns:a="http://schemas.openxmlformats.org/drawingml/2006/main">
            <a:ext uri="{FF2B5EF4-FFF2-40B4-BE49-F238E27FC236}">
              <a16:creationId xmlns:a16="http://schemas.microsoft.com/office/drawing/2014/main" id="{7060BCE6-68DD-3747-D058-70FB6D93F666}"/>
            </a:ext>
          </a:extLst>
        </cdr:cNvPr>
        <cdr:cNvCxnSpPr/>
      </cdr:nvCxnSpPr>
      <cdr:spPr>
        <a:xfrm xmlns:a="http://schemas.openxmlformats.org/drawingml/2006/main" flipH="1">
          <a:off x="762000" y="161924"/>
          <a:ext cx="714375" cy="109537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178859</xdr:colOff>
      <xdr:row>31</xdr:row>
      <xdr:rowOff>146050</xdr:rowOff>
    </xdr:from>
    <xdr:to>
      <xdr:col>9</xdr:col>
      <xdr:colOff>655108</xdr:colOff>
      <xdr:row>47</xdr:row>
      <xdr:rowOff>88900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15876</xdr:colOff>
      <xdr:row>31</xdr:row>
      <xdr:rowOff>135465</xdr:rowOff>
    </xdr:from>
    <xdr:to>
      <xdr:col>13</xdr:col>
      <xdr:colOff>682626</xdr:colOff>
      <xdr:row>47</xdr:row>
      <xdr:rowOff>49740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243417</xdr:colOff>
      <xdr:row>31</xdr:row>
      <xdr:rowOff>158751</xdr:rowOff>
    </xdr:from>
    <xdr:to>
      <xdr:col>5</xdr:col>
      <xdr:colOff>569383</xdr:colOff>
      <xdr:row>47</xdr:row>
      <xdr:rowOff>109009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760941</xdr:colOff>
      <xdr:row>31</xdr:row>
      <xdr:rowOff>102658</xdr:rowOff>
    </xdr:from>
    <xdr:to>
      <xdr:col>17</xdr:col>
      <xdr:colOff>625475</xdr:colOff>
      <xdr:row>47</xdr:row>
      <xdr:rowOff>7408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161925</xdr:colOff>
      <xdr:row>46</xdr:row>
      <xdr:rowOff>47625</xdr:rowOff>
    </xdr:from>
    <xdr:to>
      <xdr:col>6</xdr:col>
      <xdr:colOff>727669</xdr:colOff>
      <xdr:row>54</xdr:row>
      <xdr:rowOff>81243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/>
      </xdr:nvSpPr>
      <xdr:spPr>
        <a:xfrm>
          <a:off x="733425" y="9001125"/>
          <a:ext cx="4175719" cy="15576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/>
            <a:t>Очевидно, </a:t>
          </a:r>
        </a:p>
        <a:p>
          <a:r>
            <a:rPr lang="ru-RU" sz="1600"/>
            <a:t>через</a:t>
          </a:r>
          <a:r>
            <a:rPr lang="ru-RU" sz="1600" baseline="0"/>
            <a:t> 5 лет прогноз ВВП ожидается </a:t>
          </a:r>
        </a:p>
        <a:p>
          <a:r>
            <a:rPr lang="ru-RU" sz="1600" baseline="0"/>
            <a:t>от 570 трлн руб до 630 трлн руб</a:t>
          </a:r>
          <a:endParaRPr lang="en-US" sz="1600" baseline="0"/>
        </a:p>
        <a:p>
          <a:endParaRPr lang="en-US" sz="1600" baseline="0"/>
        </a:p>
        <a:p>
          <a:r>
            <a:rPr lang="ru-RU" sz="1600" baseline="0"/>
            <a:t>Полученная модель неадекватна, т.к. даёт прогноз от 400 до 570</a:t>
          </a:r>
          <a:endParaRPr lang="en-US" sz="1600"/>
        </a:p>
      </xdr:txBody>
    </xdr:sp>
    <xdr:clientData/>
  </xdr:twoCellAnchor>
  <xdr:twoCellAnchor>
    <xdr:from>
      <xdr:col>18</xdr:col>
      <xdr:colOff>40823</xdr:colOff>
      <xdr:row>31</xdr:row>
      <xdr:rowOff>122464</xdr:rowOff>
    </xdr:from>
    <xdr:to>
      <xdr:col>22</xdr:col>
      <xdr:colOff>353787</xdr:colOff>
      <xdr:row>47</xdr:row>
      <xdr:rowOff>136071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DB169559-6BAA-4028-8442-985CF5367A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340180</xdr:colOff>
      <xdr:row>394</xdr:row>
      <xdr:rowOff>27215</xdr:rowOff>
    </xdr:from>
    <xdr:to>
      <xdr:col>20</xdr:col>
      <xdr:colOff>29881</xdr:colOff>
      <xdr:row>409</xdr:row>
      <xdr:rowOff>93524</xdr:rowOff>
    </xdr:to>
    <xdr:grpSp>
      <xdr:nvGrpSpPr>
        <xdr:cNvPr id="145" name="Группа 144">
          <a:extLst>
            <a:ext uri="{FF2B5EF4-FFF2-40B4-BE49-F238E27FC236}">
              <a16:creationId xmlns:a16="http://schemas.microsoft.com/office/drawing/2014/main" id="{00000000-0008-0000-0A00-000091000000}"/>
            </a:ext>
          </a:extLst>
        </xdr:cNvPr>
        <xdr:cNvGrpSpPr/>
      </xdr:nvGrpSpPr>
      <xdr:grpSpPr>
        <a:xfrm>
          <a:off x="946316" y="75084215"/>
          <a:ext cx="11206292" cy="2923809"/>
          <a:chOff x="952501" y="75084215"/>
          <a:chExt cx="11323809" cy="2923809"/>
        </a:xfrm>
      </xdr:grpSpPr>
      <xdr:pic>
        <xdr:nvPicPr>
          <xdr:cNvPr id="144" name="Рисунок 143">
            <a:extLst>
              <a:ext uri="{FF2B5EF4-FFF2-40B4-BE49-F238E27FC236}">
                <a16:creationId xmlns:a16="http://schemas.microsoft.com/office/drawing/2014/main" id="{00000000-0008-0000-0A00-00009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952501" y="75084215"/>
            <a:ext cx="11323809" cy="2923809"/>
          </a:xfrm>
          <a:prstGeom prst="rect">
            <a:avLst/>
          </a:prstGeom>
        </xdr:spPr>
      </xdr:pic>
      <xdr:sp macro="" textlink="">
        <xdr:nvSpPr>
          <xdr:cNvPr id="143" name="Полилиния 142">
            <a:extLst>
              <a:ext uri="{FF2B5EF4-FFF2-40B4-BE49-F238E27FC236}">
                <a16:creationId xmlns:a16="http://schemas.microsoft.com/office/drawing/2014/main" id="{00000000-0008-0000-0A00-00008F000000}"/>
              </a:ext>
            </a:extLst>
          </xdr:cNvPr>
          <xdr:cNvSpPr/>
        </xdr:nvSpPr>
        <xdr:spPr>
          <a:xfrm>
            <a:off x="9348107" y="76812321"/>
            <a:ext cx="1945822" cy="286013"/>
          </a:xfrm>
          <a:custGeom>
            <a:avLst/>
            <a:gdLst>
              <a:gd name="connsiteX0" fmla="*/ 0 w 1945822"/>
              <a:gd name="connsiteY0" fmla="*/ 0 h 286013"/>
              <a:gd name="connsiteX1" fmla="*/ 1129393 w 1945822"/>
              <a:gd name="connsiteY1" fmla="*/ 285750 h 286013"/>
              <a:gd name="connsiteX2" fmla="*/ 1945822 w 1945822"/>
              <a:gd name="connsiteY2" fmla="*/ 40822 h 28601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w="1945822" h="286013">
                <a:moveTo>
                  <a:pt x="0" y="0"/>
                </a:moveTo>
                <a:cubicBezTo>
                  <a:pt x="402544" y="139473"/>
                  <a:pt x="805089" y="278946"/>
                  <a:pt x="1129393" y="285750"/>
                </a:cubicBezTo>
                <a:cubicBezTo>
                  <a:pt x="1453697" y="292554"/>
                  <a:pt x="1699759" y="166688"/>
                  <a:pt x="1945822" y="40822"/>
                </a:cubicBezTo>
              </a:path>
            </a:pathLst>
          </a:custGeom>
          <a:noFill/>
          <a:ln>
            <a:tailEnd type="triangle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</xdr:grpSp>
    <xdr:clientData/>
  </xdr:twoCellAnchor>
  <xdr:twoCellAnchor>
    <xdr:from>
      <xdr:col>1</xdr:col>
      <xdr:colOff>299357</xdr:colOff>
      <xdr:row>847</xdr:row>
      <xdr:rowOff>0</xdr:rowOff>
    </xdr:from>
    <xdr:to>
      <xdr:col>26</xdr:col>
      <xdr:colOff>410368</xdr:colOff>
      <xdr:row>886</xdr:row>
      <xdr:rowOff>154166</xdr:rowOff>
    </xdr:to>
    <xdr:grpSp>
      <xdr:nvGrpSpPr>
        <xdr:cNvPr id="15" name="Группа 14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GrpSpPr/>
      </xdr:nvGrpSpPr>
      <xdr:grpSpPr>
        <a:xfrm>
          <a:off x="905493" y="161353500"/>
          <a:ext cx="15264420" cy="7635621"/>
          <a:chOff x="911678" y="161353500"/>
          <a:chExt cx="15419047" cy="7638095"/>
        </a:xfrm>
      </xdr:grpSpPr>
      <xdr:pic>
        <xdr:nvPicPr>
          <xdr:cNvPr id="11" name="Рисунок 10">
            <a:extLst>
              <a:ext uri="{FF2B5EF4-FFF2-40B4-BE49-F238E27FC236}">
                <a16:creationId xmlns:a16="http://schemas.microsoft.com/office/drawing/2014/main" id="{00000000-0008-0000-0A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11678" y="161353500"/>
            <a:ext cx="15419047" cy="7638095"/>
          </a:xfrm>
          <a:prstGeom prst="rect">
            <a:avLst/>
          </a:prstGeom>
        </xdr:spPr>
      </xdr:pic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A00-00005A000000}"/>
              </a:ext>
            </a:extLst>
          </xdr:cNvPr>
          <xdr:cNvSpPr txBox="1"/>
        </xdr:nvSpPr>
        <xdr:spPr>
          <a:xfrm>
            <a:off x="1428750" y="167354250"/>
            <a:ext cx="5758961" cy="83526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ru-RU" sz="1400">
                <a:solidFill>
                  <a:srgbClr val="7030A0"/>
                </a:solidFill>
              </a:rPr>
              <a:t>Т.о. возможно разделение ряда на 2 участка: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ru-RU" sz="1400">
                <a:solidFill>
                  <a:srgbClr val="7030A0"/>
                </a:solidFill>
                <a:latin typeface="+mn-lt"/>
                <a:ea typeface="+mn-ea"/>
                <a:cs typeface="+mn-cs"/>
              </a:rPr>
              <a:t>- по критерию мах разности средних</a:t>
            </a:r>
            <a:r>
              <a:rPr lang="ru-RU" sz="1400" baseline="0">
                <a:solidFill>
                  <a:srgbClr val="7030A0"/>
                </a:solidFill>
                <a:latin typeface="+mn-lt"/>
                <a:ea typeface="+mn-ea"/>
                <a:cs typeface="+mn-cs"/>
              </a:rPr>
              <a:t> - по 14 и с 15 наблюдения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ru-RU" sz="1400" baseline="0">
                <a:solidFill>
                  <a:srgbClr val="7030A0"/>
                </a:solidFill>
                <a:latin typeface="+mn-lt"/>
                <a:ea typeface="+mn-ea"/>
                <a:cs typeface="+mn-cs"/>
              </a:rPr>
              <a:t>- по критерию мах отношения средних - по 5 и с 6 наблюдения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ru-RU" sz="1400">
              <a:solidFill>
                <a:schemeClr val="dk1"/>
              </a:solidFill>
              <a:latin typeface="+mn-lt"/>
              <a:ea typeface="+mn-ea"/>
              <a:cs typeface="+mn-cs"/>
            </a:endParaRPr>
          </a:p>
          <a:p>
            <a:endParaRPr lang="ru-RU" sz="1800"/>
          </a:p>
          <a:p>
            <a:endParaRPr lang="ru-RU" sz="1800"/>
          </a:p>
        </xdr:txBody>
      </xdr:sp>
    </xdr:grpSp>
    <xdr:clientData/>
  </xdr:twoCellAnchor>
  <xdr:twoCellAnchor editAs="oneCell">
    <xdr:from>
      <xdr:col>31</xdr:col>
      <xdr:colOff>108856</xdr:colOff>
      <xdr:row>354</xdr:row>
      <xdr:rowOff>108857</xdr:rowOff>
    </xdr:from>
    <xdr:to>
      <xdr:col>43</xdr:col>
      <xdr:colOff>560999</xdr:colOff>
      <xdr:row>370</xdr:row>
      <xdr:rowOff>79905</xdr:rowOff>
    </xdr:to>
    <xdr:pic>
      <xdr:nvPicPr>
        <xdr:cNvPr id="137" name="Рисунок 136">
          <a:extLst>
            <a:ext uri="{FF2B5EF4-FFF2-40B4-BE49-F238E27FC236}">
              <a16:creationId xmlns:a16="http://schemas.microsoft.com/office/drawing/2014/main" id="{00000000-0008-0000-0A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226892" y="67545857"/>
          <a:ext cx="7800000" cy="30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0</xdr:row>
      <xdr:rowOff>76200</xdr:rowOff>
    </xdr:from>
    <xdr:to>
      <xdr:col>12</xdr:col>
      <xdr:colOff>8711</xdr:colOff>
      <xdr:row>33</xdr:row>
      <xdr:rowOff>132557</xdr:rowOff>
    </xdr:to>
    <xdr:pic>
      <xdr:nvPicPr>
        <xdr:cNvPr id="49" name="Рисунок 48">
          <a:extLst>
            <a:ext uri="{FF2B5EF4-FFF2-40B4-BE49-F238E27FC236}">
              <a16:creationId xmlns:a16="http://schemas.microsoft.com/office/drawing/2014/main" id="{00000000-0008-0000-0A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9625" y="76200"/>
          <a:ext cx="6514286" cy="6342857"/>
        </a:xfrm>
        <a:prstGeom prst="rect">
          <a:avLst/>
        </a:prstGeom>
      </xdr:spPr>
    </xdr:pic>
    <xdr:clientData/>
  </xdr:twoCellAnchor>
  <xdr:twoCellAnchor>
    <xdr:from>
      <xdr:col>1</xdr:col>
      <xdr:colOff>212272</xdr:colOff>
      <xdr:row>35</xdr:row>
      <xdr:rowOff>23132</xdr:rowOff>
    </xdr:from>
    <xdr:to>
      <xdr:col>17</xdr:col>
      <xdr:colOff>585202</xdr:colOff>
      <xdr:row>73</xdr:row>
      <xdr:rowOff>98418</xdr:rowOff>
    </xdr:to>
    <xdr:grpSp>
      <xdr:nvGrpSpPr>
        <xdr:cNvPr id="17" name="Группа 16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GrpSpPr/>
      </xdr:nvGrpSpPr>
      <xdr:grpSpPr>
        <a:xfrm>
          <a:off x="818408" y="6690632"/>
          <a:ext cx="10071112" cy="7314286"/>
          <a:chOff x="824593" y="6690632"/>
          <a:chExt cx="10170073" cy="7314286"/>
        </a:xfrm>
      </xdr:grpSpPr>
      <xdr:pic>
        <xdr:nvPicPr>
          <xdr:cNvPr id="10" name="Рисунок 9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824593" y="6690632"/>
            <a:ext cx="10170073" cy="7314286"/>
          </a:xfrm>
          <a:prstGeom prst="rect">
            <a:avLst/>
          </a:prstGeom>
        </xdr:spPr>
      </xdr:pic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A00-000033000000}"/>
              </a:ext>
            </a:extLst>
          </xdr:cNvPr>
          <xdr:cNvSpPr txBox="1"/>
        </xdr:nvSpPr>
        <xdr:spPr>
          <a:xfrm>
            <a:off x="3313339" y="9050110"/>
            <a:ext cx="2265590" cy="1046389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7030A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100">
                <a:solidFill>
                  <a:srgbClr val="7030A0"/>
                </a:solidFill>
              </a:rPr>
              <a:t>Если надо вывести левый столбец (года) как подписи оси оХ, перед построением графика надо временно убрать название столбца куда-нибудь.</a:t>
            </a:r>
          </a:p>
        </xdr:txBody>
      </xdr:sp>
      <xdr:sp macro="" textlink="">
        <xdr:nvSpPr>
          <xdr:cNvPr id="14" name="Полилиния 13">
            <a:extLst>
              <a:ext uri="{FF2B5EF4-FFF2-40B4-BE49-F238E27FC236}">
                <a16:creationId xmlns:a16="http://schemas.microsoft.com/office/drawing/2014/main" id="{00000000-0008-0000-0A00-00000E000000}"/>
              </a:ext>
            </a:extLst>
          </xdr:cNvPr>
          <xdr:cNvSpPr/>
        </xdr:nvSpPr>
        <xdr:spPr>
          <a:xfrm>
            <a:off x="1660071" y="8409214"/>
            <a:ext cx="2571750" cy="218071"/>
          </a:xfrm>
          <a:custGeom>
            <a:avLst/>
            <a:gdLst>
              <a:gd name="connsiteX0" fmla="*/ 0 w 2571750"/>
              <a:gd name="connsiteY0" fmla="*/ 0 h 218071"/>
              <a:gd name="connsiteX1" fmla="*/ 1455965 w 2571750"/>
              <a:gd name="connsiteY1" fmla="*/ 217715 h 218071"/>
              <a:gd name="connsiteX2" fmla="*/ 2571750 w 2571750"/>
              <a:gd name="connsiteY2" fmla="*/ 40822 h 21807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w="2571750" h="218071">
                <a:moveTo>
                  <a:pt x="0" y="0"/>
                </a:moveTo>
                <a:cubicBezTo>
                  <a:pt x="513670" y="105455"/>
                  <a:pt x="1027340" y="210911"/>
                  <a:pt x="1455965" y="217715"/>
                </a:cubicBezTo>
                <a:cubicBezTo>
                  <a:pt x="1884590" y="224519"/>
                  <a:pt x="2228170" y="132670"/>
                  <a:pt x="2571750" y="40822"/>
                </a:cubicBezTo>
              </a:path>
            </a:pathLst>
          </a:custGeom>
          <a:noFill/>
          <a:ln>
            <a:solidFill>
              <a:srgbClr val="7030A0"/>
            </a:solidFill>
            <a:tailEnd type="triangle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cxnSp macro="">
        <xdr:nvCxnSpPr>
          <xdr:cNvPr id="16" name="Прямая со стрелкой 15">
            <a:extLst>
              <a:ext uri="{FF2B5EF4-FFF2-40B4-BE49-F238E27FC236}">
                <a16:creationId xmlns:a16="http://schemas.microsoft.com/office/drawing/2014/main" id="{00000000-0008-0000-0A00-000010000000}"/>
              </a:ext>
            </a:extLst>
          </xdr:cNvPr>
          <xdr:cNvCxnSpPr/>
        </xdr:nvCxnSpPr>
        <xdr:spPr>
          <a:xfrm>
            <a:off x="1564821" y="9552214"/>
            <a:ext cx="3265715" cy="2667000"/>
          </a:xfrm>
          <a:prstGeom prst="straightConnector1">
            <a:avLst/>
          </a:prstGeom>
          <a:ln>
            <a:solidFill>
              <a:srgbClr val="7030A0"/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244929</xdr:colOff>
      <xdr:row>74</xdr:row>
      <xdr:rowOff>54429</xdr:rowOff>
    </xdr:from>
    <xdr:to>
      <xdr:col>18</xdr:col>
      <xdr:colOff>244928</xdr:colOff>
      <xdr:row>108</xdr:row>
      <xdr:rowOff>35152</xdr:rowOff>
    </xdr:to>
    <xdr:grpSp>
      <xdr:nvGrpSpPr>
        <xdr:cNvPr id="57" name="Группа 56">
          <a:extLst>
            <a:ext uri="{FF2B5EF4-FFF2-40B4-BE49-F238E27FC236}">
              <a16:creationId xmlns:a16="http://schemas.microsoft.com/office/drawing/2014/main" id="{00000000-0008-0000-0A00-000039000000}"/>
            </a:ext>
          </a:extLst>
        </xdr:cNvPr>
        <xdr:cNvGrpSpPr/>
      </xdr:nvGrpSpPr>
      <xdr:grpSpPr>
        <a:xfrm>
          <a:off x="851065" y="14151429"/>
          <a:ext cx="10304318" cy="6457723"/>
          <a:chOff x="857250" y="14151429"/>
          <a:chExt cx="10409464" cy="6457723"/>
        </a:xfrm>
      </xdr:grpSpPr>
      <xdr:pic>
        <xdr:nvPicPr>
          <xdr:cNvPr id="22" name="Рисунок 21">
            <a:extLst>
              <a:ext uri="{FF2B5EF4-FFF2-40B4-BE49-F238E27FC236}">
                <a16:creationId xmlns:a16="http://schemas.microsoft.com/office/drawing/2014/main" id="{00000000-0008-0000-0A00-00001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857250" y="14151429"/>
            <a:ext cx="10409464" cy="6457723"/>
          </a:xfrm>
          <a:prstGeom prst="rect">
            <a:avLst/>
          </a:prstGeom>
        </xdr:spPr>
      </xdr:pic>
      <xdr:sp macro="" textlink="">
        <xdr:nvSpPr>
          <xdr:cNvPr id="35" name="Полилиния 34">
            <a:extLst>
              <a:ext uri="{FF2B5EF4-FFF2-40B4-BE49-F238E27FC236}">
                <a16:creationId xmlns:a16="http://schemas.microsoft.com/office/drawing/2014/main" id="{00000000-0008-0000-0A00-000023000000}"/>
              </a:ext>
            </a:extLst>
          </xdr:cNvPr>
          <xdr:cNvSpPr/>
        </xdr:nvSpPr>
        <xdr:spPr>
          <a:xfrm>
            <a:off x="5887267" y="16083643"/>
            <a:ext cx="1324519" cy="4027714"/>
          </a:xfrm>
          <a:custGeom>
            <a:avLst/>
            <a:gdLst>
              <a:gd name="connsiteX0" fmla="*/ 521697 w 1324519"/>
              <a:gd name="connsiteY0" fmla="*/ 0 h 4027714"/>
              <a:gd name="connsiteX1" fmla="*/ 31840 w 1324519"/>
              <a:gd name="connsiteY1" fmla="*/ 1496786 h 4027714"/>
              <a:gd name="connsiteX2" fmla="*/ 1324519 w 1324519"/>
              <a:gd name="connsiteY2" fmla="*/ 4027714 h 402771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w="1324519" h="4027714">
                <a:moveTo>
                  <a:pt x="521697" y="0"/>
                </a:moveTo>
                <a:cubicBezTo>
                  <a:pt x="209866" y="412750"/>
                  <a:pt x="-101964" y="825501"/>
                  <a:pt x="31840" y="1496786"/>
                </a:cubicBezTo>
                <a:cubicBezTo>
                  <a:pt x="165644" y="2168071"/>
                  <a:pt x="745081" y="3097892"/>
                  <a:pt x="1324519" y="4027714"/>
                </a:cubicBezTo>
              </a:path>
            </a:pathLst>
          </a:custGeom>
          <a:noFill/>
          <a:ln>
            <a:solidFill>
              <a:srgbClr val="7030A0"/>
            </a:solidFill>
            <a:tailEnd type="triangle" w="lg" len="lg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A00-000042000000}"/>
              </a:ext>
            </a:extLst>
          </xdr:cNvPr>
          <xdr:cNvSpPr txBox="1"/>
        </xdr:nvSpPr>
        <xdr:spPr>
          <a:xfrm>
            <a:off x="8082643" y="19022786"/>
            <a:ext cx="2039710" cy="625928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7030A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100">
                <a:solidFill>
                  <a:srgbClr val="7030A0"/>
                </a:solidFill>
              </a:rPr>
              <a:t>границы канала опираются</a:t>
            </a:r>
            <a:r>
              <a:rPr lang="ru-RU" sz="1100" baseline="0">
                <a:solidFill>
                  <a:srgbClr val="7030A0"/>
                </a:solidFill>
              </a:rPr>
              <a:t> минимум на две точки данных</a:t>
            </a:r>
            <a:endParaRPr lang="ru-RU" sz="1100">
              <a:solidFill>
                <a:srgbClr val="7030A0"/>
              </a:solidFill>
            </a:endParaRPr>
          </a:p>
        </xdr:txBody>
      </xdr:sp>
      <xdr:cxnSp macro="">
        <xdr:nvCxnSpPr>
          <xdr:cNvPr id="39" name="Прямая со стрелкой 38">
            <a:extLst>
              <a:ext uri="{FF2B5EF4-FFF2-40B4-BE49-F238E27FC236}">
                <a16:creationId xmlns:a16="http://schemas.microsoft.com/office/drawing/2014/main" id="{00000000-0008-0000-0A00-000027000000}"/>
              </a:ext>
            </a:extLst>
          </xdr:cNvPr>
          <xdr:cNvCxnSpPr>
            <a:stCxn id="66" idx="0"/>
          </xdr:cNvCxnSpPr>
        </xdr:nvCxnSpPr>
        <xdr:spPr>
          <a:xfrm flipV="1">
            <a:off x="9102498" y="16927286"/>
            <a:ext cx="844323" cy="2095500"/>
          </a:xfrm>
          <a:prstGeom prst="straightConnector1">
            <a:avLst/>
          </a:prstGeom>
          <a:ln>
            <a:solidFill>
              <a:srgbClr val="7030A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7" name="Прямая со стрелкой 66">
            <a:extLst>
              <a:ext uri="{FF2B5EF4-FFF2-40B4-BE49-F238E27FC236}">
                <a16:creationId xmlns:a16="http://schemas.microsoft.com/office/drawing/2014/main" id="{00000000-0008-0000-0A00-000043000000}"/>
              </a:ext>
            </a:extLst>
          </xdr:cNvPr>
          <xdr:cNvCxnSpPr>
            <a:stCxn id="66" idx="0"/>
          </xdr:cNvCxnSpPr>
        </xdr:nvCxnSpPr>
        <xdr:spPr>
          <a:xfrm flipH="1" flipV="1">
            <a:off x="8001000" y="18179143"/>
            <a:ext cx="1101498" cy="843643"/>
          </a:xfrm>
          <a:prstGeom prst="straightConnector1">
            <a:avLst/>
          </a:prstGeom>
          <a:ln>
            <a:solidFill>
              <a:srgbClr val="7030A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20</xdr:col>
      <xdr:colOff>204106</xdr:colOff>
      <xdr:row>80</xdr:row>
      <xdr:rowOff>163287</xdr:rowOff>
    </xdr:from>
    <xdr:to>
      <xdr:col>30</xdr:col>
      <xdr:colOff>299940</xdr:colOff>
      <xdr:row>118</xdr:row>
      <xdr:rowOff>114763</xdr:rowOff>
    </xdr:to>
    <xdr:pic>
      <xdr:nvPicPr>
        <xdr:cNvPr id="58" name="Рисунок 57">
          <a:extLst>
            <a:ext uri="{FF2B5EF4-FFF2-40B4-BE49-F238E27FC236}">
              <a16:creationId xmlns:a16="http://schemas.microsoft.com/office/drawing/2014/main" id="{00000000-0008-0000-0A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450535" y="15403287"/>
          <a:ext cx="6219048" cy="7190476"/>
        </a:xfrm>
        <a:prstGeom prst="rect">
          <a:avLst/>
        </a:prstGeom>
      </xdr:spPr>
    </xdr:pic>
    <xdr:clientData/>
  </xdr:twoCellAnchor>
  <xdr:twoCellAnchor>
    <xdr:from>
      <xdr:col>1</xdr:col>
      <xdr:colOff>503464</xdr:colOff>
      <xdr:row>105</xdr:row>
      <xdr:rowOff>68036</xdr:rowOff>
    </xdr:from>
    <xdr:to>
      <xdr:col>11</xdr:col>
      <xdr:colOff>518782</xdr:colOff>
      <xdr:row>148</xdr:row>
      <xdr:rowOff>81643</xdr:rowOff>
    </xdr:to>
    <xdr:grpSp>
      <xdr:nvGrpSpPr>
        <xdr:cNvPr id="81" name="Группа 80">
          <a:extLst>
            <a:ext uri="{FF2B5EF4-FFF2-40B4-BE49-F238E27FC236}">
              <a16:creationId xmlns:a16="http://schemas.microsoft.com/office/drawing/2014/main" id="{00000000-0008-0000-0A00-000051000000}"/>
            </a:ext>
          </a:extLst>
        </xdr:cNvPr>
        <xdr:cNvGrpSpPr/>
      </xdr:nvGrpSpPr>
      <xdr:grpSpPr>
        <a:xfrm>
          <a:off x="1109600" y="20070536"/>
          <a:ext cx="6076682" cy="8205107"/>
          <a:chOff x="1115785" y="20070536"/>
          <a:chExt cx="6138533" cy="8205107"/>
        </a:xfrm>
      </xdr:grpSpPr>
      <xdr:pic>
        <xdr:nvPicPr>
          <xdr:cNvPr id="69" name="Рисунок 68">
            <a:extLst>
              <a:ext uri="{FF2B5EF4-FFF2-40B4-BE49-F238E27FC236}">
                <a16:creationId xmlns:a16="http://schemas.microsoft.com/office/drawing/2014/main" id="{00000000-0008-0000-0A00-00004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115785" y="21131893"/>
            <a:ext cx="6138533" cy="7143750"/>
          </a:xfrm>
          <a:prstGeom prst="rect">
            <a:avLst/>
          </a:prstGeom>
        </xdr:spPr>
      </xdr:pic>
      <xdr:cxnSp macro="">
        <xdr:nvCxnSpPr>
          <xdr:cNvPr id="71" name="Прямая со стрелкой 70">
            <a:extLst>
              <a:ext uri="{FF2B5EF4-FFF2-40B4-BE49-F238E27FC236}">
                <a16:creationId xmlns:a16="http://schemas.microsoft.com/office/drawing/2014/main" id="{00000000-0008-0000-0A00-000047000000}"/>
              </a:ext>
            </a:extLst>
          </xdr:cNvPr>
          <xdr:cNvCxnSpPr/>
        </xdr:nvCxnSpPr>
        <xdr:spPr>
          <a:xfrm>
            <a:off x="4599214" y="20084143"/>
            <a:ext cx="830036" cy="1932214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3" name="Прямая со стрелкой 72">
            <a:extLst>
              <a:ext uri="{FF2B5EF4-FFF2-40B4-BE49-F238E27FC236}">
                <a16:creationId xmlns:a16="http://schemas.microsoft.com/office/drawing/2014/main" id="{00000000-0008-0000-0A00-000049000000}"/>
              </a:ext>
            </a:extLst>
          </xdr:cNvPr>
          <xdr:cNvCxnSpPr/>
        </xdr:nvCxnSpPr>
        <xdr:spPr>
          <a:xfrm>
            <a:off x="4599214" y="20070536"/>
            <a:ext cx="2013857" cy="1877785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5" name="Прямая со стрелкой 74">
            <a:extLst>
              <a:ext uri="{FF2B5EF4-FFF2-40B4-BE49-F238E27FC236}">
                <a16:creationId xmlns:a16="http://schemas.microsoft.com/office/drawing/2014/main" id="{00000000-0008-0000-0A00-00004B000000}"/>
              </a:ext>
            </a:extLst>
          </xdr:cNvPr>
          <xdr:cNvCxnSpPr/>
        </xdr:nvCxnSpPr>
        <xdr:spPr>
          <a:xfrm>
            <a:off x="6218464" y="20111357"/>
            <a:ext cx="285750" cy="2911929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7" name="Прямая со стрелкой 76">
            <a:extLst>
              <a:ext uri="{FF2B5EF4-FFF2-40B4-BE49-F238E27FC236}">
                <a16:creationId xmlns:a16="http://schemas.microsoft.com/office/drawing/2014/main" id="{00000000-0008-0000-0A00-00004D000000}"/>
              </a:ext>
            </a:extLst>
          </xdr:cNvPr>
          <xdr:cNvCxnSpPr/>
        </xdr:nvCxnSpPr>
        <xdr:spPr>
          <a:xfrm>
            <a:off x="6218464" y="20124964"/>
            <a:ext cx="163286" cy="3469822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8" name="Прямоугольник 77">
            <a:extLst>
              <a:ext uri="{FF2B5EF4-FFF2-40B4-BE49-F238E27FC236}">
                <a16:creationId xmlns:a16="http://schemas.microsoft.com/office/drawing/2014/main" id="{00000000-0008-0000-0A00-00004E000000}"/>
              </a:ext>
            </a:extLst>
          </xdr:cNvPr>
          <xdr:cNvSpPr/>
        </xdr:nvSpPr>
        <xdr:spPr>
          <a:xfrm>
            <a:off x="5704113" y="23725415"/>
            <a:ext cx="718457" cy="168728"/>
          </a:xfrm>
          <a:prstGeom prst="rect">
            <a:avLst/>
          </a:prstGeom>
          <a:noFill/>
          <a:ln w="19050">
            <a:solidFill>
              <a:srgbClr val="FF0000"/>
            </a:solidFill>
            <a:prstDash val="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cxnSp macro="">
        <xdr:nvCxnSpPr>
          <xdr:cNvPr id="80" name="Прямая со стрелкой 79">
            <a:extLst>
              <a:ext uri="{FF2B5EF4-FFF2-40B4-BE49-F238E27FC236}">
                <a16:creationId xmlns:a16="http://schemas.microsoft.com/office/drawing/2014/main" id="{00000000-0008-0000-0A00-000050000000}"/>
              </a:ext>
            </a:extLst>
          </xdr:cNvPr>
          <xdr:cNvCxnSpPr/>
        </xdr:nvCxnSpPr>
        <xdr:spPr>
          <a:xfrm flipV="1">
            <a:off x="4367893" y="23907750"/>
            <a:ext cx="1728107" cy="2993571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244928</xdr:colOff>
      <xdr:row>124</xdr:row>
      <xdr:rowOff>68036</xdr:rowOff>
    </xdr:from>
    <xdr:to>
      <xdr:col>20</xdr:col>
      <xdr:colOff>52251</xdr:colOff>
      <xdr:row>174</xdr:row>
      <xdr:rowOff>136071</xdr:rowOff>
    </xdr:to>
    <xdr:grpSp>
      <xdr:nvGrpSpPr>
        <xdr:cNvPr id="93" name="Группа 92">
          <a:extLst>
            <a:ext uri="{FF2B5EF4-FFF2-40B4-BE49-F238E27FC236}">
              <a16:creationId xmlns:a16="http://schemas.microsoft.com/office/drawing/2014/main" id="{00000000-0008-0000-0A00-00005D000000}"/>
            </a:ext>
          </a:extLst>
        </xdr:cNvPr>
        <xdr:cNvGrpSpPr/>
      </xdr:nvGrpSpPr>
      <xdr:grpSpPr>
        <a:xfrm>
          <a:off x="851064" y="23690036"/>
          <a:ext cx="11323914" cy="9593035"/>
          <a:chOff x="857249" y="23690036"/>
          <a:chExt cx="11441431" cy="9593035"/>
        </a:xfrm>
      </xdr:grpSpPr>
      <xdr:pic>
        <xdr:nvPicPr>
          <xdr:cNvPr id="83" name="Рисунок 82">
            <a:extLst>
              <a:ext uri="{FF2B5EF4-FFF2-40B4-BE49-F238E27FC236}">
                <a16:creationId xmlns:a16="http://schemas.microsoft.com/office/drawing/2014/main" id="{00000000-0008-0000-0A00-00005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857249" y="28561392"/>
            <a:ext cx="7709495" cy="4721679"/>
          </a:xfrm>
          <a:prstGeom prst="rect">
            <a:avLst/>
          </a:prstGeom>
        </xdr:spPr>
      </xdr:pic>
      <xdr:pic>
        <xdr:nvPicPr>
          <xdr:cNvPr id="84" name="Рисунок 83">
            <a:extLst>
              <a:ext uri="{FF2B5EF4-FFF2-40B4-BE49-F238E27FC236}">
                <a16:creationId xmlns:a16="http://schemas.microsoft.com/office/drawing/2014/main" id="{00000000-0008-0000-0A00-00005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8572499" y="28575000"/>
            <a:ext cx="3726181" cy="4435929"/>
          </a:xfrm>
          <a:prstGeom prst="rect">
            <a:avLst/>
          </a:prstGeom>
        </xdr:spPr>
      </xdr:pic>
      <xdr:sp macro="" textlink="">
        <xdr:nvSpPr>
          <xdr:cNvPr id="85" name="Полилиния 84">
            <a:extLst>
              <a:ext uri="{FF2B5EF4-FFF2-40B4-BE49-F238E27FC236}">
                <a16:creationId xmlns:a16="http://schemas.microsoft.com/office/drawing/2014/main" id="{00000000-0008-0000-0A00-000055000000}"/>
              </a:ext>
            </a:extLst>
          </xdr:cNvPr>
          <xdr:cNvSpPr/>
        </xdr:nvSpPr>
        <xdr:spPr>
          <a:xfrm>
            <a:off x="6953250" y="23690036"/>
            <a:ext cx="1231252" cy="8109857"/>
          </a:xfrm>
          <a:custGeom>
            <a:avLst/>
            <a:gdLst>
              <a:gd name="connsiteX0" fmla="*/ 0 w 1231252"/>
              <a:gd name="connsiteY0" fmla="*/ 0 h 8109857"/>
              <a:gd name="connsiteX1" fmla="*/ 1211036 w 1231252"/>
              <a:gd name="connsiteY1" fmla="*/ 3088821 h 8109857"/>
              <a:gd name="connsiteX2" fmla="*/ 789214 w 1231252"/>
              <a:gd name="connsiteY2" fmla="*/ 8109857 h 8109857"/>
              <a:gd name="connsiteX3" fmla="*/ 789214 w 1231252"/>
              <a:gd name="connsiteY3" fmla="*/ 8109857 h 8109857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231252" h="8109857">
                <a:moveTo>
                  <a:pt x="0" y="0"/>
                </a:moveTo>
                <a:cubicBezTo>
                  <a:pt x="539750" y="868589"/>
                  <a:pt x="1079500" y="1737178"/>
                  <a:pt x="1211036" y="3088821"/>
                </a:cubicBezTo>
                <a:cubicBezTo>
                  <a:pt x="1342572" y="4440464"/>
                  <a:pt x="789214" y="8109857"/>
                  <a:pt x="789214" y="8109857"/>
                </a:cubicBezTo>
                <a:lnTo>
                  <a:pt x="789214" y="8109857"/>
                </a:lnTo>
              </a:path>
            </a:pathLst>
          </a:custGeom>
          <a:noFill/>
          <a:ln>
            <a:solidFill>
              <a:srgbClr val="7030A0"/>
            </a:solidFill>
            <a:tailEnd type="triangle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cxnSp macro="">
        <xdr:nvCxnSpPr>
          <xdr:cNvPr id="87" name="Прямая со стрелкой 86">
            <a:extLst>
              <a:ext uri="{FF2B5EF4-FFF2-40B4-BE49-F238E27FC236}">
                <a16:creationId xmlns:a16="http://schemas.microsoft.com/office/drawing/2014/main" id="{00000000-0008-0000-0A00-000057000000}"/>
              </a:ext>
            </a:extLst>
          </xdr:cNvPr>
          <xdr:cNvCxnSpPr/>
        </xdr:nvCxnSpPr>
        <xdr:spPr>
          <a:xfrm flipV="1">
            <a:off x="7810500" y="30139821"/>
            <a:ext cx="993321" cy="1605644"/>
          </a:xfrm>
          <a:prstGeom prst="straightConnector1">
            <a:avLst/>
          </a:prstGeom>
          <a:ln>
            <a:solidFill>
              <a:srgbClr val="7030A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9" name="Прямоугольник 88">
            <a:extLst>
              <a:ext uri="{FF2B5EF4-FFF2-40B4-BE49-F238E27FC236}">
                <a16:creationId xmlns:a16="http://schemas.microsoft.com/office/drawing/2014/main" id="{00000000-0008-0000-0A00-000059000000}"/>
              </a:ext>
            </a:extLst>
          </xdr:cNvPr>
          <xdr:cNvSpPr/>
        </xdr:nvSpPr>
        <xdr:spPr>
          <a:xfrm>
            <a:off x="8860969" y="30052736"/>
            <a:ext cx="1058637" cy="236764"/>
          </a:xfrm>
          <a:prstGeom prst="rect">
            <a:avLst/>
          </a:prstGeom>
          <a:noFill/>
          <a:ln w="19050">
            <a:solidFill>
              <a:srgbClr val="FF0000"/>
            </a:solidFill>
            <a:prstDash val="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cxnSp macro="">
        <xdr:nvCxnSpPr>
          <xdr:cNvPr id="92" name="Прямая со стрелкой 91">
            <a:extLst>
              <a:ext uri="{FF2B5EF4-FFF2-40B4-BE49-F238E27FC236}">
                <a16:creationId xmlns:a16="http://schemas.microsoft.com/office/drawing/2014/main" id="{00000000-0008-0000-0A00-00005C000000}"/>
              </a:ext>
            </a:extLst>
          </xdr:cNvPr>
          <xdr:cNvCxnSpPr/>
        </xdr:nvCxnSpPr>
        <xdr:spPr>
          <a:xfrm flipH="1" flipV="1">
            <a:off x="5116286" y="29690786"/>
            <a:ext cx="3701143" cy="476250"/>
          </a:xfrm>
          <a:prstGeom prst="straightConnector1">
            <a:avLst/>
          </a:prstGeom>
          <a:ln>
            <a:solidFill>
              <a:srgbClr val="7030A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272143</xdr:colOff>
      <xdr:row>176</xdr:row>
      <xdr:rowOff>176893</xdr:rowOff>
    </xdr:from>
    <xdr:to>
      <xdr:col>13</xdr:col>
      <xdr:colOff>324285</xdr:colOff>
      <xdr:row>206</xdr:row>
      <xdr:rowOff>42845</xdr:rowOff>
    </xdr:to>
    <xdr:grpSp>
      <xdr:nvGrpSpPr>
        <xdr:cNvPr id="100" name="Группа 99">
          <a:extLst>
            <a:ext uri="{FF2B5EF4-FFF2-40B4-BE49-F238E27FC236}">
              <a16:creationId xmlns:a16="http://schemas.microsoft.com/office/drawing/2014/main" id="{00000000-0008-0000-0A00-000064000000}"/>
            </a:ext>
          </a:extLst>
        </xdr:cNvPr>
        <xdr:cNvGrpSpPr/>
      </xdr:nvGrpSpPr>
      <xdr:grpSpPr>
        <a:xfrm>
          <a:off x="878279" y="33704893"/>
          <a:ext cx="7325779" cy="5580952"/>
          <a:chOff x="884464" y="33704893"/>
          <a:chExt cx="7400000" cy="5580952"/>
        </a:xfrm>
      </xdr:grpSpPr>
      <xdr:pic>
        <xdr:nvPicPr>
          <xdr:cNvPr id="94" name="Рисунок 93">
            <a:extLst>
              <a:ext uri="{FF2B5EF4-FFF2-40B4-BE49-F238E27FC236}">
                <a16:creationId xmlns:a16="http://schemas.microsoft.com/office/drawing/2014/main" id="{00000000-0008-0000-0A00-00005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884464" y="33704893"/>
            <a:ext cx="7400000" cy="5580952"/>
          </a:xfrm>
          <a:prstGeom prst="rect">
            <a:avLst/>
          </a:prstGeom>
        </xdr:spPr>
      </xdr:pic>
      <xdr:cxnSp macro="">
        <xdr:nvCxnSpPr>
          <xdr:cNvPr id="96" name="Прямая со стрелкой 95">
            <a:extLst>
              <a:ext uri="{FF2B5EF4-FFF2-40B4-BE49-F238E27FC236}">
                <a16:creationId xmlns:a16="http://schemas.microsoft.com/office/drawing/2014/main" id="{00000000-0008-0000-0A00-000060000000}"/>
              </a:ext>
            </a:extLst>
          </xdr:cNvPr>
          <xdr:cNvCxnSpPr/>
        </xdr:nvCxnSpPr>
        <xdr:spPr>
          <a:xfrm>
            <a:off x="5347607" y="35201679"/>
            <a:ext cx="1959429" cy="1020535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7" name="Прямая со стрелкой 96">
            <a:extLst>
              <a:ext uri="{FF2B5EF4-FFF2-40B4-BE49-F238E27FC236}">
                <a16:creationId xmlns:a16="http://schemas.microsoft.com/office/drawing/2014/main" id="{00000000-0008-0000-0A00-000061000000}"/>
              </a:ext>
            </a:extLst>
          </xdr:cNvPr>
          <xdr:cNvCxnSpPr/>
        </xdr:nvCxnSpPr>
        <xdr:spPr>
          <a:xfrm>
            <a:off x="5374821" y="34997571"/>
            <a:ext cx="1061358" cy="1156608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</xdr:col>
      <xdr:colOff>299358</xdr:colOff>
      <xdr:row>207</xdr:row>
      <xdr:rowOff>176892</xdr:rowOff>
    </xdr:from>
    <xdr:to>
      <xdr:col>11</xdr:col>
      <xdr:colOff>452333</xdr:colOff>
      <xdr:row>242</xdr:row>
      <xdr:rowOff>118916</xdr:rowOff>
    </xdr:to>
    <xdr:pic>
      <xdr:nvPicPr>
        <xdr:cNvPr id="101" name="Рисунок 100">
          <a:extLst>
            <a:ext uri="{FF2B5EF4-FFF2-40B4-BE49-F238E27FC236}">
              <a16:creationId xmlns:a16="http://schemas.microsoft.com/office/drawing/2014/main" id="{00000000-0008-0000-0A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11679" y="39610392"/>
          <a:ext cx="6276190" cy="6609524"/>
        </a:xfrm>
        <a:prstGeom prst="rect">
          <a:avLst/>
        </a:prstGeom>
      </xdr:spPr>
    </xdr:pic>
    <xdr:clientData/>
  </xdr:twoCellAnchor>
  <xdr:twoCellAnchor editAs="oneCell">
    <xdr:from>
      <xdr:col>1</xdr:col>
      <xdr:colOff>326572</xdr:colOff>
      <xdr:row>244</xdr:row>
      <xdr:rowOff>54428</xdr:rowOff>
    </xdr:from>
    <xdr:to>
      <xdr:col>12</xdr:col>
      <xdr:colOff>229131</xdr:colOff>
      <xdr:row>278</xdr:row>
      <xdr:rowOff>177428</xdr:rowOff>
    </xdr:to>
    <xdr:pic>
      <xdr:nvPicPr>
        <xdr:cNvPr id="102" name="Рисунок 101">
          <a:extLst>
            <a:ext uri="{FF2B5EF4-FFF2-40B4-BE49-F238E27FC236}">
              <a16:creationId xmlns:a16="http://schemas.microsoft.com/office/drawing/2014/main" id="{00000000-0008-0000-0A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38893" y="46536428"/>
          <a:ext cx="6638095" cy="66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217715</xdr:colOff>
      <xdr:row>281</xdr:row>
      <xdr:rowOff>0</xdr:rowOff>
    </xdr:from>
    <xdr:to>
      <xdr:col>21</xdr:col>
      <xdr:colOff>152238</xdr:colOff>
      <xdr:row>319</xdr:row>
      <xdr:rowOff>113381</xdr:rowOff>
    </xdr:to>
    <xdr:pic>
      <xdr:nvPicPr>
        <xdr:cNvPr id="103" name="Рисунок 102">
          <a:extLst>
            <a:ext uri="{FF2B5EF4-FFF2-40B4-BE49-F238E27FC236}">
              <a16:creationId xmlns:a16="http://schemas.microsoft.com/office/drawing/2014/main" id="{00000000-0008-0000-0A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30036" y="53530500"/>
          <a:ext cx="12180952" cy="73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326571</xdr:colOff>
      <xdr:row>321</xdr:row>
      <xdr:rowOff>149678</xdr:rowOff>
    </xdr:from>
    <xdr:to>
      <xdr:col>15</xdr:col>
      <xdr:colOff>573119</xdr:colOff>
      <xdr:row>335</xdr:row>
      <xdr:rowOff>139821</xdr:rowOff>
    </xdr:to>
    <xdr:pic>
      <xdr:nvPicPr>
        <xdr:cNvPr id="104" name="Рисунок 103">
          <a:extLst>
            <a:ext uri="{FF2B5EF4-FFF2-40B4-BE49-F238E27FC236}">
              <a16:creationId xmlns:a16="http://schemas.microsoft.com/office/drawing/2014/main" id="{00000000-0008-0000-0A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38892" y="61300178"/>
          <a:ext cx="8819048" cy="26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312965</xdr:colOff>
      <xdr:row>337</xdr:row>
      <xdr:rowOff>0</xdr:rowOff>
    </xdr:from>
    <xdr:to>
      <xdr:col>18</xdr:col>
      <xdr:colOff>522548</xdr:colOff>
      <xdr:row>352</xdr:row>
      <xdr:rowOff>113929</xdr:rowOff>
    </xdr:to>
    <xdr:pic>
      <xdr:nvPicPr>
        <xdr:cNvPr id="105" name="Рисунок 104">
          <a:extLst>
            <a:ext uri="{FF2B5EF4-FFF2-40B4-BE49-F238E27FC236}">
              <a16:creationId xmlns:a16="http://schemas.microsoft.com/office/drawing/2014/main" id="{00000000-0008-0000-0A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25286" y="64198500"/>
          <a:ext cx="10619048" cy="2971429"/>
        </a:xfrm>
        <a:prstGeom prst="rect">
          <a:avLst/>
        </a:prstGeom>
      </xdr:spPr>
    </xdr:pic>
    <xdr:clientData/>
  </xdr:twoCellAnchor>
  <xdr:twoCellAnchor>
    <xdr:from>
      <xdr:col>8</xdr:col>
      <xdr:colOff>189021</xdr:colOff>
      <xdr:row>354</xdr:row>
      <xdr:rowOff>13607</xdr:rowOff>
    </xdr:from>
    <xdr:to>
      <xdr:col>29</xdr:col>
      <xdr:colOff>108858</xdr:colOff>
      <xdr:row>391</xdr:row>
      <xdr:rowOff>95250</xdr:rowOff>
    </xdr:to>
    <xdr:grpSp>
      <xdr:nvGrpSpPr>
        <xdr:cNvPr id="130" name="Группа 129">
          <a:extLst>
            <a:ext uri="{FF2B5EF4-FFF2-40B4-BE49-F238E27FC236}">
              <a16:creationId xmlns:a16="http://schemas.microsoft.com/office/drawing/2014/main" id="{00000000-0008-0000-0A00-000082000000}"/>
            </a:ext>
          </a:extLst>
        </xdr:cNvPr>
        <xdr:cNvGrpSpPr/>
      </xdr:nvGrpSpPr>
      <xdr:grpSpPr>
        <a:xfrm>
          <a:off x="5038112" y="67450607"/>
          <a:ext cx="12648701" cy="7130143"/>
          <a:chOff x="5087592" y="67450607"/>
          <a:chExt cx="12778587" cy="7130143"/>
        </a:xfrm>
      </xdr:grpSpPr>
      <xdr:pic>
        <xdr:nvPicPr>
          <xdr:cNvPr id="119" name="Рисунок 118">
            <a:extLst>
              <a:ext uri="{FF2B5EF4-FFF2-40B4-BE49-F238E27FC236}">
                <a16:creationId xmlns:a16="http://schemas.microsoft.com/office/drawing/2014/main" id="{00000000-0008-0000-0A00-00007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5087592" y="67450607"/>
            <a:ext cx="12193659" cy="7048500"/>
          </a:xfrm>
          <a:prstGeom prst="rect">
            <a:avLst/>
          </a:prstGeom>
        </xdr:spPr>
      </xdr:pic>
      <xdr:cxnSp macro="">
        <xdr:nvCxnSpPr>
          <xdr:cNvPr id="109" name="Прямая со стрелкой 108">
            <a:extLst>
              <a:ext uri="{FF2B5EF4-FFF2-40B4-BE49-F238E27FC236}">
                <a16:creationId xmlns:a16="http://schemas.microsoft.com/office/drawing/2014/main" id="{00000000-0008-0000-0A00-00006D000000}"/>
              </a:ext>
            </a:extLst>
          </xdr:cNvPr>
          <xdr:cNvCxnSpPr/>
        </xdr:nvCxnSpPr>
        <xdr:spPr>
          <a:xfrm>
            <a:off x="5701393" y="67627500"/>
            <a:ext cx="10559143" cy="394607"/>
          </a:xfrm>
          <a:prstGeom prst="straightConnector1">
            <a:avLst/>
          </a:prstGeom>
          <a:ln>
            <a:solidFill>
              <a:srgbClr val="7030A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0" name="Прямая со стрелкой 109">
            <a:extLst>
              <a:ext uri="{FF2B5EF4-FFF2-40B4-BE49-F238E27FC236}">
                <a16:creationId xmlns:a16="http://schemas.microsoft.com/office/drawing/2014/main" id="{00000000-0008-0000-0A00-00006E000000}"/>
              </a:ext>
            </a:extLst>
          </xdr:cNvPr>
          <xdr:cNvCxnSpPr/>
        </xdr:nvCxnSpPr>
        <xdr:spPr>
          <a:xfrm flipH="1">
            <a:off x="10668000" y="68158179"/>
            <a:ext cx="5592537" cy="1197428"/>
          </a:xfrm>
          <a:prstGeom prst="straightConnector1">
            <a:avLst/>
          </a:prstGeom>
          <a:ln>
            <a:solidFill>
              <a:srgbClr val="7030A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4" name="Прямая со стрелкой 113">
            <a:extLst>
              <a:ext uri="{FF2B5EF4-FFF2-40B4-BE49-F238E27FC236}">
                <a16:creationId xmlns:a16="http://schemas.microsoft.com/office/drawing/2014/main" id="{00000000-0008-0000-0A00-000072000000}"/>
              </a:ext>
            </a:extLst>
          </xdr:cNvPr>
          <xdr:cNvCxnSpPr/>
        </xdr:nvCxnSpPr>
        <xdr:spPr>
          <a:xfrm flipH="1">
            <a:off x="9062357" y="69899893"/>
            <a:ext cx="2286001" cy="1347107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6" name="Прямая со стрелкой 115">
            <a:extLst>
              <a:ext uri="{FF2B5EF4-FFF2-40B4-BE49-F238E27FC236}">
                <a16:creationId xmlns:a16="http://schemas.microsoft.com/office/drawing/2014/main" id="{00000000-0008-0000-0A00-000074000000}"/>
              </a:ext>
            </a:extLst>
          </xdr:cNvPr>
          <xdr:cNvCxnSpPr/>
        </xdr:nvCxnSpPr>
        <xdr:spPr>
          <a:xfrm flipH="1" flipV="1">
            <a:off x="9089571" y="70226464"/>
            <a:ext cx="299359" cy="367394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A00-000075000000}"/>
              </a:ext>
            </a:extLst>
          </xdr:cNvPr>
          <xdr:cNvSpPr txBox="1"/>
        </xdr:nvSpPr>
        <xdr:spPr>
          <a:xfrm>
            <a:off x="14205857" y="69328393"/>
            <a:ext cx="3660322" cy="525235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>
                <a:solidFill>
                  <a:srgbClr val="7030A0"/>
                </a:solidFill>
              </a:rPr>
              <a:t>Ставим и решаем задачу МНК (метода наименьших квадратов):</a:t>
            </a:r>
          </a:p>
          <a:p>
            <a:endParaRPr lang="ru-RU" sz="1400">
              <a:solidFill>
                <a:srgbClr val="7030A0"/>
              </a:solidFill>
            </a:endParaRPr>
          </a:p>
          <a:p>
            <a:r>
              <a:rPr lang="ru-RU" sz="1400">
                <a:solidFill>
                  <a:srgbClr val="7030A0"/>
                </a:solidFill>
              </a:rPr>
              <a:t>Целевая ячейка (сумма квадратов) должна быть минимальной</a:t>
            </a:r>
          </a:p>
          <a:p>
            <a:endParaRPr lang="ru-RU" sz="1400">
              <a:solidFill>
                <a:srgbClr val="7030A0"/>
              </a:solidFill>
            </a:endParaRPr>
          </a:p>
          <a:p>
            <a:r>
              <a:rPr lang="ru-RU" sz="1400">
                <a:solidFill>
                  <a:srgbClr val="7030A0"/>
                </a:solidFill>
              </a:rPr>
              <a:t>Изменяя переменные - параметры тренда</a:t>
            </a:r>
          </a:p>
          <a:p>
            <a:endParaRPr lang="ru-RU" sz="1400">
              <a:solidFill>
                <a:srgbClr val="7030A0"/>
              </a:solidFill>
            </a:endParaRPr>
          </a:p>
          <a:p>
            <a:r>
              <a:rPr lang="ru-RU" sz="1400">
                <a:solidFill>
                  <a:srgbClr val="7030A0"/>
                </a:solidFill>
              </a:rPr>
              <a:t>(без ограничений)</a:t>
            </a:r>
          </a:p>
          <a:p>
            <a:endParaRPr lang="ru-RU" sz="1400">
              <a:solidFill>
                <a:srgbClr val="7030A0"/>
              </a:solidFill>
            </a:endParaRPr>
          </a:p>
          <a:p>
            <a:endParaRPr lang="ru-RU" sz="1400">
              <a:solidFill>
                <a:srgbClr val="7030A0"/>
              </a:solidFill>
            </a:endParaRPr>
          </a:p>
          <a:p>
            <a:endParaRPr lang="ru-RU" sz="1400">
              <a:solidFill>
                <a:srgbClr val="7030A0"/>
              </a:solidFill>
            </a:endParaRPr>
          </a:p>
          <a:p>
            <a:endParaRPr lang="ru-RU" sz="1400">
              <a:solidFill>
                <a:srgbClr val="7030A0"/>
              </a:solidFill>
            </a:endParaRPr>
          </a:p>
          <a:p>
            <a:r>
              <a:rPr lang="ru-RU" sz="1400">
                <a:solidFill>
                  <a:srgbClr val="7030A0"/>
                </a:solidFill>
              </a:rPr>
              <a:t>(без</a:t>
            </a:r>
            <a:r>
              <a:rPr lang="ru-RU" sz="1400" baseline="0">
                <a:solidFill>
                  <a:srgbClr val="7030A0"/>
                </a:solidFill>
              </a:rPr>
              <a:t> ограничений на знак параметров)</a:t>
            </a:r>
          </a:p>
          <a:p>
            <a:endParaRPr lang="ru-RU" sz="1400" baseline="0">
              <a:solidFill>
                <a:srgbClr val="7030A0"/>
              </a:solidFill>
            </a:endParaRPr>
          </a:p>
          <a:p>
            <a:endParaRPr lang="ru-RU" sz="1400" baseline="0">
              <a:solidFill>
                <a:srgbClr val="7030A0"/>
              </a:solidFill>
            </a:endParaRPr>
          </a:p>
          <a:p>
            <a:endParaRPr lang="ru-RU" sz="1400" baseline="0">
              <a:solidFill>
                <a:srgbClr val="7030A0"/>
              </a:solidFill>
            </a:endParaRPr>
          </a:p>
          <a:p>
            <a:endParaRPr lang="ru-RU" sz="1400" baseline="0">
              <a:solidFill>
                <a:srgbClr val="7030A0"/>
              </a:solidFill>
            </a:endParaRPr>
          </a:p>
          <a:p>
            <a:endParaRPr lang="ru-RU" sz="1400" baseline="0">
              <a:solidFill>
                <a:srgbClr val="7030A0"/>
              </a:solidFill>
            </a:endParaRPr>
          </a:p>
          <a:p>
            <a:r>
              <a:rPr lang="ru-RU" sz="1400" baseline="0">
                <a:solidFill>
                  <a:srgbClr val="7030A0"/>
                </a:solidFill>
              </a:rPr>
              <a:t>После нажатия "найти решение" значения параметров измениться не должны (но теперь там будут числа, а не функции)</a:t>
            </a:r>
          </a:p>
        </xdr:txBody>
      </xdr:sp>
      <xdr:sp macro="" textlink="">
        <xdr:nvSpPr>
          <xdr:cNvPr id="128" name="Прямоугольник 127">
            <a:extLst>
              <a:ext uri="{FF2B5EF4-FFF2-40B4-BE49-F238E27FC236}">
                <a16:creationId xmlns:a16="http://schemas.microsoft.com/office/drawing/2014/main" id="{00000000-0008-0000-0A00-000080000000}"/>
              </a:ext>
            </a:extLst>
          </xdr:cNvPr>
          <xdr:cNvSpPr/>
        </xdr:nvSpPr>
        <xdr:spPr>
          <a:xfrm>
            <a:off x="10572750" y="70049571"/>
            <a:ext cx="693964" cy="258536"/>
          </a:xfrm>
          <a:prstGeom prst="rect">
            <a:avLst/>
          </a:prstGeom>
          <a:noFill/>
          <a:ln w="19050">
            <a:solidFill>
              <a:srgbClr val="FF0000"/>
            </a:solidFill>
            <a:prstDash val="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129" name="Прямоугольник 128">
            <a:extLst>
              <a:ext uri="{FF2B5EF4-FFF2-40B4-BE49-F238E27FC236}">
                <a16:creationId xmlns:a16="http://schemas.microsoft.com/office/drawing/2014/main" id="{00000000-0008-0000-0A00-000081000000}"/>
              </a:ext>
            </a:extLst>
          </xdr:cNvPr>
          <xdr:cNvSpPr/>
        </xdr:nvSpPr>
        <xdr:spPr>
          <a:xfrm>
            <a:off x="9405257" y="72501578"/>
            <a:ext cx="3031672" cy="228601"/>
          </a:xfrm>
          <a:prstGeom prst="rect">
            <a:avLst/>
          </a:prstGeom>
          <a:noFill/>
          <a:ln w="19050">
            <a:solidFill>
              <a:srgbClr val="FF0000"/>
            </a:solidFill>
            <a:prstDash val="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</xdr:grpSp>
    <xdr:clientData/>
  </xdr:twoCellAnchor>
  <xdr:twoCellAnchor>
    <xdr:from>
      <xdr:col>22</xdr:col>
      <xdr:colOff>136072</xdr:colOff>
      <xdr:row>362</xdr:row>
      <xdr:rowOff>163286</xdr:rowOff>
    </xdr:from>
    <xdr:to>
      <xdr:col>37</xdr:col>
      <xdr:colOff>204107</xdr:colOff>
      <xdr:row>373</xdr:row>
      <xdr:rowOff>95251</xdr:rowOff>
    </xdr:to>
    <xdr:cxnSp macro="">
      <xdr:nvCxnSpPr>
        <xdr:cNvPr id="133" name="Прямая со стрелкой 132">
          <a:extLst>
            <a:ext uri="{FF2B5EF4-FFF2-40B4-BE49-F238E27FC236}">
              <a16:creationId xmlns:a16="http://schemas.microsoft.com/office/drawing/2014/main" id="{00000000-0008-0000-0A00-000085000000}"/>
            </a:ext>
          </a:extLst>
        </xdr:cNvPr>
        <xdr:cNvCxnSpPr/>
      </xdr:nvCxnSpPr>
      <xdr:spPr>
        <a:xfrm flipV="1">
          <a:off x="13607143" y="69124286"/>
          <a:ext cx="9388928" cy="20274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449035</xdr:colOff>
      <xdr:row>366</xdr:row>
      <xdr:rowOff>122464</xdr:rowOff>
    </xdr:from>
    <xdr:to>
      <xdr:col>37</xdr:col>
      <xdr:colOff>340180</xdr:colOff>
      <xdr:row>366</xdr:row>
      <xdr:rowOff>136071</xdr:rowOff>
    </xdr:to>
    <xdr:cxnSp macro="">
      <xdr:nvCxnSpPr>
        <xdr:cNvPr id="136" name="Прямая со стрелкой 135">
          <a:extLst>
            <a:ext uri="{FF2B5EF4-FFF2-40B4-BE49-F238E27FC236}">
              <a16:creationId xmlns:a16="http://schemas.microsoft.com/office/drawing/2014/main" id="{00000000-0008-0000-0A00-000088000000}"/>
            </a:ext>
          </a:extLst>
        </xdr:cNvPr>
        <xdr:cNvCxnSpPr/>
      </xdr:nvCxnSpPr>
      <xdr:spPr>
        <a:xfrm flipH="1">
          <a:off x="20791714" y="69845464"/>
          <a:ext cx="2340430" cy="136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95250</xdr:colOff>
      <xdr:row>368</xdr:row>
      <xdr:rowOff>95250</xdr:rowOff>
    </xdr:from>
    <xdr:to>
      <xdr:col>37</xdr:col>
      <xdr:colOff>557893</xdr:colOff>
      <xdr:row>398</xdr:row>
      <xdr:rowOff>163286</xdr:rowOff>
    </xdr:to>
    <xdr:cxnSp macro="">
      <xdr:nvCxnSpPr>
        <xdr:cNvPr id="142" name="Прямая со стрелкой 141">
          <a:extLst>
            <a:ext uri="{FF2B5EF4-FFF2-40B4-BE49-F238E27FC236}">
              <a16:creationId xmlns:a16="http://schemas.microsoft.com/office/drawing/2014/main" id="{00000000-0008-0000-0A00-00008E000000}"/>
            </a:ext>
          </a:extLst>
        </xdr:cNvPr>
        <xdr:cNvCxnSpPr/>
      </xdr:nvCxnSpPr>
      <xdr:spPr>
        <a:xfrm flipH="1">
          <a:off x="9280071" y="70199250"/>
          <a:ext cx="14069786" cy="578303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312964</xdr:colOff>
      <xdr:row>411</xdr:row>
      <xdr:rowOff>81643</xdr:rowOff>
    </xdr:from>
    <xdr:to>
      <xdr:col>20</xdr:col>
      <xdr:colOff>31237</xdr:colOff>
      <xdr:row>426</xdr:row>
      <xdr:rowOff>100333</xdr:rowOff>
    </xdr:to>
    <xdr:pic>
      <xdr:nvPicPr>
        <xdr:cNvPr id="146" name="Рисунок 145">
          <a:extLst>
            <a:ext uri="{FF2B5EF4-FFF2-40B4-BE49-F238E27FC236}">
              <a16:creationId xmlns:a16="http://schemas.microsoft.com/office/drawing/2014/main" id="{00000000-0008-0000-0A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25285" y="78377143"/>
          <a:ext cx="11352381" cy="2876190"/>
        </a:xfrm>
        <a:prstGeom prst="rect">
          <a:avLst/>
        </a:prstGeom>
      </xdr:spPr>
    </xdr:pic>
    <xdr:clientData/>
  </xdr:twoCellAnchor>
  <xdr:twoCellAnchor>
    <xdr:from>
      <xdr:col>1</xdr:col>
      <xdr:colOff>258538</xdr:colOff>
      <xdr:row>428</xdr:row>
      <xdr:rowOff>68034</xdr:rowOff>
    </xdr:from>
    <xdr:to>
      <xdr:col>20</xdr:col>
      <xdr:colOff>31846</xdr:colOff>
      <xdr:row>467</xdr:row>
      <xdr:rowOff>133761</xdr:rowOff>
    </xdr:to>
    <xdr:grpSp>
      <xdr:nvGrpSpPr>
        <xdr:cNvPr id="153" name="Группа 152">
          <a:extLst>
            <a:ext uri="{FF2B5EF4-FFF2-40B4-BE49-F238E27FC236}">
              <a16:creationId xmlns:a16="http://schemas.microsoft.com/office/drawing/2014/main" id="{00000000-0008-0000-0A00-000099000000}"/>
            </a:ext>
          </a:extLst>
        </xdr:cNvPr>
        <xdr:cNvGrpSpPr/>
      </xdr:nvGrpSpPr>
      <xdr:grpSpPr>
        <a:xfrm>
          <a:off x="864674" y="81602034"/>
          <a:ext cx="11289899" cy="7495227"/>
          <a:chOff x="870859" y="81602034"/>
          <a:chExt cx="11407416" cy="7495227"/>
        </a:xfrm>
      </xdr:grpSpPr>
      <xdr:pic>
        <xdr:nvPicPr>
          <xdr:cNvPr id="147" name="Рисунок 146">
            <a:extLst>
              <a:ext uri="{FF2B5EF4-FFF2-40B4-BE49-F238E27FC236}">
                <a16:creationId xmlns:a16="http://schemas.microsoft.com/office/drawing/2014/main" id="{00000000-0008-0000-0A00-00009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870859" y="81602034"/>
            <a:ext cx="11407416" cy="7495227"/>
          </a:xfrm>
          <a:prstGeom prst="rect">
            <a:avLst/>
          </a:prstGeom>
        </xdr:spPr>
      </xdr:pic>
      <xdr:sp macro="" textlink="">
        <xdr:nvSpPr>
          <xdr:cNvPr id="148" name="TextBox 147">
            <a:extLst>
              <a:ext uri="{FF2B5EF4-FFF2-40B4-BE49-F238E27FC236}">
                <a16:creationId xmlns:a16="http://schemas.microsoft.com/office/drawing/2014/main" id="{00000000-0008-0000-0A00-000094000000}"/>
              </a:ext>
            </a:extLst>
          </xdr:cNvPr>
          <xdr:cNvSpPr txBox="1"/>
        </xdr:nvSpPr>
        <xdr:spPr>
          <a:xfrm>
            <a:off x="2979964" y="86146821"/>
            <a:ext cx="2871107" cy="108857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100">
                <a:solidFill>
                  <a:srgbClr val="7030A0"/>
                </a:solidFill>
              </a:rPr>
              <a:t>Расширение канала можно как увидеть на графике, так и сопоставив ускорения полинома: верх растёт быстрее низа</a:t>
            </a:r>
          </a:p>
        </xdr:txBody>
      </xdr:sp>
      <xdr:sp macro="" textlink="">
        <xdr:nvSpPr>
          <xdr:cNvPr id="149" name="Полилиния 148">
            <a:extLst>
              <a:ext uri="{FF2B5EF4-FFF2-40B4-BE49-F238E27FC236}">
                <a16:creationId xmlns:a16="http://schemas.microsoft.com/office/drawing/2014/main" id="{00000000-0008-0000-0A00-000095000000}"/>
              </a:ext>
            </a:extLst>
          </xdr:cNvPr>
          <xdr:cNvSpPr/>
        </xdr:nvSpPr>
        <xdr:spPr>
          <a:xfrm>
            <a:off x="2611421" y="86663893"/>
            <a:ext cx="491008" cy="2245178"/>
          </a:xfrm>
          <a:custGeom>
            <a:avLst/>
            <a:gdLst>
              <a:gd name="connsiteX0" fmla="*/ 491008 w 491008"/>
              <a:gd name="connsiteY0" fmla="*/ 2245178 h 2245178"/>
              <a:gd name="connsiteX1" fmla="*/ 1150 w 491008"/>
              <a:gd name="connsiteY1" fmla="*/ 911678 h 2245178"/>
              <a:gd name="connsiteX2" fmla="*/ 382150 w 491008"/>
              <a:gd name="connsiteY2" fmla="*/ 0 h 224517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w="491008" h="2245178">
                <a:moveTo>
                  <a:pt x="491008" y="2245178"/>
                </a:moveTo>
                <a:cubicBezTo>
                  <a:pt x="255150" y="1765526"/>
                  <a:pt x="19293" y="1285874"/>
                  <a:pt x="1150" y="911678"/>
                </a:cubicBezTo>
                <a:cubicBezTo>
                  <a:pt x="-16993" y="537482"/>
                  <a:pt x="182578" y="268741"/>
                  <a:pt x="382150" y="0"/>
                </a:cubicBezTo>
              </a:path>
            </a:pathLst>
          </a:custGeom>
          <a:noFill/>
          <a:ln>
            <a:solidFill>
              <a:srgbClr val="7030A0"/>
            </a:solidFill>
            <a:tailEnd type="triangle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150" name="Прямоугольник 149">
            <a:extLst>
              <a:ext uri="{FF2B5EF4-FFF2-40B4-BE49-F238E27FC236}">
                <a16:creationId xmlns:a16="http://schemas.microsoft.com/office/drawing/2014/main" id="{00000000-0008-0000-0A00-000096000000}"/>
              </a:ext>
            </a:extLst>
          </xdr:cNvPr>
          <xdr:cNvSpPr/>
        </xdr:nvSpPr>
        <xdr:spPr>
          <a:xfrm>
            <a:off x="10599964" y="82459286"/>
            <a:ext cx="1660072" cy="326571"/>
          </a:xfrm>
          <a:prstGeom prst="rect">
            <a:avLst/>
          </a:prstGeom>
          <a:noFill/>
          <a:ln w="19050">
            <a:solidFill>
              <a:srgbClr val="FF0000"/>
            </a:solidFill>
            <a:prstDash val="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cxnSp macro="">
        <xdr:nvCxnSpPr>
          <xdr:cNvPr id="152" name="Прямая со стрелкой 151">
            <a:extLst>
              <a:ext uri="{FF2B5EF4-FFF2-40B4-BE49-F238E27FC236}">
                <a16:creationId xmlns:a16="http://schemas.microsoft.com/office/drawing/2014/main" id="{00000000-0008-0000-0A00-000098000000}"/>
              </a:ext>
            </a:extLst>
          </xdr:cNvPr>
          <xdr:cNvCxnSpPr>
            <a:stCxn id="148" idx="0"/>
          </xdr:cNvCxnSpPr>
        </xdr:nvCxnSpPr>
        <xdr:spPr>
          <a:xfrm flipV="1">
            <a:off x="4415518" y="82799464"/>
            <a:ext cx="6198053" cy="3347357"/>
          </a:xfrm>
          <a:prstGeom prst="straightConnector1">
            <a:avLst/>
          </a:prstGeom>
          <a:ln>
            <a:solidFill>
              <a:srgbClr val="7030A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</xdr:col>
      <xdr:colOff>258535</xdr:colOff>
      <xdr:row>470</xdr:row>
      <xdr:rowOff>13607</xdr:rowOff>
    </xdr:from>
    <xdr:to>
      <xdr:col>17</xdr:col>
      <xdr:colOff>509011</xdr:colOff>
      <xdr:row>505</xdr:row>
      <xdr:rowOff>3250</xdr:rowOff>
    </xdr:to>
    <xdr:pic>
      <xdr:nvPicPr>
        <xdr:cNvPr id="154" name="Рисунок 153">
          <a:extLst>
            <a:ext uri="{FF2B5EF4-FFF2-40B4-BE49-F238E27FC236}">
              <a16:creationId xmlns:a16="http://schemas.microsoft.com/office/drawing/2014/main" id="{00000000-0008-0000-0A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70856" y="89548607"/>
          <a:ext cx="10047619" cy="6657143"/>
        </a:xfrm>
        <a:prstGeom prst="rect">
          <a:avLst/>
        </a:prstGeom>
      </xdr:spPr>
    </xdr:pic>
    <xdr:clientData/>
  </xdr:twoCellAnchor>
  <xdr:twoCellAnchor editAs="oneCell">
    <xdr:from>
      <xdr:col>20</xdr:col>
      <xdr:colOff>244929</xdr:colOff>
      <xdr:row>469</xdr:row>
      <xdr:rowOff>149678</xdr:rowOff>
    </xdr:from>
    <xdr:to>
      <xdr:col>27</xdr:col>
      <xdr:colOff>511060</xdr:colOff>
      <xdr:row>499</xdr:row>
      <xdr:rowOff>82297</xdr:rowOff>
    </xdr:to>
    <xdr:pic>
      <xdr:nvPicPr>
        <xdr:cNvPr id="155" name="Рисунок 154">
          <a:extLst>
            <a:ext uri="{FF2B5EF4-FFF2-40B4-BE49-F238E27FC236}">
              <a16:creationId xmlns:a16="http://schemas.microsoft.com/office/drawing/2014/main" id="{00000000-0008-0000-0A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491358" y="89494178"/>
          <a:ext cx="4552381" cy="5647619"/>
        </a:xfrm>
        <a:prstGeom prst="rect">
          <a:avLst/>
        </a:prstGeom>
      </xdr:spPr>
    </xdr:pic>
    <xdr:clientData/>
  </xdr:twoCellAnchor>
  <xdr:twoCellAnchor editAs="oneCell">
    <xdr:from>
      <xdr:col>20</xdr:col>
      <xdr:colOff>204107</xdr:colOff>
      <xdr:row>501</xdr:row>
      <xdr:rowOff>81642</xdr:rowOff>
    </xdr:from>
    <xdr:to>
      <xdr:col>30</xdr:col>
      <xdr:colOff>728512</xdr:colOff>
      <xdr:row>520</xdr:row>
      <xdr:rowOff>176428</xdr:rowOff>
    </xdr:to>
    <xdr:pic>
      <xdr:nvPicPr>
        <xdr:cNvPr id="156" name="Рисунок 155">
          <a:extLst>
            <a:ext uri="{FF2B5EF4-FFF2-40B4-BE49-F238E27FC236}">
              <a16:creationId xmlns:a16="http://schemas.microsoft.com/office/drawing/2014/main" id="{00000000-0008-0000-0A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2450536" y="95522142"/>
          <a:ext cx="6647619" cy="37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204107</xdr:colOff>
      <xdr:row>523</xdr:row>
      <xdr:rowOff>13608</xdr:rowOff>
    </xdr:from>
    <xdr:to>
      <xdr:col>24</xdr:col>
      <xdr:colOff>15952</xdr:colOff>
      <xdr:row>550</xdr:row>
      <xdr:rowOff>146298</xdr:rowOff>
    </xdr:to>
    <xdr:pic>
      <xdr:nvPicPr>
        <xdr:cNvPr id="157" name="Рисунок 156">
          <a:extLst>
            <a:ext uri="{FF2B5EF4-FFF2-40B4-BE49-F238E27FC236}">
              <a16:creationId xmlns:a16="http://schemas.microsoft.com/office/drawing/2014/main" id="{00000000-0008-0000-0A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16428" y="99645108"/>
          <a:ext cx="13895238" cy="52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231321</xdr:colOff>
      <xdr:row>552</xdr:row>
      <xdr:rowOff>81642</xdr:rowOff>
    </xdr:from>
    <xdr:to>
      <xdr:col>24</xdr:col>
      <xdr:colOff>205071</xdr:colOff>
      <xdr:row>591</xdr:row>
      <xdr:rowOff>147380</xdr:rowOff>
    </xdr:to>
    <xdr:pic>
      <xdr:nvPicPr>
        <xdr:cNvPr id="158" name="Рисунок 157">
          <a:extLst>
            <a:ext uri="{FF2B5EF4-FFF2-40B4-BE49-F238E27FC236}">
              <a16:creationId xmlns:a16="http://schemas.microsoft.com/office/drawing/2014/main" id="{00000000-0008-0000-0A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43642" y="105237642"/>
          <a:ext cx="14057143" cy="74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149678</xdr:colOff>
      <xdr:row>592</xdr:row>
      <xdr:rowOff>136072</xdr:rowOff>
    </xdr:from>
    <xdr:to>
      <xdr:col>20</xdr:col>
      <xdr:colOff>48903</xdr:colOff>
      <xdr:row>609</xdr:row>
      <xdr:rowOff>30905</xdr:rowOff>
    </xdr:to>
    <xdr:pic>
      <xdr:nvPicPr>
        <xdr:cNvPr id="161" name="Рисунок 160">
          <a:extLst>
            <a:ext uri="{FF2B5EF4-FFF2-40B4-BE49-F238E27FC236}">
              <a16:creationId xmlns:a16="http://schemas.microsoft.com/office/drawing/2014/main" id="{00000000-0008-0000-0A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61999" y="112912072"/>
          <a:ext cx="11533333" cy="3133333"/>
        </a:xfrm>
        <a:prstGeom prst="rect">
          <a:avLst/>
        </a:prstGeom>
      </xdr:spPr>
    </xdr:pic>
    <xdr:clientData/>
  </xdr:twoCellAnchor>
  <xdr:twoCellAnchor editAs="oneCell">
    <xdr:from>
      <xdr:col>1</xdr:col>
      <xdr:colOff>217714</xdr:colOff>
      <xdr:row>612</xdr:row>
      <xdr:rowOff>27214</xdr:rowOff>
    </xdr:from>
    <xdr:to>
      <xdr:col>20</xdr:col>
      <xdr:colOff>202653</xdr:colOff>
      <xdr:row>628</xdr:row>
      <xdr:rowOff>169690</xdr:rowOff>
    </xdr:to>
    <xdr:pic>
      <xdr:nvPicPr>
        <xdr:cNvPr id="162" name="Рисунок 161">
          <a:extLst>
            <a:ext uri="{FF2B5EF4-FFF2-40B4-BE49-F238E27FC236}">
              <a16:creationId xmlns:a16="http://schemas.microsoft.com/office/drawing/2014/main" id="{00000000-0008-0000-0A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830035" y="116613214"/>
          <a:ext cx="11619047" cy="3190476"/>
        </a:xfrm>
        <a:prstGeom prst="rect">
          <a:avLst/>
        </a:prstGeom>
      </xdr:spPr>
    </xdr:pic>
    <xdr:clientData/>
  </xdr:twoCellAnchor>
  <xdr:twoCellAnchor>
    <xdr:from>
      <xdr:col>1</xdr:col>
      <xdr:colOff>136071</xdr:colOff>
      <xdr:row>626</xdr:row>
      <xdr:rowOff>176893</xdr:rowOff>
    </xdr:from>
    <xdr:to>
      <xdr:col>22</xdr:col>
      <xdr:colOff>305892</xdr:colOff>
      <xdr:row>670</xdr:row>
      <xdr:rowOff>112000</xdr:rowOff>
    </xdr:to>
    <xdr:grpSp>
      <xdr:nvGrpSpPr>
        <xdr:cNvPr id="166" name="Группа 165">
          <a:extLst>
            <a:ext uri="{FF2B5EF4-FFF2-40B4-BE49-F238E27FC236}">
              <a16:creationId xmlns:a16="http://schemas.microsoft.com/office/drawing/2014/main" id="{00000000-0008-0000-0A00-0000A6000000}"/>
            </a:ext>
          </a:extLst>
        </xdr:cNvPr>
        <xdr:cNvGrpSpPr/>
      </xdr:nvGrpSpPr>
      <xdr:grpSpPr>
        <a:xfrm>
          <a:off x="742207" y="119429893"/>
          <a:ext cx="12898685" cy="8317107"/>
          <a:chOff x="802821" y="119416286"/>
          <a:chExt cx="13028571" cy="8317107"/>
        </a:xfrm>
      </xdr:grpSpPr>
      <xdr:pic>
        <xdr:nvPicPr>
          <xdr:cNvPr id="163" name="Рисунок 162">
            <a:extLst>
              <a:ext uri="{FF2B5EF4-FFF2-40B4-BE49-F238E27FC236}">
                <a16:creationId xmlns:a16="http://schemas.microsoft.com/office/drawing/2014/main" id="{00000000-0008-0000-0A00-0000A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/>
          <a:stretch>
            <a:fillRect/>
          </a:stretch>
        </xdr:blipFill>
        <xdr:spPr>
          <a:xfrm>
            <a:off x="802821" y="120219107"/>
            <a:ext cx="13028571" cy="7514286"/>
          </a:xfrm>
          <a:prstGeom prst="rect">
            <a:avLst/>
          </a:prstGeom>
        </xdr:spPr>
      </xdr:pic>
      <xdr:sp macro="" textlink="">
        <xdr:nvSpPr>
          <xdr:cNvPr id="164" name="Полилиния 163">
            <a:extLst>
              <a:ext uri="{FF2B5EF4-FFF2-40B4-BE49-F238E27FC236}">
                <a16:creationId xmlns:a16="http://schemas.microsoft.com/office/drawing/2014/main" id="{00000000-0008-0000-0A00-0000A4000000}"/>
              </a:ext>
            </a:extLst>
          </xdr:cNvPr>
          <xdr:cNvSpPr/>
        </xdr:nvSpPr>
        <xdr:spPr>
          <a:xfrm>
            <a:off x="10205357" y="119416286"/>
            <a:ext cx="777229" cy="3605893"/>
          </a:xfrm>
          <a:custGeom>
            <a:avLst/>
            <a:gdLst>
              <a:gd name="connsiteX0" fmla="*/ 163286 w 777229"/>
              <a:gd name="connsiteY0" fmla="*/ 0 h 3605893"/>
              <a:gd name="connsiteX1" fmla="*/ 775607 w 777229"/>
              <a:gd name="connsiteY1" fmla="*/ 1428750 h 3605893"/>
              <a:gd name="connsiteX2" fmla="*/ 0 w 777229"/>
              <a:gd name="connsiteY2" fmla="*/ 3605893 h 360589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w="777229" h="3605893">
                <a:moveTo>
                  <a:pt x="163286" y="0"/>
                </a:moveTo>
                <a:cubicBezTo>
                  <a:pt x="483053" y="413884"/>
                  <a:pt x="802821" y="827768"/>
                  <a:pt x="775607" y="1428750"/>
                </a:cubicBezTo>
                <a:cubicBezTo>
                  <a:pt x="748393" y="2029732"/>
                  <a:pt x="374196" y="2817812"/>
                  <a:pt x="0" y="3605893"/>
                </a:cubicBezTo>
              </a:path>
            </a:pathLst>
          </a:custGeom>
          <a:noFill/>
          <a:ln>
            <a:solidFill>
              <a:srgbClr val="7030A0"/>
            </a:solidFill>
            <a:headEnd type="triangle"/>
            <a:tailEnd type="triangle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165" name="TextBox 164">
            <a:extLst>
              <a:ext uri="{FF2B5EF4-FFF2-40B4-BE49-F238E27FC236}">
                <a16:creationId xmlns:a16="http://schemas.microsoft.com/office/drawing/2014/main" id="{00000000-0008-0000-0A00-0000A5000000}"/>
              </a:ext>
            </a:extLst>
          </xdr:cNvPr>
          <xdr:cNvSpPr txBox="1"/>
        </xdr:nvSpPr>
        <xdr:spPr>
          <a:xfrm>
            <a:off x="3497036" y="122886107"/>
            <a:ext cx="3633107" cy="121103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100">
                <a:solidFill>
                  <a:srgbClr val="7030A0"/>
                </a:solidFill>
              </a:rPr>
              <a:t>По</a:t>
            </a:r>
            <a:r>
              <a:rPr lang="ru-RU" sz="1100" baseline="0">
                <a:solidFill>
                  <a:srgbClr val="7030A0"/>
                </a:solidFill>
              </a:rPr>
              <a:t> графику видно, что ряд не имел сильных выбросов.</a:t>
            </a:r>
          </a:p>
          <a:p>
            <a:r>
              <a:rPr lang="ru-RU" sz="1100" baseline="0">
                <a:solidFill>
                  <a:srgbClr val="7030A0"/>
                </a:solidFill>
              </a:rPr>
              <a:t>Поэтому в данном случае корректировка хотя и снизила Сумму квадратов, но не сильно. Т.к. корректировка прогноза - в сторону понижения, можно сказать что (устранённые) выбросы были сорее вверх, чем вниз.</a:t>
            </a:r>
            <a:endParaRPr lang="ru-RU" sz="1100">
              <a:solidFill>
                <a:srgbClr val="7030A0"/>
              </a:solidFill>
            </a:endParaRPr>
          </a:p>
        </xdr:txBody>
      </xdr:sp>
    </xdr:grpSp>
    <xdr:clientData/>
  </xdr:twoCellAnchor>
  <xdr:twoCellAnchor editAs="oneCell">
    <xdr:from>
      <xdr:col>1</xdr:col>
      <xdr:colOff>108857</xdr:colOff>
      <xdr:row>673</xdr:row>
      <xdr:rowOff>0</xdr:rowOff>
    </xdr:from>
    <xdr:to>
      <xdr:col>22</xdr:col>
      <xdr:colOff>278678</xdr:colOff>
      <xdr:row>689</xdr:row>
      <xdr:rowOff>37714</xdr:rowOff>
    </xdr:to>
    <xdr:pic>
      <xdr:nvPicPr>
        <xdr:cNvPr id="167" name="Рисунок 166">
          <a:extLst>
            <a:ext uri="{FF2B5EF4-FFF2-40B4-BE49-F238E27FC236}">
              <a16:creationId xmlns:a16="http://schemas.microsoft.com/office/drawing/2014/main" id="{00000000-0008-0000-0A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21178" y="128206500"/>
          <a:ext cx="13028571" cy="30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163285</xdr:colOff>
      <xdr:row>691</xdr:row>
      <xdr:rowOff>54429</xdr:rowOff>
    </xdr:from>
    <xdr:to>
      <xdr:col>22</xdr:col>
      <xdr:colOff>333106</xdr:colOff>
      <xdr:row>707</xdr:row>
      <xdr:rowOff>25477</xdr:rowOff>
    </xdr:to>
    <xdr:pic>
      <xdr:nvPicPr>
        <xdr:cNvPr id="168" name="Рисунок 167">
          <a:extLst>
            <a:ext uri="{FF2B5EF4-FFF2-40B4-BE49-F238E27FC236}">
              <a16:creationId xmlns:a16="http://schemas.microsoft.com/office/drawing/2014/main" id="{00000000-0008-0000-0A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75606" y="131689929"/>
          <a:ext cx="13028571" cy="30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</xdr:colOff>
      <xdr:row>709</xdr:row>
      <xdr:rowOff>13607</xdr:rowOff>
    </xdr:from>
    <xdr:to>
      <xdr:col>23</xdr:col>
      <xdr:colOff>509916</xdr:colOff>
      <xdr:row>748</xdr:row>
      <xdr:rowOff>60297</xdr:rowOff>
    </xdr:to>
    <xdr:pic>
      <xdr:nvPicPr>
        <xdr:cNvPr id="169" name="Рисунок 168">
          <a:extLst>
            <a:ext uri="{FF2B5EF4-FFF2-40B4-BE49-F238E27FC236}">
              <a16:creationId xmlns:a16="http://schemas.microsoft.com/office/drawing/2014/main" id="{00000000-0008-0000-0A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898071" y="135078107"/>
          <a:ext cx="13695238" cy="74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217715</xdr:colOff>
      <xdr:row>752</xdr:row>
      <xdr:rowOff>0</xdr:rowOff>
    </xdr:from>
    <xdr:to>
      <xdr:col>18</xdr:col>
      <xdr:colOff>122536</xdr:colOff>
      <xdr:row>780</xdr:row>
      <xdr:rowOff>113619</xdr:rowOff>
    </xdr:to>
    <xdr:pic>
      <xdr:nvPicPr>
        <xdr:cNvPr id="171" name="Рисунок 170">
          <a:extLst>
            <a:ext uri="{FF2B5EF4-FFF2-40B4-BE49-F238E27FC236}">
              <a16:creationId xmlns:a16="http://schemas.microsoft.com/office/drawing/2014/main" id="{00000000-0008-0000-0A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830036" y="143256000"/>
          <a:ext cx="10314286" cy="54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258535</xdr:colOff>
      <xdr:row>782</xdr:row>
      <xdr:rowOff>122464</xdr:rowOff>
    </xdr:from>
    <xdr:to>
      <xdr:col>14</xdr:col>
      <xdr:colOff>593594</xdr:colOff>
      <xdr:row>808</xdr:row>
      <xdr:rowOff>169464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870856" y="149093464"/>
          <a:ext cx="8295238" cy="50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272143</xdr:colOff>
      <xdr:row>810</xdr:row>
      <xdr:rowOff>68036</xdr:rowOff>
    </xdr:from>
    <xdr:to>
      <xdr:col>12</xdr:col>
      <xdr:colOff>469940</xdr:colOff>
      <xdr:row>836</xdr:row>
      <xdr:rowOff>162655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884464" y="154373036"/>
          <a:ext cx="6933333" cy="50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258536</xdr:colOff>
      <xdr:row>837</xdr:row>
      <xdr:rowOff>68036</xdr:rowOff>
    </xdr:from>
    <xdr:to>
      <xdr:col>8</xdr:col>
      <xdr:colOff>362762</xdr:colOff>
      <xdr:row>843</xdr:row>
      <xdr:rowOff>144084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870857" y="159516536"/>
          <a:ext cx="4390476" cy="1219048"/>
        </a:xfrm>
        <a:prstGeom prst="rect">
          <a:avLst/>
        </a:prstGeom>
      </xdr:spPr>
    </xdr:pic>
    <xdr:clientData/>
  </xdr:twoCellAnchor>
  <xdr:twoCellAnchor editAs="oneCell">
    <xdr:from>
      <xdr:col>15</xdr:col>
      <xdr:colOff>285751</xdr:colOff>
      <xdr:row>810</xdr:row>
      <xdr:rowOff>54429</xdr:rowOff>
    </xdr:from>
    <xdr:to>
      <xdr:col>26</xdr:col>
      <xdr:colOff>578786</xdr:colOff>
      <xdr:row>843</xdr:row>
      <xdr:rowOff>6024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9470572" y="154359429"/>
          <a:ext cx="7028571" cy="6238095"/>
        </a:xfrm>
        <a:prstGeom prst="rect">
          <a:avLst/>
        </a:prstGeom>
      </xdr:spPr>
    </xdr:pic>
    <xdr:clientData/>
  </xdr:twoCellAnchor>
  <xdr:twoCellAnchor>
    <xdr:from>
      <xdr:col>29</xdr:col>
      <xdr:colOff>176893</xdr:colOff>
      <xdr:row>810</xdr:row>
      <xdr:rowOff>0</xdr:rowOff>
    </xdr:from>
    <xdr:to>
      <xdr:col>36</xdr:col>
      <xdr:colOff>78380</xdr:colOff>
      <xdr:row>834</xdr:row>
      <xdr:rowOff>104190</xdr:rowOff>
    </xdr:to>
    <xdr:grpSp>
      <xdr:nvGrpSpPr>
        <xdr:cNvPr id="9" name="Группа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GrpSpPr/>
      </xdr:nvGrpSpPr>
      <xdr:grpSpPr>
        <a:xfrm>
          <a:off x="17754848" y="154305000"/>
          <a:ext cx="4282987" cy="4676190"/>
          <a:chOff x="17934214" y="154305000"/>
          <a:chExt cx="4323809" cy="4676190"/>
        </a:xfrm>
      </xdr:grpSpPr>
      <xdr:pic>
        <xdr:nvPicPr>
          <xdr:cNvPr id="6" name="Рисунок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17934214" y="154305000"/>
            <a:ext cx="4323809" cy="4676190"/>
          </a:xfrm>
          <a:prstGeom prst="rect">
            <a:avLst/>
          </a:prstGeom>
        </xdr:spPr>
      </xdr:pic>
      <xdr:cxnSp macro="">
        <xdr:nvCxnSpPr>
          <xdr:cNvPr id="8" name="Прямая со стрелкой 7">
            <a:extLst>
              <a:ext uri="{FF2B5EF4-FFF2-40B4-BE49-F238E27FC236}">
                <a16:creationId xmlns:a16="http://schemas.microsoft.com/office/drawing/2014/main" id="{00000000-0008-0000-0A00-000008000000}"/>
              </a:ext>
            </a:extLst>
          </xdr:cNvPr>
          <xdr:cNvCxnSpPr/>
        </xdr:nvCxnSpPr>
        <xdr:spPr>
          <a:xfrm flipH="1" flipV="1">
            <a:off x="18138321" y="154740429"/>
            <a:ext cx="2925536" cy="2027464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353785</xdr:colOff>
      <xdr:row>824</xdr:row>
      <xdr:rowOff>136071</xdr:rowOff>
    </xdr:from>
    <xdr:to>
      <xdr:col>33</xdr:col>
      <xdr:colOff>299357</xdr:colOff>
      <xdr:row>850</xdr:row>
      <xdr:rowOff>13607</xdr:rowOff>
    </xdr:to>
    <xdr:cxnSp macro="">
      <xdr:nvCxnSpPr>
        <xdr:cNvPr id="13" name="Прямая со стрелкой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CxnSpPr/>
      </xdr:nvCxnSpPr>
      <xdr:spPr>
        <a:xfrm flipH="1">
          <a:off x="4027714" y="157108071"/>
          <a:ext cx="16614322" cy="483053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258536</xdr:colOff>
      <xdr:row>889</xdr:row>
      <xdr:rowOff>40822</xdr:rowOff>
    </xdr:from>
    <xdr:to>
      <xdr:col>13</xdr:col>
      <xdr:colOff>24964</xdr:colOff>
      <xdr:row>904</xdr:row>
      <xdr:rowOff>2370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870857" y="169449751"/>
          <a:ext cx="7114286" cy="28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204107</xdr:colOff>
      <xdr:row>905</xdr:row>
      <xdr:rowOff>27214</xdr:rowOff>
    </xdr:from>
    <xdr:to>
      <xdr:col>16</xdr:col>
      <xdr:colOff>352618</xdr:colOff>
      <xdr:row>914</xdr:row>
      <xdr:rowOff>36524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816428" y="172484143"/>
          <a:ext cx="9333333" cy="172381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944</xdr:row>
      <xdr:rowOff>68035</xdr:rowOff>
    </xdr:from>
    <xdr:to>
      <xdr:col>12</xdr:col>
      <xdr:colOff>416869</xdr:colOff>
      <xdr:row>975</xdr:row>
      <xdr:rowOff>181583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802821" y="178239964"/>
          <a:ext cx="6961905" cy="6019048"/>
        </a:xfrm>
        <a:prstGeom prst="rect">
          <a:avLst/>
        </a:prstGeom>
      </xdr:spPr>
    </xdr:pic>
    <xdr:clientData/>
  </xdr:twoCellAnchor>
  <xdr:twoCellAnchor editAs="oneCell">
    <xdr:from>
      <xdr:col>13</xdr:col>
      <xdr:colOff>68036</xdr:colOff>
      <xdr:row>944</xdr:row>
      <xdr:rowOff>68036</xdr:rowOff>
    </xdr:from>
    <xdr:to>
      <xdr:col>26</xdr:col>
      <xdr:colOff>193572</xdr:colOff>
      <xdr:row>976</xdr:row>
      <xdr:rowOff>105369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8028215" y="178239965"/>
          <a:ext cx="8085714" cy="6133333"/>
        </a:xfrm>
        <a:prstGeom prst="rect">
          <a:avLst/>
        </a:prstGeom>
      </xdr:spPr>
    </xdr:pic>
    <xdr:clientData/>
  </xdr:twoCellAnchor>
  <xdr:twoCellAnchor editAs="oneCell">
    <xdr:from>
      <xdr:col>1</xdr:col>
      <xdr:colOff>136071</xdr:colOff>
      <xdr:row>916</xdr:row>
      <xdr:rowOff>0</xdr:rowOff>
    </xdr:from>
    <xdr:to>
      <xdr:col>19</xdr:col>
      <xdr:colOff>152380</xdr:colOff>
      <xdr:row>942</xdr:row>
      <xdr:rowOff>47000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748392" y="174552429"/>
          <a:ext cx="11038095" cy="50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176893</xdr:colOff>
      <xdr:row>977</xdr:row>
      <xdr:rowOff>122464</xdr:rowOff>
    </xdr:from>
    <xdr:to>
      <xdr:col>25</xdr:col>
      <xdr:colOff>414511</xdr:colOff>
      <xdr:row>1017</xdr:row>
      <xdr:rowOff>16750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789214" y="186295393"/>
          <a:ext cx="14933333" cy="75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149678</xdr:colOff>
      <xdr:row>1020</xdr:row>
      <xdr:rowOff>13608</xdr:rowOff>
    </xdr:from>
    <xdr:to>
      <xdr:col>27</xdr:col>
      <xdr:colOff>486463</xdr:colOff>
      <xdr:row>1059</xdr:row>
      <xdr:rowOff>174584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761999" y="194378037"/>
          <a:ext cx="16257143" cy="75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1"/>
  <sheetViews>
    <sheetView zoomScale="115" zoomScaleNormal="115" workbookViewId="0">
      <selection activeCell="K14" sqref="K14"/>
    </sheetView>
  </sheetViews>
  <sheetFormatPr defaultRowHeight="15" x14ac:dyDescent="0.25"/>
  <cols>
    <col min="1" max="1" width="4.28515625" customWidth="1"/>
    <col min="2" max="2" width="10.42578125" customWidth="1"/>
    <col min="3" max="3" width="11.42578125" customWidth="1"/>
    <col min="9" max="9" width="12.5703125" customWidth="1"/>
  </cols>
  <sheetData>
    <row r="1" spans="1:14" x14ac:dyDescent="0.25">
      <c r="B1" t="s">
        <v>24</v>
      </c>
      <c r="C1" s="5">
        <v>2</v>
      </c>
    </row>
    <row r="2" spans="1:14" x14ac:dyDescent="0.25">
      <c r="B2" t="s">
        <v>25</v>
      </c>
      <c r="C2" s="5" t="s">
        <v>168</v>
      </c>
    </row>
    <row r="3" spans="1:14" x14ac:dyDescent="0.25">
      <c r="B3" t="s">
        <v>26</v>
      </c>
      <c r="C3" s="6" t="s">
        <v>244</v>
      </c>
    </row>
    <row r="4" spans="1:14" x14ac:dyDescent="0.25">
      <c r="B4" t="s">
        <v>0</v>
      </c>
      <c r="C4" s="10">
        <v>11</v>
      </c>
      <c r="D4" s="41" t="s">
        <v>1</v>
      </c>
      <c r="E4" s="41"/>
      <c r="F4" s="41"/>
      <c r="G4" s="41"/>
      <c r="H4" s="41"/>
    </row>
    <row r="6" spans="1:14" x14ac:dyDescent="0.25">
      <c r="A6" s="7">
        <v>0</v>
      </c>
      <c r="B6" s="7" t="s">
        <v>27</v>
      </c>
      <c r="C6" s="7"/>
      <c r="N6" s="8" t="str">
        <f>"Например: "&amp;SUBSTITUTE(C2,"-","")&amp;" "&amp;RIGHT("0"&amp;C1,2)&amp;" "&amp;SUBSTITUTE(SUBSTITUTE(C3,".","")," ","")</f>
        <v>Например: ПМ2541 02 ПетровГА</v>
      </c>
    </row>
    <row r="7" spans="1:14" ht="3" customHeight="1" x14ac:dyDescent="0.25">
      <c r="B7" t="s">
        <v>28</v>
      </c>
    </row>
    <row r="8" spans="1:14" ht="3" customHeight="1" x14ac:dyDescent="0.25">
      <c r="B8" t="s">
        <v>29</v>
      </c>
    </row>
    <row r="10" spans="1:14" x14ac:dyDescent="0.25">
      <c r="A10" s="7"/>
      <c r="B10" t="s">
        <v>30</v>
      </c>
      <c r="C10" s="7" t="s">
        <v>156</v>
      </c>
      <c r="I10" s="8"/>
    </row>
    <row r="11" spans="1:14" x14ac:dyDescent="0.25">
      <c r="B11" t="s">
        <v>31</v>
      </c>
      <c r="C11" s="9" t="s">
        <v>36</v>
      </c>
      <c r="I11" s="8"/>
      <c r="J11" s="8"/>
    </row>
    <row r="12" spans="1:14" x14ac:dyDescent="0.25">
      <c r="C12" s="9" t="s">
        <v>37</v>
      </c>
      <c r="I12" s="8"/>
      <c r="J12" s="8"/>
    </row>
    <row r="13" spans="1:14" x14ac:dyDescent="0.25">
      <c r="C13" s="9" t="s">
        <v>39</v>
      </c>
      <c r="I13" s="8"/>
      <c r="J13" s="8"/>
    </row>
    <row r="14" spans="1:14" x14ac:dyDescent="0.25">
      <c r="C14" s="9" t="s">
        <v>38</v>
      </c>
      <c r="I14" s="8"/>
      <c r="J14" s="8"/>
    </row>
    <row r="15" spans="1:14" x14ac:dyDescent="0.25">
      <c r="C15" s="9" t="s">
        <v>40</v>
      </c>
      <c r="I15" s="8"/>
      <c r="J15" s="8"/>
    </row>
    <row r="17" spans="1:11" x14ac:dyDescent="0.25">
      <c r="A17" s="7">
        <v>1</v>
      </c>
      <c r="B17" s="7" t="s">
        <v>41</v>
      </c>
    </row>
    <row r="18" spans="1:11" x14ac:dyDescent="0.25">
      <c r="B18" s="8" t="s">
        <v>42</v>
      </c>
    </row>
    <row r="20" spans="1:11" x14ac:dyDescent="0.25">
      <c r="A20" s="7">
        <v>2</v>
      </c>
      <c r="B20" s="7" t="s">
        <v>43</v>
      </c>
    </row>
    <row r="21" spans="1:11" x14ac:dyDescent="0.25">
      <c r="A21" s="12">
        <v>2.1</v>
      </c>
      <c r="B21" s="11" t="s">
        <v>44</v>
      </c>
    </row>
    <row r="22" spans="1:11" x14ac:dyDescent="0.25">
      <c r="B22" t="s">
        <v>50</v>
      </c>
      <c r="J22" s="8"/>
    </row>
    <row r="23" spans="1:11" x14ac:dyDescent="0.25">
      <c r="B23" t="s">
        <v>51</v>
      </c>
    </row>
    <row r="24" spans="1:11" x14ac:dyDescent="0.25">
      <c r="B24" t="s">
        <v>52</v>
      </c>
    </row>
    <row r="25" spans="1:11" x14ac:dyDescent="0.25">
      <c r="B25" t="s">
        <v>55</v>
      </c>
    </row>
    <row r="26" spans="1:11" x14ac:dyDescent="0.25">
      <c r="B26" s="8" t="s">
        <v>53</v>
      </c>
    </row>
    <row r="28" spans="1:11" x14ac:dyDescent="0.25">
      <c r="A28" s="12">
        <v>2.2000000000000002</v>
      </c>
      <c r="B28" s="11" t="s">
        <v>37</v>
      </c>
      <c r="F28" s="13" t="s">
        <v>54</v>
      </c>
    </row>
    <row r="29" spans="1:11" x14ac:dyDescent="0.25">
      <c r="A29" s="12"/>
      <c r="B29" t="s">
        <v>73</v>
      </c>
      <c r="F29" s="13"/>
    </row>
    <row r="30" spans="1:11" x14ac:dyDescent="0.25">
      <c r="B30" t="s">
        <v>74</v>
      </c>
    </row>
    <row r="31" spans="1:11" x14ac:dyDescent="0.25">
      <c r="B31" t="s">
        <v>56</v>
      </c>
    </row>
    <row r="32" spans="1:11" x14ac:dyDescent="0.25">
      <c r="B32" t="s">
        <v>57</v>
      </c>
      <c r="K32" s="8" t="s">
        <v>58</v>
      </c>
    </row>
    <row r="33" spans="1:17" x14ac:dyDescent="0.25">
      <c r="B33" t="s">
        <v>63</v>
      </c>
      <c r="K33" s="8" t="s">
        <v>59</v>
      </c>
      <c r="O33" s="8" t="s">
        <v>60</v>
      </c>
    </row>
    <row r="34" spans="1:17" x14ac:dyDescent="0.25">
      <c r="B34" t="s">
        <v>65</v>
      </c>
      <c r="O34" s="8" t="s">
        <v>61</v>
      </c>
    </row>
    <row r="35" spans="1:17" x14ac:dyDescent="0.25">
      <c r="B35" t="s">
        <v>68</v>
      </c>
      <c r="O35" s="8" t="s">
        <v>62</v>
      </c>
    </row>
    <row r="36" spans="1:17" x14ac:dyDescent="0.25">
      <c r="B36" s="8" t="s">
        <v>69</v>
      </c>
    </row>
    <row r="37" spans="1:17" x14ac:dyDescent="0.25">
      <c r="B37" s="8" t="s">
        <v>70</v>
      </c>
    </row>
    <row r="38" spans="1:17" x14ac:dyDescent="0.25">
      <c r="B38" s="8" t="s">
        <v>71</v>
      </c>
    </row>
    <row r="40" spans="1:17" x14ac:dyDescent="0.25">
      <c r="A40" s="12">
        <v>2.2999999999999998</v>
      </c>
      <c r="B40" s="11" t="s">
        <v>72</v>
      </c>
    </row>
    <row r="41" spans="1:17" x14ac:dyDescent="0.25">
      <c r="B41" t="s">
        <v>75</v>
      </c>
    </row>
    <row r="42" spans="1:17" x14ac:dyDescent="0.25">
      <c r="B42" t="s">
        <v>76</v>
      </c>
      <c r="K42" s="8" t="s">
        <v>77</v>
      </c>
    </row>
    <row r="43" spans="1:17" x14ac:dyDescent="0.25">
      <c r="B43" t="s">
        <v>79</v>
      </c>
      <c r="K43" s="8" t="s">
        <v>78</v>
      </c>
    </row>
    <row r="44" spans="1:17" x14ac:dyDescent="0.25">
      <c r="B44" t="s">
        <v>80</v>
      </c>
      <c r="K44" s="8" t="s">
        <v>81</v>
      </c>
    </row>
    <row r="45" spans="1:17" x14ac:dyDescent="0.25">
      <c r="B45" s="9" t="s">
        <v>122</v>
      </c>
      <c r="K45" s="8"/>
    </row>
    <row r="46" spans="1:17" x14ac:dyDescent="0.25">
      <c r="B46" t="s">
        <v>83</v>
      </c>
    </row>
    <row r="47" spans="1:17" x14ac:dyDescent="0.25">
      <c r="B47" t="s">
        <v>82</v>
      </c>
      <c r="Q47" s="8" t="s">
        <v>86</v>
      </c>
    </row>
    <row r="48" spans="1:17" x14ac:dyDescent="0.25">
      <c r="B48" t="s">
        <v>84</v>
      </c>
    </row>
    <row r="49" spans="1:17" x14ac:dyDescent="0.25">
      <c r="B49" t="s">
        <v>85</v>
      </c>
      <c r="Q49" s="8" t="s">
        <v>87</v>
      </c>
    </row>
    <row r="50" spans="1:17" x14ac:dyDescent="0.25">
      <c r="B50" t="s">
        <v>88</v>
      </c>
    </row>
    <row r="51" spans="1:17" x14ac:dyDescent="0.25">
      <c r="B51" t="s">
        <v>89</v>
      </c>
    </row>
    <row r="53" spans="1:17" x14ac:dyDescent="0.25">
      <c r="B53" s="8" t="s">
        <v>90</v>
      </c>
    </row>
    <row r="54" spans="1:17" x14ac:dyDescent="0.25">
      <c r="B54" s="8" t="s">
        <v>91</v>
      </c>
    </row>
    <row r="56" spans="1:17" x14ac:dyDescent="0.25">
      <c r="A56" s="12">
        <v>2.4</v>
      </c>
      <c r="B56" s="11" t="s">
        <v>92</v>
      </c>
    </row>
    <row r="57" spans="1:17" x14ac:dyDescent="0.25">
      <c r="B57" s="8" t="s">
        <v>93</v>
      </c>
    </row>
    <row r="58" spans="1:17" x14ac:dyDescent="0.25">
      <c r="B58" t="s">
        <v>123</v>
      </c>
    </row>
    <row r="59" spans="1:17" x14ac:dyDescent="0.25">
      <c r="B59" t="s">
        <v>94</v>
      </c>
      <c r="L59" s="8" t="s">
        <v>95</v>
      </c>
    </row>
    <row r="60" spans="1:17" x14ac:dyDescent="0.25">
      <c r="B60" t="s">
        <v>96</v>
      </c>
    </row>
    <row r="61" spans="1:17" x14ac:dyDescent="0.25">
      <c r="B61" t="s">
        <v>97</v>
      </c>
    </row>
    <row r="62" spans="1:17" x14ac:dyDescent="0.25">
      <c r="B62" t="s">
        <v>98</v>
      </c>
      <c r="L62" s="8" t="s">
        <v>99</v>
      </c>
    </row>
    <row r="63" spans="1:17" x14ac:dyDescent="0.25">
      <c r="B63" t="s">
        <v>100</v>
      </c>
      <c r="L63" s="8" t="s">
        <v>101</v>
      </c>
    </row>
    <row r="64" spans="1:17" x14ac:dyDescent="0.25">
      <c r="B64" t="s">
        <v>125</v>
      </c>
    </row>
    <row r="65" spans="1:15" x14ac:dyDescent="0.25">
      <c r="B65" t="s">
        <v>102</v>
      </c>
    </row>
    <row r="67" spans="1:15" x14ac:dyDescent="0.25">
      <c r="A67" s="12">
        <v>2.5</v>
      </c>
      <c r="B67" s="11" t="s">
        <v>103</v>
      </c>
    </row>
    <row r="68" spans="1:15" x14ac:dyDescent="0.25">
      <c r="B68" s="8" t="s">
        <v>104</v>
      </c>
    </row>
    <row r="69" spans="1:15" x14ac:dyDescent="0.25">
      <c r="B69" t="s">
        <v>123</v>
      </c>
    </row>
    <row r="70" spans="1:15" x14ac:dyDescent="0.25">
      <c r="B70" t="s">
        <v>105</v>
      </c>
      <c r="O70" s="8" t="s">
        <v>106</v>
      </c>
    </row>
    <row r="71" spans="1:15" x14ac:dyDescent="0.25">
      <c r="B71" t="s">
        <v>107</v>
      </c>
    </row>
    <row r="72" spans="1:15" x14ac:dyDescent="0.25">
      <c r="B72" t="s">
        <v>108</v>
      </c>
    </row>
    <row r="73" spans="1:15" x14ac:dyDescent="0.25">
      <c r="B73" t="s">
        <v>109</v>
      </c>
    </row>
    <row r="74" spans="1:15" x14ac:dyDescent="0.25">
      <c r="B74" s="8" t="s">
        <v>110</v>
      </c>
    </row>
    <row r="75" spans="1:15" x14ac:dyDescent="0.25">
      <c r="B75" s="8" t="s">
        <v>111</v>
      </c>
    </row>
    <row r="76" spans="1:15" x14ac:dyDescent="0.25">
      <c r="B76" t="s">
        <v>112</v>
      </c>
    </row>
    <row r="78" spans="1:15" x14ac:dyDescent="0.25">
      <c r="A78" s="12">
        <v>2.6</v>
      </c>
      <c r="B78" s="11" t="s">
        <v>113</v>
      </c>
    </row>
    <row r="79" spans="1:15" x14ac:dyDescent="0.25">
      <c r="B79" s="8" t="s">
        <v>114</v>
      </c>
    </row>
    <row r="80" spans="1:15" x14ac:dyDescent="0.25">
      <c r="B80" t="s">
        <v>124</v>
      </c>
    </row>
    <row r="81" spans="1:11" x14ac:dyDescent="0.25">
      <c r="B81" t="s">
        <v>115</v>
      </c>
    </row>
    <row r="82" spans="1:11" x14ac:dyDescent="0.25">
      <c r="B82" t="s">
        <v>116</v>
      </c>
    </row>
    <row r="83" spans="1:11" x14ac:dyDescent="0.25">
      <c r="B83" t="s">
        <v>117</v>
      </c>
    </row>
    <row r="84" spans="1:11" x14ac:dyDescent="0.25">
      <c r="B84" t="s">
        <v>116</v>
      </c>
    </row>
    <row r="85" spans="1:11" x14ac:dyDescent="0.25">
      <c r="B85" t="s">
        <v>118</v>
      </c>
    </row>
    <row r="87" spans="1:11" x14ac:dyDescent="0.25">
      <c r="B87" t="s">
        <v>121</v>
      </c>
    </row>
    <row r="89" spans="1:11" x14ac:dyDescent="0.25">
      <c r="B89" s="8" t="s">
        <v>126</v>
      </c>
    </row>
    <row r="90" spans="1:11" x14ac:dyDescent="0.25">
      <c r="A90" s="7">
        <v>3</v>
      </c>
      <c r="B90" s="7" t="s">
        <v>119</v>
      </c>
    </row>
    <row r="91" spans="1:11" x14ac:dyDescent="0.25">
      <c r="B91" t="s">
        <v>127</v>
      </c>
      <c r="K91" s="8" t="s">
        <v>128</v>
      </c>
    </row>
    <row r="92" spans="1:11" x14ac:dyDescent="0.25">
      <c r="B92" t="s">
        <v>130</v>
      </c>
    </row>
    <row r="93" spans="1:11" x14ac:dyDescent="0.25">
      <c r="B93" t="s">
        <v>131</v>
      </c>
    </row>
    <row r="94" spans="1:11" x14ac:dyDescent="0.25">
      <c r="A94" s="12">
        <v>3.1</v>
      </c>
      <c r="B94" s="11" t="s">
        <v>157</v>
      </c>
    </row>
    <row r="95" spans="1:11" x14ac:dyDescent="0.25">
      <c r="B95" t="s">
        <v>132</v>
      </c>
    </row>
    <row r="96" spans="1:11" x14ac:dyDescent="0.25">
      <c r="B96" t="s">
        <v>133</v>
      </c>
    </row>
    <row r="97" spans="1:2" x14ac:dyDescent="0.25">
      <c r="B97" t="s">
        <v>134</v>
      </c>
    </row>
    <row r="98" spans="1:2" x14ac:dyDescent="0.25">
      <c r="B98" t="s">
        <v>135</v>
      </c>
    </row>
    <row r="99" spans="1:2" x14ac:dyDescent="0.25">
      <c r="B99" s="8" t="s">
        <v>136</v>
      </c>
    </row>
    <row r="100" spans="1:2" x14ac:dyDescent="0.25">
      <c r="B100" s="8" t="s">
        <v>137</v>
      </c>
    </row>
    <row r="101" spans="1:2" x14ac:dyDescent="0.25">
      <c r="B101" t="s">
        <v>138</v>
      </c>
    </row>
    <row r="102" spans="1:2" x14ac:dyDescent="0.25">
      <c r="B102" t="s">
        <v>139</v>
      </c>
    </row>
    <row r="103" spans="1:2" x14ac:dyDescent="0.25">
      <c r="B103" t="s">
        <v>140</v>
      </c>
    </row>
    <row r="104" spans="1:2" x14ac:dyDescent="0.25">
      <c r="B104" t="s">
        <v>141</v>
      </c>
    </row>
    <row r="105" spans="1:2" x14ac:dyDescent="0.25">
      <c r="B105" t="s">
        <v>142</v>
      </c>
    </row>
    <row r="107" spans="1:2" x14ac:dyDescent="0.25">
      <c r="A107" s="12">
        <v>3.2</v>
      </c>
      <c r="B107" s="11" t="s">
        <v>158</v>
      </c>
    </row>
    <row r="108" spans="1:2" x14ac:dyDescent="0.25">
      <c r="B108" t="s">
        <v>143</v>
      </c>
    </row>
    <row r="109" spans="1:2" x14ac:dyDescent="0.25">
      <c r="B109" t="s">
        <v>145</v>
      </c>
    </row>
    <row r="110" spans="1:2" x14ac:dyDescent="0.25">
      <c r="B110" t="s">
        <v>144</v>
      </c>
    </row>
    <row r="111" spans="1:2" x14ac:dyDescent="0.25">
      <c r="B111" t="s">
        <v>146</v>
      </c>
    </row>
    <row r="112" spans="1:2" x14ac:dyDescent="0.25">
      <c r="B112" t="s">
        <v>147</v>
      </c>
    </row>
    <row r="113" spans="1:2" x14ac:dyDescent="0.25">
      <c r="B113" t="s">
        <v>148</v>
      </c>
    </row>
    <row r="114" spans="1:2" x14ac:dyDescent="0.25">
      <c r="B114" t="s">
        <v>149</v>
      </c>
    </row>
    <row r="116" spans="1:2" x14ac:dyDescent="0.25">
      <c r="A116" s="7">
        <v>4</v>
      </c>
      <c r="B116" s="7" t="s">
        <v>120</v>
      </c>
    </row>
    <row r="117" spans="1:2" x14ac:dyDescent="0.25">
      <c r="B117" t="s">
        <v>150</v>
      </c>
    </row>
    <row r="118" spans="1:2" x14ac:dyDescent="0.25">
      <c r="B118" t="s">
        <v>151</v>
      </c>
    </row>
    <row r="119" spans="1:2" x14ac:dyDescent="0.25">
      <c r="B119" t="s">
        <v>152</v>
      </c>
    </row>
    <row r="120" spans="1:2" x14ac:dyDescent="0.25">
      <c r="B120" t="s">
        <v>153</v>
      </c>
    </row>
    <row r="121" spans="1:2" x14ac:dyDescent="0.25">
      <c r="B121" t="s">
        <v>154</v>
      </c>
    </row>
  </sheetData>
  <mergeCells count="1">
    <mergeCell ref="D4:H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2" sqref="F2"/>
    </sheetView>
  </sheetViews>
  <sheetFormatPr defaultRowHeight="15" x14ac:dyDescent="0.25"/>
  <cols>
    <col min="1" max="1" width="3.140625" bestFit="1" customWidth="1"/>
    <col min="2" max="2" width="5" bestFit="1" customWidth="1"/>
    <col min="3" max="4" width="12.140625" bestFit="1" customWidth="1"/>
    <col min="5" max="5" width="11.140625" bestFit="1" customWidth="1"/>
    <col min="6" max="6" width="7.7109375" bestFit="1" customWidth="1"/>
    <col min="7" max="7" width="13.140625" customWidth="1"/>
  </cols>
  <sheetData>
    <row r="1" spans="1:9" s="1" customFormat="1" ht="30" x14ac:dyDescent="0.25">
      <c r="A1" s="4" t="s">
        <v>20</v>
      </c>
      <c r="B1" s="4" t="s">
        <v>12</v>
      </c>
      <c r="C1" s="4" t="s">
        <v>21</v>
      </c>
      <c r="D1" s="4" t="s">
        <v>22</v>
      </c>
      <c r="E1" s="4" t="s">
        <v>32</v>
      </c>
      <c r="F1" s="4" t="s">
        <v>33</v>
      </c>
      <c r="G1" s="4" t="s">
        <v>23</v>
      </c>
    </row>
    <row r="2" spans="1:9" x14ac:dyDescent="0.25">
      <c r="A2" s="2">
        <v>1</v>
      </c>
      <c r="B2" s="2" t="s">
        <v>2</v>
      </c>
      <c r="C2" s="3">
        <v>1523670.1312683504</v>
      </c>
      <c r="D2" s="3">
        <v>854871.14703622425</v>
      </c>
      <c r="E2" s="3">
        <v>663998.76369988162</v>
      </c>
      <c r="F2" s="3">
        <v>7124.9668564346994</v>
      </c>
      <c r="G2" s="3">
        <v>3013.1797778016089</v>
      </c>
      <c r="I2" t="s">
        <v>169</v>
      </c>
    </row>
    <row r="3" spans="1:9" x14ac:dyDescent="0.25">
      <c r="A3" s="2">
        <v>2</v>
      </c>
      <c r="B3" s="2" t="s">
        <v>3</v>
      </c>
      <c r="C3" s="3">
        <v>1899714.2822209885</v>
      </c>
      <c r="D3" s="3">
        <v>1139219.2493035407</v>
      </c>
      <c r="E3" s="3">
        <v>884858.70150511106</v>
      </c>
      <c r="F3" s="3">
        <v>9472.4628590143511</v>
      </c>
      <c r="G3" s="3">
        <v>3063.7503642895449</v>
      </c>
      <c r="I3" t="s">
        <v>170</v>
      </c>
    </row>
    <row r="4" spans="1:9" x14ac:dyDescent="0.25">
      <c r="A4" s="2">
        <v>3</v>
      </c>
      <c r="B4" s="2" t="s">
        <v>4</v>
      </c>
      <c r="C4" s="3">
        <v>2271976.8034374709</v>
      </c>
      <c r="D4" s="3">
        <v>1403738.508618192</v>
      </c>
      <c r="E4" s="3">
        <v>1090317.1051120984</v>
      </c>
      <c r="F4" s="3">
        <v>10821.718177877687</v>
      </c>
      <c r="G4" s="3">
        <v>3114.3209507774804</v>
      </c>
      <c r="I4" t="s">
        <v>171</v>
      </c>
    </row>
    <row r="5" spans="1:9" x14ac:dyDescent="0.25">
      <c r="A5" s="2">
        <v>4</v>
      </c>
      <c r="B5" s="2" t="s">
        <v>5</v>
      </c>
      <c r="C5" s="3">
        <v>2745199.6299384595</v>
      </c>
      <c r="D5" s="3">
        <v>1677617.7878271635</v>
      </c>
      <c r="E5" s="3">
        <v>1303045.6589160857</v>
      </c>
      <c r="F5" s="3">
        <v>15014.027631766721</v>
      </c>
      <c r="G5" s="3">
        <v>3164.8915372654155</v>
      </c>
      <c r="I5" t="s">
        <v>172</v>
      </c>
    </row>
    <row r="6" spans="1:9" x14ac:dyDescent="0.25">
      <c r="A6" s="2">
        <v>5</v>
      </c>
      <c r="B6" s="2" t="s">
        <v>6</v>
      </c>
      <c r="C6" s="3">
        <v>3476075.5445336094</v>
      </c>
      <c r="D6" s="3">
        <v>2080056.4881224297</v>
      </c>
      <c r="E6" s="3">
        <v>1615629.3744707303</v>
      </c>
      <c r="F6" s="3">
        <v>18464.986503774206</v>
      </c>
      <c r="G6" s="3">
        <v>3262.6488048257374</v>
      </c>
      <c r="I6" t="s">
        <v>173</v>
      </c>
    </row>
    <row r="7" spans="1:9" x14ac:dyDescent="0.25">
      <c r="A7" s="2">
        <v>6</v>
      </c>
      <c r="B7" s="2" t="s">
        <v>7</v>
      </c>
      <c r="C7" s="3">
        <v>4183589.0473623835</v>
      </c>
      <c r="D7" s="3">
        <v>2564917.6229515877</v>
      </c>
      <c r="E7" s="3">
        <v>1992232.5563758044</v>
      </c>
      <c r="F7" s="3">
        <v>23149.291880697179</v>
      </c>
      <c r="G7" s="3">
        <v>3415.8645222520108</v>
      </c>
      <c r="I7" t="s">
        <v>174</v>
      </c>
    </row>
    <row r="8" spans="1:9" x14ac:dyDescent="0.25">
      <c r="A8" s="2">
        <v>7</v>
      </c>
      <c r="B8" s="2" t="s">
        <v>8</v>
      </c>
      <c r="C8" s="3">
        <v>5380452.4239379605</v>
      </c>
      <c r="D8" s="3">
        <v>3296150.8327038502</v>
      </c>
      <c r="E8" s="3">
        <v>2560198.7919133157</v>
      </c>
      <c r="F8" s="3">
        <v>29243.136120380714</v>
      </c>
      <c r="G8" s="3">
        <v>3564.3803710455763</v>
      </c>
    </row>
    <row r="9" spans="1:9" x14ac:dyDescent="0.25">
      <c r="A9" s="2">
        <v>8</v>
      </c>
      <c r="B9" s="2" t="s">
        <v>9</v>
      </c>
      <c r="C9" s="3">
        <v>5857652.2365358304</v>
      </c>
      <c r="D9" s="3">
        <v>3853809.5568073275</v>
      </c>
      <c r="E9" s="3">
        <v>2993345.5938084461</v>
      </c>
      <c r="F9" s="3">
        <v>32827.12981312503</v>
      </c>
      <c r="G9" s="3">
        <v>3721.2849999999999</v>
      </c>
      <c r="I9" t="s">
        <v>175</v>
      </c>
    </row>
    <row r="10" spans="1:9" x14ac:dyDescent="0.25">
      <c r="A10" s="2">
        <v>9</v>
      </c>
      <c r="B10" s="2" t="s">
        <v>10</v>
      </c>
      <c r="C10" s="3">
        <v>6511019.5831007604</v>
      </c>
      <c r="D10" s="3">
        <v>4239214.9484877475</v>
      </c>
      <c r="E10" s="3">
        <v>3292699.1332117636</v>
      </c>
      <c r="F10" s="3">
        <v>34417.519307577262</v>
      </c>
      <c r="G10" s="3">
        <v>3722.31</v>
      </c>
    </row>
    <row r="11" spans="1:9" x14ac:dyDescent="0.25">
      <c r="A11" s="2">
        <v>10</v>
      </c>
      <c r="B11" s="2" t="s">
        <v>11</v>
      </c>
      <c r="C11" s="3">
        <v>7448243.4494492188</v>
      </c>
      <c r="D11" s="3">
        <v>4675803.1769923167</v>
      </c>
      <c r="E11" s="3">
        <v>3631807.6</v>
      </c>
      <c r="F11" s="3">
        <v>38027.270514532211</v>
      </c>
      <c r="G11" s="3">
        <v>3588.8969999999999</v>
      </c>
    </row>
    <row r="12" spans="1:9" x14ac:dyDescent="0.25">
      <c r="A12" s="2">
        <v>11</v>
      </c>
      <c r="B12" s="2" t="s">
        <v>13</v>
      </c>
      <c r="C12" s="3">
        <v>8915955.3337932099</v>
      </c>
      <c r="D12" s="3">
        <v>5864573.2429680433</v>
      </c>
      <c r="E12" s="3">
        <v>6188755.7403909471</v>
      </c>
      <c r="F12" s="3">
        <v>48913.793502099419</v>
      </c>
      <c r="G12" s="3">
        <v>3517.73</v>
      </c>
    </row>
    <row r="13" spans="1:9" x14ac:dyDescent="0.25">
      <c r="A13" s="2">
        <v>12</v>
      </c>
      <c r="B13" s="2" t="s">
        <v>14</v>
      </c>
      <c r="C13" s="3">
        <v>10017461.84195617</v>
      </c>
      <c r="D13" s="3">
        <v>6696500.3734088941</v>
      </c>
      <c r="E13" s="3">
        <v>7066670.2263727253</v>
      </c>
      <c r="F13" s="3">
        <v>55417.97686444701</v>
      </c>
      <c r="G13" s="3">
        <v>3511.3829999999998</v>
      </c>
    </row>
    <row r="14" spans="1:9" x14ac:dyDescent="0.25">
      <c r="A14" s="2">
        <v>13</v>
      </c>
      <c r="B14" s="2" t="s">
        <v>15</v>
      </c>
      <c r="C14" s="3">
        <v>9925208.0999999996</v>
      </c>
      <c r="D14" s="3">
        <v>6933386.9000000004</v>
      </c>
      <c r="E14" s="3">
        <v>7517411.2509606024</v>
      </c>
      <c r="F14" s="3">
        <v>58446.402896956672</v>
      </c>
      <c r="G14" s="3">
        <v>3511.895</v>
      </c>
    </row>
    <row r="15" spans="1:9" x14ac:dyDescent="0.25">
      <c r="A15" s="2">
        <v>14</v>
      </c>
      <c r="B15" s="2" t="s">
        <v>16</v>
      </c>
      <c r="C15" s="3">
        <v>10706582.1</v>
      </c>
      <c r="D15" s="3">
        <v>7504676.2999999998</v>
      </c>
      <c r="E15" s="3">
        <v>7806214.914021723</v>
      </c>
      <c r="F15" s="3">
        <v>57428.570061473758</v>
      </c>
      <c r="G15" s="3">
        <v>3506.1019999999999</v>
      </c>
    </row>
    <row r="16" spans="1:9" x14ac:dyDescent="0.25">
      <c r="A16" s="2">
        <v>15</v>
      </c>
      <c r="B16" s="2" t="s">
        <v>17</v>
      </c>
      <c r="C16" s="3">
        <v>11852881.700000001</v>
      </c>
      <c r="D16" s="3">
        <v>8005749.4000000004</v>
      </c>
      <c r="E16" s="3">
        <v>8342022.5787704289</v>
      </c>
      <c r="F16" s="3">
        <v>59750.30854984279</v>
      </c>
      <c r="G16" s="3">
        <v>3420.6927000000001</v>
      </c>
    </row>
    <row r="17" spans="1:7" x14ac:dyDescent="0.25">
      <c r="A17" s="2">
        <v>16</v>
      </c>
      <c r="B17" s="2" t="s">
        <v>18</v>
      </c>
      <c r="C17" s="3">
        <v>12766002.800000001</v>
      </c>
      <c r="D17" s="3">
        <v>8435287.0999999996</v>
      </c>
      <c r="E17" s="3">
        <v>8435287.0999999996</v>
      </c>
      <c r="F17" s="3">
        <v>71121.2</v>
      </c>
      <c r="G17" s="3">
        <v>4608.7519299999994</v>
      </c>
    </row>
    <row r="18" spans="1:7" x14ac:dyDescent="0.25">
      <c r="A18" s="2">
        <v>17</v>
      </c>
      <c r="B18" s="2" t="s">
        <v>19</v>
      </c>
      <c r="C18" s="3">
        <v>13515794</v>
      </c>
      <c r="D18" s="3">
        <v>8889867.7000000011</v>
      </c>
      <c r="E18" s="3">
        <v>8889867.7000000011</v>
      </c>
      <c r="F18" s="3">
        <v>79509</v>
      </c>
      <c r="G18" s="3">
        <v>4690.2311</v>
      </c>
    </row>
    <row r="19" spans="1:7" x14ac:dyDescent="0.25">
      <c r="A19" s="2">
        <v>18</v>
      </c>
      <c r="B19" s="2" t="s">
        <v>34</v>
      </c>
      <c r="C19" s="3">
        <v>13615271.9</v>
      </c>
      <c r="D19" s="3">
        <v>9318440.1999999993</v>
      </c>
      <c r="E19" s="3">
        <v>9438926.0500000007</v>
      </c>
      <c r="F19" s="3">
        <v>84992.9</v>
      </c>
      <c r="G19" s="3">
        <v>4692.8642</v>
      </c>
    </row>
    <row r="20" spans="1:7" x14ac:dyDescent="0.25">
      <c r="A20" s="2">
        <v>19</v>
      </c>
      <c r="B20" s="2" t="s">
        <v>35</v>
      </c>
      <c r="C20" s="3">
        <v>14544325.699999999</v>
      </c>
      <c r="D20" s="3">
        <v>9987984.4000000004</v>
      </c>
      <c r="E20" s="3">
        <v>9987984.4000000004</v>
      </c>
      <c r="F20" s="3">
        <v>91586</v>
      </c>
      <c r="G20" s="3">
        <v>4732.6019299999998</v>
      </c>
    </row>
    <row r="21" spans="1:7" x14ac:dyDescent="0.25">
      <c r="A21" s="2">
        <v>20</v>
      </c>
      <c r="B21" s="2" t="s">
        <v>45</v>
      </c>
      <c r="C21" s="3">
        <v>16406490.399999999</v>
      </c>
      <c r="D21" s="3">
        <v>12989466.85</v>
      </c>
      <c r="E21" s="3">
        <v>10979479.5</v>
      </c>
      <c r="F21" s="3">
        <v>97845.4</v>
      </c>
      <c r="G21" s="3">
        <v>4651.6728800000001</v>
      </c>
    </row>
    <row r="22" spans="1:7" x14ac:dyDescent="0.25">
      <c r="A22" s="2">
        <v>21</v>
      </c>
      <c r="B22" s="2" t="s">
        <v>46</v>
      </c>
      <c r="C22" s="3">
        <v>19738622.600000001</v>
      </c>
      <c r="D22" s="3">
        <v>15127767.050000001</v>
      </c>
      <c r="E22" s="3">
        <v>13819986.5</v>
      </c>
      <c r="F22" s="3">
        <v>108572.5</v>
      </c>
      <c r="G22" s="3">
        <v>4634.6379999999999</v>
      </c>
    </row>
    <row r="23" spans="1:7" x14ac:dyDescent="0.25">
      <c r="A23" s="2">
        <v>22</v>
      </c>
      <c r="B23" s="2" t="s">
        <v>47</v>
      </c>
      <c r="C23" s="3">
        <v>24340433.200000003</v>
      </c>
      <c r="D23" s="3">
        <v>16660493.5</v>
      </c>
      <c r="E23" s="3">
        <v>16660493.5</v>
      </c>
      <c r="F23" s="3">
        <v>124522.3</v>
      </c>
      <c r="G23" s="3">
        <v>4624.0249999999996</v>
      </c>
    </row>
    <row r="24" spans="1:7" x14ac:dyDescent="0.25">
      <c r="A24" s="2">
        <v>23</v>
      </c>
      <c r="B24" s="2" t="s">
        <v>48</v>
      </c>
      <c r="C24" s="3">
        <v>29177253.5</v>
      </c>
      <c r="D24" s="3">
        <v>20267549.700000003</v>
      </c>
      <c r="E24" s="3">
        <v>20267549.700000003</v>
      </c>
      <c r="F24" s="3">
        <v>145843.40000000002</v>
      </c>
      <c r="G24" s="3">
        <v>4571.1329999999998</v>
      </c>
    </row>
    <row r="25" spans="1:7" x14ac:dyDescent="0.25">
      <c r="A25" s="2">
        <v>24</v>
      </c>
      <c r="B25" s="2" t="s">
        <v>49</v>
      </c>
      <c r="C25" s="3">
        <v>32463740.899999999</v>
      </c>
      <c r="D25" s="3">
        <v>22639157.185240481</v>
      </c>
    </row>
    <row r="26" spans="1:7" x14ac:dyDescent="0.25">
      <c r="A26" s="2">
        <v>25</v>
      </c>
      <c r="B26" s="2" t="s">
        <v>159</v>
      </c>
    </row>
    <row r="27" spans="1:7" x14ac:dyDescent="0.25">
      <c r="A27" s="2">
        <v>26</v>
      </c>
      <c r="B27" s="2" t="s">
        <v>164</v>
      </c>
    </row>
    <row r="28" spans="1:7" x14ac:dyDescent="0.25">
      <c r="A28" s="2">
        <v>27</v>
      </c>
      <c r="B28" s="2" t="s">
        <v>165</v>
      </c>
    </row>
    <row r="29" spans="1:7" x14ac:dyDescent="0.25">
      <c r="A29" s="2">
        <v>28</v>
      </c>
      <c r="B29" s="2" t="s">
        <v>166</v>
      </c>
    </row>
    <row r="30" spans="1:7" x14ac:dyDescent="0.25">
      <c r="A30" s="2">
        <v>29</v>
      </c>
      <c r="B30" s="2" t="s">
        <v>167</v>
      </c>
    </row>
    <row r="31" spans="1:7" x14ac:dyDescent="0.25">
      <c r="A31" s="2">
        <v>30</v>
      </c>
      <c r="B31" s="2" t="s">
        <v>176</v>
      </c>
    </row>
    <row r="32" spans="1:7" x14ac:dyDescent="0.25">
      <c r="A32" s="2">
        <v>31</v>
      </c>
      <c r="B32" s="2" t="s">
        <v>177</v>
      </c>
    </row>
    <row r="33" spans="1:2" x14ac:dyDescent="0.25">
      <c r="A33" s="2">
        <v>32</v>
      </c>
      <c r="B33" s="2" t="s">
        <v>178</v>
      </c>
    </row>
    <row r="34" spans="1:2" x14ac:dyDescent="0.25">
      <c r="A34" s="2">
        <v>33</v>
      </c>
      <c r="B34" s="2" t="s">
        <v>179</v>
      </c>
    </row>
    <row r="35" spans="1:2" x14ac:dyDescent="0.25">
      <c r="A35" s="2">
        <v>34</v>
      </c>
      <c r="B35" s="2" t="s">
        <v>180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9"/>
  <sheetViews>
    <sheetView zoomScale="85" zoomScaleNormal="85" workbookViewId="0">
      <selection activeCell="F11" sqref="F11"/>
    </sheetView>
  </sheetViews>
  <sheetFormatPr defaultRowHeight="15" x14ac:dyDescent="0.25"/>
  <cols>
    <col min="1" max="1" width="9.42578125" customWidth="1"/>
    <col min="2" max="2" width="12.85546875" customWidth="1"/>
    <col min="3" max="4" width="20.28515625" customWidth="1"/>
    <col min="5" max="5" width="14.140625" customWidth="1"/>
    <col min="6" max="6" width="12.140625" customWidth="1"/>
    <col min="7" max="7" width="11.85546875" customWidth="1"/>
    <col min="8" max="8" width="13.28515625" customWidth="1"/>
    <col min="9" max="9" width="15" customWidth="1"/>
  </cols>
  <sheetData>
    <row r="1" spans="1:9" x14ac:dyDescent="0.25">
      <c r="A1" t="s">
        <v>181</v>
      </c>
    </row>
    <row r="2" spans="1:9" x14ac:dyDescent="0.25">
      <c r="B2" s="18" t="s">
        <v>182</v>
      </c>
      <c r="C2" s="17" t="s">
        <v>183</v>
      </c>
    </row>
    <row r="3" spans="1:9" x14ac:dyDescent="0.25">
      <c r="B3" s="18" t="s">
        <v>184</v>
      </c>
      <c r="C3" s="17" t="s">
        <v>185</v>
      </c>
    </row>
    <row r="4" spans="1:9" x14ac:dyDescent="0.25">
      <c r="B4" s="18" t="s">
        <v>186</v>
      </c>
      <c r="C4" t="s">
        <v>187</v>
      </c>
      <c r="D4" s="19">
        <f>INTERCEPT($C$16:$C$39,$A$16:$A$39)</f>
        <v>-2648754.73427907</v>
      </c>
    </row>
    <row r="5" spans="1:9" x14ac:dyDescent="0.25">
      <c r="C5" t="s">
        <v>188</v>
      </c>
      <c r="D5" s="19">
        <f>SLOPE($C$16:$C$39,$A$16:$A$39)</f>
        <v>1109512.4361007735</v>
      </c>
    </row>
    <row r="6" spans="1:9" x14ac:dyDescent="0.25">
      <c r="B6" s="18" t="s">
        <v>194</v>
      </c>
      <c r="C6" s="17" t="s">
        <v>195</v>
      </c>
    </row>
    <row r="7" spans="1:9" x14ac:dyDescent="0.25">
      <c r="B7" s="18" t="s">
        <v>212</v>
      </c>
      <c r="C7" s="17" t="s">
        <v>213</v>
      </c>
    </row>
    <row r="8" spans="1:9" x14ac:dyDescent="0.25">
      <c r="B8" s="18" t="s">
        <v>197</v>
      </c>
      <c r="C8" s="17" t="s">
        <v>209</v>
      </c>
      <c r="D8" s="22" t="s">
        <v>210</v>
      </c>
      <c r="E8" s="24">
        <v>1</v>
      </c>
    </row>
    <row r="9" spans="1:9" x14ac:dyDescent="0.25">
      <c r="B9" s="18" t="s">
        <v>200</v>
      </c>
      <c r="C9" s="20">
        <v>9.9999999999999995E-7</v>
      </c>
    </row>
    <row r="10" spans="1:9" x14ac:dyDescent="0.25">
      <c r="B10" s="18" t="s">
        <v>204</v>
      </c>
      <c r="C10" s="17" t="s">
        <v>205</v>
      </c>
      <c r="D10" s="22" t="s">
        <v>206</v>
      </c>
    </row>
    <row r="11" spans="1:9" x14ac:dyDescent="0.25">
      <c r="B11" s="18" t="s">
        <v>207</v>
      </c>
      <c r="D11" s="23" t="s">
        <v>208</v>
      </c>
    </row>
    <row r="12" spans="1:9" x14ac:dyDescent="0.25">
      <c r="B12" s="18" t="s">
        <v>211</v>
      </c>
      <c r="C12" s="3">
        <f>IF(E8=0,    _xlfn.CONFIDENCE.NORM(C9,STDEVA(H16:H39),A39), _xlfn.CONFIDENCE.T(C9,STDEVA(H16:H39),A39) )</f>
        <v>4015225.3188921176</v>
      </c>
    </row>
    <row r="13" spans="1:9" x14ac:dyDescent="0.25">
      <c r="B13" s="18"/>
    </row>
    <row r="14" spans="1:9" x14ac:dyDescent="0.25">
      <c r="A14" s="4" t="s">
        <v>20</v>
      </c>
      <c r="B14" s="4" t="s">
        <v>12</v>
      </c>
      <c r="C14" s="4" t="s">
        <v>21</v>
      </c>
      <c r="D14" s="4" t="s">
        <v>191</v>
      </c>
      <c r="E14" s="42" t="s">
        <v>201</v>
      </c>
      <c r="F14" s="43"/>
      <c r="G14" s="4" t="s">
        <v>191</v>
      </c>
      <c r="H14" s="4" t="s">
        <v>193</v>
      </c>
      <c r="I14" s="4" t="s">
        <v>198</v>
      </c>
    </row>
    <row r="15" spans="1:9" x14ac:dyDescent="0.25">
      <c r="A15" s="4" t="s">
        <v>189</v>
      </c>
      <c r="B15" s="4"/>
      <c r="C15" s="4" t="s">
        <v>160</v>
      </c>
      <c r="D15" s="4" t="s">
        <v>190</v>
      </c>
      <c r="E15" s="4" t="s">
        <v>202</v>
      </c>
      <c r="F15" s="4" t="s">
        <v>203</v>
      </c>
      <c r="G15" s="4" t="s">
        <v>192</v>
      </c>
      <c r="H15" s="4" t="s">
        <v>196</v>
      </c>
      <c r="I15" s="4" t="s">
        <v>199</v>
      </c>
    </row>
    <row r="16" spans="1:9" x14ac:dyDescent="0.25">
      <c r="A16" s="2">
        <v>1</v>
      </c>
      <c r="B16" s="2" t="s">
        <v>2</v>
      </c>
      <c r="C16" s="3">
        <f>'Данные для анализа'!C2</f>
        <v>1523670.1312683504</v>
      </c>
      <c r="D16" s="3">
        <f>$D$4 + $D$5*$A16</f>
        <v>-1539242.2981782965</v>
      </c>
      <c r="E16" s="3">
        <f>$D16 - $C$12*(1 + ($A16-$A$39/2)^2 / (STDEVA($A$16:$A$39))^2 )^0.5</f>
        <v>-8964695.652434539</v>
      </c>
      <c r="F16" s="3">
        <f>$D16 + $C$12*(1 + ($A16-$A$39/2)^2 / (STDEVA($A$16:$A$39))^2 )^0.5</f>
        <v>5886211.056077946</v>
      </c>
      <c r="G16" s="3">
        <f>FORECAST($A16,$C$16:$C$39,$A$16:$A$39)</f>
        <v>-1539242.2981782965</v>
      </c>
      <c r="H16" s="3">
        <f>C16 - D16</f>
        <v>3062912.4294466469</v>
      </c>
      <c r="I16" s="3">
        <f t="shared" ref="I16:I39" si="0">SMALL($H$16:$H$39,A16)</f>
        <v>-3887655.8516356274</v>
      </c>
    </row>
    <row r="17" spans="1:9" x14ac:dyDescent="0.25">
      <c r="A17" s="2">
        <v>2</v>
      </c>
      <c r="B17" s="2" t="s">
        <v>3</v>
      </c>
      <c r="C17" s="3">
        <f>'Данные для анализа'!C3</f>
        <v>1899714.2822209885</v>
      </c>
      <c r="D17" s="3">
        <f t="shared" ref="D17:D49" si="1">$D$4 + $D$5*$A17</f>
        <v>-429729.86207752302</v>
      </c>
      <c r="E17" s="3">
        <f t="shared" ref="E17:E49" si="2">$D17 - $C$12*(1 + ($A17-$A$39/2)^2 / (STDEVA($A$16:$A$39))^2 )^0.5</f>
        <v>-7384304.1182356179</v>
      </c>
      <c r="F17" s="3">
        <f t="shared" ref="F17:F49" si="3">$D17 + $C$12*(1 + ($A17-$A$39/2)^2 / (STDEVA($A$16:$A$39))^2 )^0.5</f>
        <v>6524844.3940805718</v>
      </c>
      <c r="G17" s="3">
        <f t="shared" ref="G17:G49" si="4">FORECAST($A17,$C$16:$C$39,$A$16:$A$39)</f>
        <v>-429729.86207752302</v>
      </c>
      <c r="H17" s="3">
        <f t="shared" ref="H17:H39" si="5">C17 - D17</f>
        <v>2329444.1442985116</v>
      </c>
      <c r="I17" s="3">
        <f t="shared" si="0"/>
        <v>-3707197.2155348528</v>
      </c>
    </row>
    <row r="18" spans="1:9" x14ac:dyDescent="0.25">
      <c r="A18" s="2">
        <v>3</v>
      </c>
      <c r="B18" s="2" t="s">
        <v>4</v>
      </c>
      <c r="C18" s="3">
        <f>'Данные для анализа'!C4</f>
        <v>2271976.8034374709</v>
      </c>
      <c r="D18" s="3">
        <f t="shared" si="1"/>
        <v>679782.57402325049</v>
      </c>
      <c r="E18" s="3">
        <f t="shared" si="2"/>
        <v>-5819427.3800448161</v>
      </c>
      <c r="F18" s="3">
        <f t="shared" si="3"/>
        <v>7178992.528091317</v>
      </c>
      <c r="G18" s="3">
        <f t="shared" si="4"/>
        <v>679782.57402325049</v>
      </c>
      <c r="H18" s="3">
        <f t="shared" si="5"/>
        <v>1592194.2294142204</v>
      </c>
      <c r="I18" s="3">
        <f t="shared" si="0"/>
        <v>-3135003.5877364017</v>
      </c>
    </row>
    <row r="19" spans="1:9" x14ac:dyDescent="0.25">
      <c r="A19" s="2">
        <v>4</v>
      </c>
      <c r="B19" s="2" t="s">
        <v>5</v>
      </c>
      <c r="C19" s="3">
        <f>'Данные для анализа'!C5</f>
        <v>2745199.6299384595</v>
      </c>
      <c r="D19" s="3">
        <f t="shared" si="1"/>
        <v>1789295.010124024</v>
      </c>
      <c r="E19" s="3">
        <f t="shared" si="2"/>
        <v>-4273562.2654645126</v>
      </c>
      <c r="F19" s="3">
        <f t="shared" si="3"/>
        <v>7852152.2857125606</v>
      </c>
      <c r="G19" s="3">
        <f t="shared" si="4"/>
        <v>1789295.010124024</v>
      </c>
      <c r="H19" s="3">
        <f t="shared" si="5"/>
        <v>955904.61981443549</v>
      </c>
      <c r="I19" s="3">
        <f t="shared" si="0"/>
        <v>-2697162.6794340797</v>
      </c>
    </row>
    <row r="20" spans="1:9" x14ac:dyDescent="0.25">
      <c r="A20" s="2">
        <v>5</v>
      </c>
      <c r="B20" s="2" t="s">
        <v>6</v>
      </c>
      <c r="C20" s="3">
        <f>'Данные для анализа'!C6</f>
        <v>3476075.5445336094</v>
      </c>
      <c r="D20" s="3">
        <f t="shared" si="1"/>
        <v>2898807.4462247975</v>
      </c>
      <c r="E20" s="3">
        <f t="shared" si="2"/>
        <v>-2751115.3882672954</v>
      </c>
      <c r="F20" s="3">
        <f t="shared" si="3"/>
        <v>8548730.2807168905</v>
      </c>
      <c r="G20" s="3">
        <f t="shared" si="4"/>
        <v>2898807.4462247975</v>
      </c>
      <c r="H20" s="3">
        <f t="shared" si="5"/>
        <v>577268.0983088119</v>
      </c>
      <c r="I20" s="3">
        <f t="shared" si="0"/>
        <v>-2337441.4433333054</v>
      </c>
    </row>
    <row r="21" spans="1:9" x14ac:dyDescent="0.25">
      <c r="A21" s="2">
        <v>6</v>
      </c>
      <c r="B21" s="2" t="s">
        <v>7</v>
      </c>
      <c r="C21" s="3">
        <f>'Данные для анализа'!C7</f>
        <v>4183589.0473623835</v>
      </c>
      <c r="D21" s="3">
        <f t="shared" si="1"/>
        <v>4008319.882325571</v>
      </c>
      <c r="E21" s="3">
        <f t="shared" si="2"/>
        <v>-1257598.7556456206</v>
      </c>
      <c r="F21" s="3">
        <f t="shared" si="3"/>
        <v>9274238.5202967636</v>
      </c>
      <c r="G21" s="3">
        <f t="shared" si="4"/>
        <v>4008319.882325571</v>
      </c>
      <c r="H21" s="3">
        <f t="shared" si="5"/>
        <v>175269.16503681242</v>
      </c>
      <c r="I21" s="3">
        <f t="shared" si="0"/>
        <v>-2177837.2711317595</v>
      </c>
    </row>
    <row r="22" spans="1:9" x14ac:dyDescent="0.25">
      <c r="A22" s="2">
        <v>7</v>
      </c>
      <c r="B22" s="2" t="s">
        <v>8</v>
      </c>
      <c r="C22" s="3">
        <f>'Данные для анализа'!C8</f>
        <v>5380452.4239379605</v>
      </c>
      <c r="D22" s="3">
        <f t="shared" si="1"/>
        <v>5117832.3184263445</v>
      </c>
      <c r="E22" s="3">
        <f t="shared" si="2"/>
        <v>200205.70163156651</v>
      </c>
      <c r="F22" s="3">
        <f t="shared" si="3"/>
        <v>10035458.935221123</v>
      </c>
      <c r="G22" s="3">
        <f t="shared" si="4"/>
        <v>5117832.3184263445</v>
      </c>
      <c r="H22" s="3">
        <f t="shared" si="5"/>
        <v>262620.10551161598</v>
      </c>
      <c r="I22" s="3">
        <f t="shared" si="0"/>
        <v>-2141050.1072325315</v>
      </c>
    </row>
    <row r="23" spans="1:9" x14ac:dyDescent="0.25">
      <c r="A23" s="2">
        <v>8</v>
      </c>
      <c r="B23" s="2" t="s">
        <v>9</v>
      </c>
      <c r="C23" s="3">
        <f>'Данные для анализа'!C9</f>
        <v>5857652.2365358304</v>
      </c>
      <c r="D23" s="3">
        <f t="shared" si="1"/>
        <v>6227344.7545271181</v>
      </c>
      <c r="E23" s="3">
        <f t="shared" si="2"/>
        <v>1614202.0776588377</v>
      </c>
      <c r="F23" s="3">
        <f t="shared" si="3"/>
        <v>10840487.431395398</v>
      </c>
      <c r="G23" s="3">
        <f t="shared" si="4"/>
        <v>6227344.7545271181</v>
      </c>
      <c r="H23" s="3">
        <f t="shared" si="5"/>
        <v>-369692.51799128763</v>
      </c>
      <c r="I23" s="3">
        <f t="shared" si="0"/>
        <v>-1849698.835030986</v>
      </c>
    </row>
    <row r="24" spans="1:9" x14ac:dyDescent="0.25">
      <c r="A24" s="2">
        <v>9</v>
      </c>
      <c r="B24" s="2" t="s">
        <v>10</v>
      </c>
      <c r="C24" s="3">
        <f>'Данные для анализа'!C10</f>
        <v>6511019.5831007604</v>
      </c>
      <c r="D24" s="3">
        <f t="shared" si="1"/>
        <v>7336857.1906278916</v>
      </c>
      <c r="E24" s="3">
        <f t="shared" si="2"/>
        <v>2975206.064444446</v>
      </c>
      <c r="F24" s="3">
        <f t="shared" si="3"/>
        <v>11698508.316811338</v>
      </c>
      <c r="G24" s="3">
        <f t="shared" si="4"/>
        <v>7336857.1906278916</v>
      </c>
      <c r="H24" s="3">
        <f t="shared" si="5"/>
        <v>-825837.60752713121</v>
      </c>
      <c r="I24" s="3">
        <f t="shared" si="0"/>
        <v>-998126.17727944627</v>
      </c>
    </row>
    <row r="25" spans="1:9" x14ac:dyDescent="0.25">
      <c r="A25" s="2">
        <v>10</v>
      </c>
      <c r="B25" s="2" t="s">
        <v>11</v>
      </c>
      <c r="C25" s="3">
        <f>'Данные для анализа'!C11</f>
        <v>7448243.4494492188</v>
      </c>
      <c r="D25" s="3">
        <f t="shared" si="1"/>
        <v>8446369.6267286651</v>
      </c>
      <c r="E25" s="3">
        <f t="shared" si="2"/>
        <v>4273625.0730338078</v>
      </c>
      <c r="F25" s="3">
        <f t="shared" si="3"/>
        <v>12619114.180423522</v>
      </c>
      <c r="G25" s="3">
        <f t="shared" si="4"/>
        <v>8446369.6267286651</v>
      </c>
      <c r="H25" s="3">
        <f t="shared" si="5"/>
        <v>-998126.17727944627</v>
      </c>
      <c r="I25" s="3">
        <f t="shared" si="0"/>
        <v>-912383.82383717224</v>
      </c>
    </row>
    <row r="26" spans="1:9" x14ac:dyDescent="0.25">
      <c r="A26" s="2">
        <v>11</v>
      </c>
      <c r="B26" s="2" t="s">
        <v>13</v>
      </c>
      <c r="C26" s="3">
        <f>'Данные для анализа'!C12</f>
        <v>8915955.3337932099</v>
      </c>
      <c r="D26" s="3">
        <f t="shared" si="1"/>
        <v>9555882.0628294386</v>
      </c>
      <c r="E26" s="3">
        <f t="shared" si="2"/>
        <v>5500703.2691506995</v>
      </c>
      <c r="F26" s="3">
        <f t="shared" si="3"/>
        <v>13611060.856508177</v>
      </c>
      <c r="G26" s="3">
        <f t="shared" si="4"/>
        <v>9555882.0628294386</v>
      </c>
      <c r="H26" s="3">
        <f t="shared" si="5"/>
        <v>-639926.72903622873</v>
      </c>
      <c r="I26" s="3">
        <f t="shared" si="0"/>
        <v>-825837.60752713121</v>
      </c>
    </row>
    <row r="27" spans="1:9" x14ac:dyDescent="0.25">
      <c r="A27" s="2">
        <v>12</v>
      </c>
      <c r="B27" s="2" t="s">
        <v>14</v>
      </c>
      <c r="C27" s="3">
        <f>'Данные для анализа'!C13</f>
        <v>10017461.84195617</v>
      </c>
      <c r="D27" s="3">
        <f t="shared" si="1"/>
        <v>10665394.498930212</v>
      </c>
      <c r="E27" s="3">
        <f t="shared" si="2"/>
        <v>6650169.1800380945</v>
      </c>
      <c r="F27" s="3">
        <f t="shared" si="3"/>
        <v>14680619.81782233</v>
      </c>
      <c r="G27" s="3">
        <f t="shared" si="4"/>
        <v>10665394.498930212</v>
      </c>
      <c r="H27" s="3">
        <f t="shared" si="5"/>
        <v>-647932.65697404183</v>
      </c>
      <c r="I27" s="3">
        <f t="shared" si="0"/>
        <v>-647932.65697404183</v>
      </c>
    </row>
    <row r="28" spans="1:9" x14ac:dyDescent="0.25">
      <c r="A28" s="2">
        <v>13</v>
      </c>
      <c r="B28" s="2" t="s">
        <v>15</v>
      </c>
      <c r="C28" s="3">
        <f>'Данные для анализа'!C14</f>
        <v>9925208.0999999996</v>
      </c>
      <c r="D28" s="3">
        <f t="shared" si="1"/>
        <v>11774906.935030986</v>
      </c>
      <c r="E28" s="3">
        <f t="shared" si="2"/>
        <v>7719728.1413522465</v>
      </c>
      <c r="F28" s="3">
        <f t="shared" si="3"/>
        <v>15830085.728709724</v>
      </c>
      <c r="G28" s="3">
        <f t="shared" si="4"/>
        <v>11774906.935030986</v>
      </c>
      <c r="H28" s="3">
        <f t="shared" si="5"/>
        <v>-1849698.835030986</v>
      </c>
      <c r="I28" s="3">
        <f t="shared" si="0"/>
        <v>-639926.72903622873</v>
      </c>
    </row>
    <row r="29" spans="1:9" x14ac:dyDescent="0.25">
      <c r="A29" s="2">
        <v>14</v>
      </c>
      <c r="B29" s="2" t="s">
        <v>16</v>
      </c>
      <c r="C29" s="3">
        <f>'Данные для анализа'!C15</f>
        <v>10706582.1</v>
      </c>
      <c r="D29" s="3">
        <f t="shared" si="1"/>
        <v>12884419.371131759</v>
      </c>
      <c r="E29" s="3">
        <f t="shared" si="2"/>
        <v>8711674.8174369019</v>
      </c>
      <c r="F29" s="3">
        <f t="shared" si="3"/>
        <v>17057163.924826618</v>
      </c>
      <c r="G29" s="3">
        <f t="shared" si="4"/>
        <v>12884419.371131759</v>
      </c>
      <c r="H29" s="3">
        <f t="shared" si="5"/>
        <v>-2177837.2711317595</v>
      </c>
      <c r="I29" s="3">
        <f t="shared" si="0"/>
        <v>-369692.51799128763</v>
      </c>
    </row>
    <row r="30" spans="1:9" x14ac:dyDescent="0.25">
      <c r="A30" s="2">
        <v>15</v>
      </c>
      <c r="B30" s="2" t="s">
        <v>17</v>
      </c>
      <c r="C30" s="3">
        <f>'Данные для анализа'!C16</f>
        <v>11852881.700000001</v>
      </c>
      <c r="D30" s="3">
        <f t="shared" si="1"/>
        <v>13993931.807232533</v>
      </c>
      <c r="E30" s="3">
        <f t="shared" si="2"/>
        <v>9632280.6810490862</v>
      </c>
      <c r="F30" s="3">
        <f t="shared" si="3"/>
        <v>18355582.933415979</v>
      </c>
      <c r="G30" s="3">
        <f t="shared" si="4"/>
        <v>13993931.807232533</v>
      </c>
      <c r="H30" s="3">
        <f t="shared" si="5"/>
        <v>-2141050.1072325315</v>
      </c>
      <c r="I30" s="3">
        <f t="shared" si="0"/>
        <v>175269.16503681242</v>
      </c>
    </row>
    <row r="31" spans="1:9" x14ac:dyDescent="0.25">
      <c r="A31" s="2">
        <v>16</v>
      </c>
      <c r="B31" s="2" t="s">
        <v>18</v>
      </c>
      <c r="C31" s="3">
        <f>'Данные для анализа'!C17</f>
        <v>12766002.800000001</v>
      </c>
      <c r="D31" s="3">
        <f t="shared" si="1"/>
        <v>15103444.243333306</v>
      </c>
      <c r="E31" s="3">
        <f t="shared" si="2"/>
        <v>10490301.566465026</v>
      </c>
      <c r="F31" s="3">
        <f t="shared" si="3"/>
        <v>19716586.920201585</v>
      </c>
      <c r="G31" s="3">
        <f t="shared" si="4"/>
        <v>15103444.243333306</v>
      </c>
      <c r="H31" s="3">
        <f t="shared" si="5"/>
        <v>-2337441.4433333054</v>
      </c>
      <c r="I31" s="3">
        <f t="shared" si="0"/>
        <v>262620.10551161598</v>
      </c>
    </row>
    <row r="32" spans="1:9" x14ac:dyDescent="0.25">
      <c r="A32" s="2">
        <v>17</v>
      </c>
      <c r="B32" s="2" t="s">
        <v>19</v>
      </c>
      <c r="C32" s="3">
        <f>'Данные для анализа'!C18</f>
        <v>13515794</v>
      </c>
      <c r="D32" s="3">
        <f t="shared" si="1"/>
        <v>16212956.67943408</v>
      </c>
      <c r="E32" s="3">
        <f t="shared" si="2"/>
        <v>11295330.062639302</v>
      </c>
      <c r="F32" s="3">
        <f t="shared" si="3"/>
        <v>21130583.296228856</v>
      </c>
      <c r="G32" s="3">
        <f t="shared" si="4"/>
        <v>16212956.67943408</v>
      </c>
      <c r="H32" s="3">
        <f t="shared" si="5"/>
        <v>-2697162.6794340797</v>
      </c>
      <c r="I32" s="3">
        <f t="shared" si="0"/>
        <v>577268.0983088119</v>
      </c>
    </row>
    <row r="33" spans="1:9" x14ac:dyDescent="0.25">
      <c r="A33" s="2">
        <v>18</v>
      </c>
      <c r="B33" s="2" t="s">
        <v>34</v>
      </c>
      <c r="C33" s="3">
        <f>'Данные для анализа'!C19</f>
        <v>13615271.9</v>
      </c>
      <c r="D33" s="3">
        <f t="shared" si="1"/>
        <v>17322469.115534853</v>
      </c>
      <c r="E33" s="3">
        <f t="shared" si="2"/>
        <v>12056550.477563661</v>
      </c>
      <c r="F33" s="3">
        <f t="shared" si="3"/>
        <v>22588387.753506046</v>
      </c>
      <c r="G33" s="3">
        <f t="shared" si="4"/>
        <v>17322469.115534853</v>
      </c>
      <c r="H33" s="3">
        <f t="shared" si="5"/>
        <v>-3707197.2155348528</v>
      </c>
      <c r="I33" s="3">
        <f t="shared" si="0"/>
        <v>955904.61981443549</v>
      </c>
    </row>
    <row r="34" spans="1:9" x14ac:dyDescent="0.25">
      <c r="A34" s="2">
        <v>19</v>
      </c>
      <c r="B34" s="2" t="s">
        <v>35</v>
      </c>
      <c r="C34" s="3">
        <f>'Данные для анализа'!C20</f>
        <v>14544325.699999999</v>
      </c>
      <c r="D34" s="3">
        <f t="shared" si="1"/>
        <v>18431981.551635627</v>
      </c>
      <c r="E34" s="3">
        <f t="shared" si="2"/>
        <v>12782058.717143534</v>
      </c>
      <c r="F34" s="3">
        <f t="shared" si="3"/>
        <v>24081904.386127718</v>
      </c>
      <c r="G34" s="3">
        <f t="shared" si="4"/>
        <v>18431981.551635627</v>
      </c>
      <c r="H34" s="3">
        <f t="shared" si="5"/>
        <v>-3887655.8516356274</v>
      </c>
      <c r="I34" s="3">
        <f t="shared" si="0"/>
        <v>1592194.2294142204</v>
      </c>
    </row>
    <row r="35" spans="1:9" x14ac:dyDescent="0.25">
      <c r="A35" s="2">
        <v>20</v>
      </c>
      <c r="B35" s="2" t="s">
        <v>45</v>
      </c>
      <c r="C35" s="3">
        <f>'Данные для анализа'!C21</f>
        <v>16406490.399999999</v>
      </c>
      <c r="D35" s="3">
        <f t="shared" si="1"/>
        <v>19541493.9877364</v>
      </c>
      <c r="E35" s="3">
        <f t="shared" si="2"/>
        <v>13478636.712147864</v>
      </c>
      <c r="F35" s="3">
        <f t="shared" si="3"/>
        <v>25604351.263324939</v>
      </c>
      <c r="G35" s="3">
        <f t="shared" si="4"/>
        <v>19541493.9877364</v>
      </c>
      <c r="H35" s="3">
        <f t="shared" si="5"/>
        <v>-3135003.5877364017</v>
      </c>
      <c r="I35" s="3">
        <f t="shared" si="0"/>
        <v>2329444.1442985116</v>
      </c>
    </row>
    <row r="36" spans="1:9" x14ac:dyDescent="0.25">
      <c r="A36" s="2">
        <v>21</v>
      </c>
      <c r="B36" s="2" t="s">
        <v>46</v>
      </c>
      <c r="C36" s="3">
        <f>'Данные для анализа'!C22</f>
        <v>19738622.600000001</v>
      </c>
      <c r="D36" s="3">
        <f t="shared" si="1"/>
        <v>20651006.423837174</v>
      </c>
      <c r="E36" s="3">
        <f t="shared" si="2"/>
        <v>14151796.469769107</v>
      </c>
      <c r="F36" s="3">
        <f t="shared" si="3"/>
        <v>27150216.377905242</v>
      </c>
      <c r="G36" s="3">
        <f t="shared" si="4"/>
        <v>20651006.423837174</v>
      </c>
      <c r="H36" s="3">
        <f t="shared" si="5"/>
        <v>-912383.82383717224</v>
      </c>
      <c r="I36" s="3">
        <f t="shared" si="0"/>
        <v>2579914.3400620557</v>
      </c>
    </row>
    <row r="37" spans="1:9" x14ac:dyDescent="0.25">
      <c r="A37" s="2">
        <v>22</v>
      </c>
      <c r="B37" s="2" t="s">
        <v>47</v>
      </c>
      <c r="C37" s="3">
        <f>'Данные для анализа'!C23</f>
        <v>24340433.200000003</v>
      </c>
      <c r="D37" s="3">
        <f t="shared" si="1"/>
        <v>21760518.859937947</v>
      </c>
      <c r="E37" s="3">
        <f t="shared" si="2"/>
        <v>14805944.603779852</v>
      </c>
      <c r="F37" s="3">
        <f t="shared" si="3"/>
        <v>28715093.116096042</v>
      </c>
      <c r="G37" s="3">
        <f t="shared" si="4"/>
        <v>21760518.859937947</v>
      </c>
      <c r="H37" s="3">
        <f t="shared" si="5"/>
        <v>2579914.3400620557</v>
      </c>
      <c r="I37" s="3">
        <f t="shared" si="0"/>
        <v>3062912.4294466469</v>
      </c>
    </row>
    <row r="38" spans="1:9" x14ac:dyDescent="0.25">
      <c r="A38" s="2">
        <v>23</v>
      </c>
      <c r="B38" s="2" t="s">
        <v>48</v>
      </c>
      <c r="C38" s="3">
        <f>'Данные для анализа'!C24</f>
        <v>29177253.5</v>
      </c>
      <c r="D38" s="3">
        <f t="shared" si="1"/>
        <v>22870031.296038721</v>
      </c>
      <c r="E38" s="3">
        <f t="shared" si="2"/>
        <v>15444577.941782478</v>
      </c>
      <c r="F38" s="3">
        <f t="shared" si="3"/>
        <v>30295484.650294963</v>
      </c>
      <c r="G38" s="3">
        <f t="shared" si="4"/>
        <v>22870031.296038721</v>
      </c>
      <c r="H38" s="3">
        <f t="shared" si="5"/>
        <v>6307222.2039612792</v>
      </c>
      <c r="I38" s="3">
        <f t="shared" si="0"/>
        <v>6307222.2039612792</v>
      </c>
    </row>
    <row r="39" spans="1:9" x14ac:dyDescent="0.25">
      <c r="A39" s="2">
        <v>24</v>
      </c>
      <c r="B39" s="2" t="s">
        <v>49</v>
      </c>
      <c r="C39" s="3">
        <f>'Данные для анализа'!C25</f>
        <v>32463740.899999999</v>
      </c>
      <c r="D39" s="3">
        <f t="shared" si="1"/>
        <v>23979543.732139494</v>
      </c>
      <c r="E39" s="3">
        <f t="shared" si="2"/>
        <v>16070467.090551518</v>
      </c>
      <c r="F39" s="3">
        <f t="shared" si="3"/>
        <v>31888620.373727471</v>
      </c>
      <c r="G39" s="3">
        <f t="shared" si="4"/>
        <v>23979543.732139494</v>
      </c>
      <c r="H39" s="3">
        <f t="shared" si="5"/>
        <v>8484197.1678605042</v>
      </c>
      <c r="I39" s="3">
        <f t="shared" si="0"/>
        <v>8484197.1678605042</v>
      </c>
    </row>
    <row r="40" spans="1:9" x14ac:dyDescent="0.25">
      <c r="A40" s="2">
        <v>25</v>
      </c>
      <c r="B40" s="2" t="s">
        <v>159</v>
      </c>
      <c r="D40" s="3">
        <f t="shared" si="1"/>
        <v>25089056.168240268</v>
      </c>
      <c r="E40" s="3">
        <f t="shared" si="2"/>
        <v>16685812.121846715</v>
      </c>
      <c r="F40" s="3">
        <f t="shared" si="3"/>
        <v>33492300.214633822</v>
      </c>
      <c r="G40" s="3">
        <f t="shared" si="4"/>
        <v>25089056.168240268</v>
      </c>
    </row>
    <row r="41" spans="1:9" x14ac:dyDescent="0.25">
      <c r="A41" s="2">
        <v>26</v>
      </c>
      <c r="B41" s="2" t="s">
        <v>164</v>
      </c>
      <c r="D41" s="3">
        <f t="shared" si="1"/>
        <v>26198568.604341041</v>
      </c>
      <c r="E41" s="3">
        <f t="shared" si="2"/>
        <v>17292368.008214556</v>
      </c>
      <c r="F41" s="3">
        <f t="shared" si="3"/>
        <v>35104769.200467527</v>
      </c>
      <c r="G41" s="3">
        <f t="shared" si="4"/>
        <v>26198568.604341041</v>
      </c>
    </row>
    <row r="42" spans="1:9" x14ac:dyDescent="0.25">
      <c r="A42" s="2">
        <v>27</v>
      </c>
      <c r="B42" s="2" t="s">
        <v>165</v>
      </c>
      <c r="D42" s="3">
        <f t="shared" si="1"/>
        <v>27308081.040441815</v>
      </c>
      <c r="E42" s="3">
        <f t="shared" si="2"/>
        <v>17891542.982954994</v>
      </c>
      <c r="F42" s="3">
        <f t="shared" si="3"/>
        <v>36724619.097928636</v>
      </c>
      <c r="G42" s="3">
        <f t="shared" si="4"/>
        <v>27308081.040441815</v>
      </c>
    </row>
    <row r="43" spans="1:9" x14ac:dyDescent="0.25">
      <c r="A43" s="2">
        <v>28</v>
      </c>
      <c r="B43" s="2" t="s">
        <v>166</v>
      </c>
      <c r="D43" s="3">
        <f t="shared" si="1"/>
        <v>28417593.476542588</v>
      </c>
      <c r="E43" s="3">
        <f t="shared" si="2"/>
        <v>18484474.616274655</v>
      </c>
      <c r="F43" s="3">
        <f t="shared" si="3"/>
        <v>38350712.336810522</v>
      </c>
      <c r="G43" s="3">
        <f t="shared" si="4"/>
        <v>28417593.476542588</v>
      </c>
    </row>
    <row r="44" spans="1:9" x14ac:dyDescent="0.25">
      <c r="A44" s="2">
        <v>29</v>
      </c>
      <c r="B44" s="2" t="s">
        <v>167</v>
      </c>
      <c r="D44" s="3">
        <f t="shared" si="1"/>
        <v>29527105.912643362</v>
      </c>
      <c r="E44" s="3">
        <f t="shared" si="2"/>
        <v>19072088.31482067</v>
      </c>
      <c r="F44" s="3">
        <f t="shared" si="3"/>
        <v>39982123.510466054</v>
      </c>
      <c r="G44" s="3">
        <f t="shared" si="4"/>
        <v>29527105.912643362</v>
      </c>
    </row>
    <row r="45" spans="1:9" x14ac:dyDescent="0.25">
      <c r="A45" s="2">
        <v>30</v>
      </c>
      <c r="B45" s="2" t="s">
        <v>176</v>
      </c>
      <c r="D45" s="3">
        <f t="shared" si="1"/>
        <v>30636618.348744135</v>
      </c>
      <c r="E45" s="3">
        <f t="shared" si="2"/>
        <v>19655142.262907002</v>
      </c>
      <c r="F45" s="3">
        <f t="shared" si="3"/>
        <v>41618094.434581265</v>
      </c>
      <c r="G45" s="3">
        <f t="shared" si="4"/>
        <v>30636618.348744135</v>
      </c>
    </row>
    <row r="46" spans="1:9" x14ac:dyDescent="0.25">
      <c r="A46" s="2">
        <v>31</v>
      </c>
      <c r="B46" s="2" t="s">
        <v>177</v>
      </c>
      <c r="D46" s="3">
        <f t="shared" si="1"/>
        <v>31746130.784844909</v>
      </c>
      <c r="E46" s="3">
        <f t="shared" si="2"/>
        <v>20234262.020334847</v>
      </c>
      <c r="F46" s="3">
        <f t="shared" si="3"/>
        <v>43257999.54935497</v>
      </c>
      <c r="G46" s="3">
        <f t="shared" si="4"/>
        <v>31746130.784844909</v>
      </c>
    </row>
    <row r="47" spans="1:9" x14ac:dyDescent="0.25">
      <c r="A47" s="2">
        <v>32</v>
      </c>
      <c r="B47" s="2" t="s">
        <v>178</v>
      </c>
      <c r="D47" s="3">
        <f t="shared" si="1"/>
        <v>32855643.220945682</v>
      </c>
      <c r="E47" s="3">
        <f t="shared" si="2"/>
        <v>20809967.26426933</v>
      </c>
      <c r="F47" s="3">
        <f t="shared" si="3"/>
        <v>44901319.177622035</v>
      </c>
      <c r="G47" s="3">
        <f t="shared" si="4"/>
        <v>32855643.220945682</v>
      </c>
    </row>
    <row r="48" spans="1:9" x14ac:dyDescent="0.25">
      <c r="A48" s="2">
        <v>33</v>
      </c>
      <c r="B48" s="2" t="s">
        <v>179</v>
      </c>
      <c r="D48" s="3">
        <f t="shared" si="1"/>
        <v>33965155.657046452</v>
      </c>
      <c r="E48" s="3">
        <f t="shared" si="2"/>
        <v>21382692.56631346</v>
      </c>
      <c r="F48" s="3">
        <f t="shared" si="3"/>
        <v>46547618.747779444</v>
      </c>
      <c r="G48" s="3">
        <f t="shared" si="4"/>
        <v>33965155.657046452</v>
      </c>
    </row>
    <row r="49" spans="1:7" x14ac:dyDescent="0.25">
      <c r="A49" s="2">
        <v>34</v>
      </c>
      <c r="B49" s="2" t="s">
        <v>180</v>
      </c>
      <c r="D49" s="3">
        <f t="shared" si="1"/>
        <v>35074668.093147233</v>
      </c>
      <c r="E49" s="3">
        <f t="shared" si="2"/>
        <v>21952803.630330823</v>
      </c>
      <c r="F49" s="3">
        <f t="shared" si="3"/>
        <v>48196532.555963643</v>
      </c>
      <c r="G49" s="3">
        <f t="shared" si="4"/>
        <v>35074668.093147233</v>
      </c>
    </row>
  </sheetData>
  <mergeCells count="1">
    <mergeCell ref="E14:F1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49"/>
  <sheetViews>
    <sheetView topLeftCell="A34" zoomScale="70" zoomScaleNormal="70" workbookViewId="0">
      <selection activeCell="X71" sqref="X71"/>
    </sheetView>
  </sheetViews>
  <sheetFormatPr defaultRowHeight="15" x14ac:dyDescent="0.25"/>
  <cols>
    <col min="1" max="1" width="9.42578125" customWidth="1"/>
    <col min="2" max="2" width="12.85546875" customWidth="1"/>
    <col min="3" max="4" width="20.28515625" customWidth="1"/>
    <col min="5" max="5" width="14.140625" customWidth="1"/>
    <col min="6" max="6" width="12.140625" customWidth="1"/>
    <col min="7" max="7" width="13.28515625" customWidth="1"/>
    <col min="8" max="8" width="1.5703125" customWidth="1"/>
    <col min="9" max="9" width="9.42578125" customWidth="1"/>
    <col min="10" max="10" width="12.85546875" customWidth="1"/>
    <col min="11" max="12" width="20.28515625" customWidth="1"/>
    <col min="13" max="13" width="15.7109375" bestFit="1" customWidth="1"/>
    <col min="14" max="14" width="14.28515625" customWidth="1"/>
    <col min="15" max="15" width="13.28515625" customWidth="1"/>
    <col min="16" max="16" width="2.42578125" customWidth="1"/>
    <col min="17" max="17" width="9.42578125" customWidth="1"/>
    <col min="18" max="18" width="12.85546875" customWidth="1"/>
    <col min="19" max="20" width="20.28515625" customWidth="1"/>
    <col min="21" max="21" width="14.140625" customWidth="1"/>
    <col min="22" max="22" width="14.28515625" customWidth="1"/>
    <col min="23" max="23" width="16" customWidth="1"/>
  </cols>
  <sheetData>
    <row r="1" spans="1:23" x14ac:dyDescent="0.25">
      <c r="A1" t="s">
        <v>181</v>
      </c>
      <c r="I1" t="s">
        <v>181</v>
      </c>
      <c r="Q1" t="s">
        <v>181</v>
      </c>
    </row>
    <row r="2" spans="1:23" ht="15.75" thickBot="1" x14ac:dyDescent="0.3">
      <c r="B2" s="18" t="s">
        <v>182</v>
      </c>
      <c r="C2" s="17" t="s">
        <v>183</v>
      </c>
      <c r="J2" s="18" t="s">
        <v>182</v>
      </c>
      <c r="K2" s="17" t="s">
        <v>183</v>
      </c>
      <c r="R2" s="18" t="s">
        <v>182</v>
      </c>
      <c r="S2" s="17" t="s">
        <v>183</v>
      </c>
    </row>
    <row r="3" spans="1:23" x14ac:dyDescent="0.25">
      <c r="B3" s="18" t="s">
        <v>184</v>
      </c>
      <c r="C3" s="17" t="s">
        <v>185</v>
      </c>
      <c r="D3" s="27" t="s">
        <v>216</v>
      </c>
      <c r="J3" s="18" t="s">
        <v>184</v>
      </c>
      <c r="K3" s="17" t="s">
        <v>185</v>
      </c>
      <c r="L3" s="27" t="s">
        <v>216</v>
      </c>
      <c r="R3" s="18" t="s">
        <v>184</v>
      </c>
      <c r="S3" s="17" t="s">
        <v>185</v>
      </c>
      <c r="T3" s="27" t="s">
        <v>216</v>
      </c>
    </row>
    <row r="4" spans="1:23" x14ac:dyDescent="0.25">
      <c r="B4" s="18" t="s">
        <v>186</v>
      </c>
      <c r="C4" t="s">
        <v>187</v>
      </c>
      <c r="D4" s="25">
        <v>0</v>
      </c>
      <c r="J4" s="18" t="s">
        <v>186</v>
      </c>
      <c r="K4" t="s">
        <v>187</v>
      </c>
      <c r="L4" s="25">
        <v>356860.01726377761</v>
      </c>
      <c r="R4" s="18" t="s">
        <v>186</v>
      </c>
      <c r="S4" t="s">
        <v>187</v>
      </c>
      <c r="T4" s="25">
        <v>395756.63275515987</v>
      </c>
    </row>
    <row r="5" spans="1:23" ht="15.75" thickBot="1" x14ac:dyDescent="0.3">
      <c r="C5" t="s">
        <v>188</v>
      </c>
      <c r="D5" s="26">
        <v>947343.77890001389</v>
      </c>
      <c r="K5" t="s">
        <v>188</v>
      </c>
      <c r="L5" s="26">
        <v>854661.63486757211</v>
      </c>
      <c r="S5" t="s">
        <v>188</v>
      </c>
      <c r="T5" s="26">
        <v>784609.44567748171</v>
      </c>
    </row>
    <row r="6" spans="1:23" ht="15.75" thickBot="1" x14ac:dyDescent="0.3">
      <c r="B6" s="18" t="s">
        <v>194</v>
      </c>
      <c r="C6" s="44" t="s">
        <v>195</v>
      </c>
      <c r="D6" s="44"/>
      <c r="E6" s="44"/>
      <c r="F6" s="44"/>
      <c r="G6" s="44"/>
      <c r="J6" s="18" t="s">
        <v>194</v>
      </c>
      <c r="K6" s="45" t="s">
        <v>214</v>
      </c>
      <c r="L6" s="45"/>
      <c r="M6" s="45"/>
      <c r="N6" s="45"/>
      <c r="O6" s="45"/>
      <c r="R6" s="18" t="s">
        <v>194</v>
      </c>
      <c r="S6" s="45" t="s">
        <v>215</v>
      </c>
      <c r="T6" s="45"/>
      <c r="U6" s="45"/>
      <c r="V6" s="45"/>
      <c r="W6" s="45"/>
    </row>
    <row r="7" spans="1:23" x14ac:dyDescent="0.25">
      <c r="B7" s="18" t="s">
        <v>212</v>
      </c>
      <c r="C7" s="17" t="s">
        <v>213</v>
      </c>
      <c r="G7" s="28">
        <f>SUMSQ(G16:G39)</f>
        <v>244275162732798.25</v>
      </c>
      <c r="J7" s="18" t="s">
        <v>212</v>
      </c>
      <c r="K7" s="17" t="s">
        <v>213</v>
      </c>
      <c r="O7" s="28">
        <f t="array" ref="O7">SUMSQ(O16:O39-1)</f>
        <v>1.1429692312236028</v>
      </c>
      <c r="R7" s="18" t="s">
        <v>212</v>
      </c>
      <c r="S7" s="17" t="s">
        <v>213</v>
      </c>
      <c r="W7" s="28">
        <f t="array" ref="W7">SUMSQ(W16:W39-1)</f>
        <v>3.6181196424207823E-3</v>
      </c>
    </row>
    <row r="8" spans="1:23" ht="15.75" thickBot="1" x14ac:dyDescent="0.3">
      <c r="B8" s="18" t="s">
        <v>197</v>
      </c>
      <c r="C8" s="17" t="s">
        <v>209</v>
      </c>
      <c r="D8" s="22" t="s">
        <v>210</v>
      </c>
      <c r="E8" s="24">
        <v>1</v>
      </c>
      <c r="G8" s="29" t="s">
        <v>217</v>
      </c>
      <c r="J8" s="18" t="s">
        <v>197</v>
      </c>
      <c r="K8" s="17" t="s">
        <v>209</v>
      </c>
      <c r="L8" s="22" t="s">
        <v>210</v>
      </c>
      <c r="M8" s="24">
        <v>1</v>
      </c>
      <c r="O8" s="29" t="s">
        <v>217</v>
      </c>
      <c r="R8" s="18" t="s">
        <v>197</v>
      </c>
      <c r="S8" s="17" t="s">
        <v>209</v>
      </c>
      <c r="T8" s="22" t="s">
        <v>210</v>
      </c>
      <c r="U8" s="24">
        <v>1</v>
      </c>
      <c r="W8" s="29" t="s">
        <v>217</v>
      </c>
    </row>
    <row r="9" spans="1:23" x14ac:dyDescent="0.25">
      <c r="B9" s="18" t="s">
        <v>200</v>
      </c>
      <c r="C9" s="20">
        <v>9.9999999999999995E-7</v>
      </c>
      <c r="J9" s="18" t="s">
        <v>200</v>
      </c>
      <c r="K9" s="20">
        <v>1E-14</v>
      </c>
      <c r="R9" s="18" t="s">
        <v>200</v>
      </c>
      <c r="S9" s="21">
        <v>1E-10</v>
      </c>
    </row>
    <row r="10" spans="1:23" x14ac:dyDescent="0.25">
      <c r="B10" s="18" t="s">
        <v>204</v>
      </c>
      <c r="C10" s="17" t="s">
        <v>205</v>
      </c>
      <c r="D10" s="22" t="s">
        <v>206</v>
      </c>
      <c r="J10" s="18" t="s">
        <v>204</v>
      </c>
      <c r="K10" s="17" t="s">
        <v>205</v>
      </c>
      <c r="R10" s="18" t="s">
        <v>204</v>
      </c>
      <c r="S10" s="17" t="s">
        <v>205</v>
      </c>
    </row>
    <row r="11" spans="1:23" x14ac:dyDescent="0.25">
      <c r="B11" s="18" t="s">
        <v>207</v>
      </c>
      <c r="D11" s="17" t="s">
        <v>208</v>
      </c>
      <c r="J11" s="18" t="s">
        <v>207</v>
      </c>
      <c r="R11" s="18" t="s">
        <v>207</v>
      </c>
    </row>
    <row r="12" spans="1:23" x14ac:dyDescent="0.25">
      <c r="B12" s="18" t="s">
        <v>211</v>
      </c>
      <c r="C12" s="3">
        <f>IF(E8=0,    _xlfn.CONFIDENCE.NORM(C9,STDEVA(G16:G39),A39), _xlfn.CONFIDENCE.T(C9,STDEVA(G16:G39),A39) )</f>
        <v>4301549.3391027404</v>
      </c>
      <c r="J12" s="18" t="s">
        <v>211</v>
      </c>
      <c r="K12" s="31">
        <f>IF(M8=0,    _xlfn.CONFIDENCE.NORM(K9,STDEVA(O16:O39),I39), _xlfn.CONFIDENCE.T(K9,STDEVA(O16:O39),I39) )</f>
        <v>0.77206027613334893</v>
      </c>
      <c r="R12" s="18" t="s">
        <v>211</v>
      </c>
      <c r="S12" s="34">
        <f>IF(U8=0,    _xlfn.CONFIDENCE.NORM(S9,STDEVA(W16:W39),Q39), _xlfn.CONFIDENCE.T(S9,STDEVA(W16:W39),Q39) )</f>
        <v>2.8461393262153613E-2</v>
      </c>
    </row>
    <row r="13" spans="1:23" x14ac:dyDescent="0.25">
      <c r="B13" s="18"/>
      <c r="J13" s="18"/>
      <c r="R13" s="18"/>
    </row>
    <row r="14" spans="1:23" ht="30" x14ac:dyDescent="0.25">
      <c r="A14" s="4" t="s">
        <v>20</v>
      </c>
      <c r="B14" s="4" t="s">
        <v>12</v>
      </c>
      <c r="C14" s="4" t="s">
        <v>21</v>
      </c>
      <c r="D14" s="4" t="s">
        <v>191</v>
      </c>
      <c r="E14" s="42" t="s">
        <v>201</v>
      </c>
      <c r="F14" s="43"/>
      <c r="G14" s="4" t="s">
        <v>193</v>
      </c>
      <c r="I14" s="4" t="s">
        <v>20</v>
      </c>
      <c r="J14" s="4" t="s">
        <v>12</v>
      </c>
      <c r="K14" s="4" t="s">
        <v>21</v>
      </c>
      <c r="L14" s="4" t="s">
        <v>191</v>
      </c>
      <c r="M14" s="42" t="s">
        <v>201</v>
      </c>
      <c r="N14" s="43"/>
      <c r="O14" s="30" t="s">
        <v>218</v>
      </c>
      <c r="Q14" s="4" t="s">
        <v>20</v>
      </c>
      <c r="R14" s="4" t="s">
        <v>12</v>
      </c>
      <c r="S14" s="4" t="s">
        <v>21</v>
      </c>
      <c r="T14" s="4" t="s">
        <v>191</v>
      </c>
      <c r="U14" s="42" t="s">
        <v>201</v>
      </c>
      <c r="V14" s="43"/>
      <c r="W14" s="30" t="s">
        <v>220</v>
      </c>
    </row>
    <row r="15" spans="1:23" x14ac:dyDescent="0.25">
      <c r="A15" s="4" t="s">
        <v>189</v>
      </c>
      <c r="B15" s="4"/>
      <c r="C15" s="4" t="s">
        <v>160</v>
      </c>
      <c r="D15" s="4" t="s">
        <v>190</v>
      </c>
      <c r="E15" s="4" t="s">
        <v>202</v>
      </c>
      <c r="F15" s="4" t="s">
        <v>203</v>
      </c>
      <c r="G15" s="4" t="s">
        <v>196</v>
      </c>
      <c r="I15" s="4" t="s">
        <v>189</v>
      </c>
      <c r="J15" s="4"/>
      <c r="K15" s="4" t="s">
        <v>160</v>
      </c>
      <c r="L15" s="4" t="s">
        <v>190</v>
      </c>
      <c r="M15" s="4" t="s">
        <v>202</v>
      </c>
      <c r="N15" s="4" t="s">
        <v>203</v>
      </c>
      <c r="O15" s="4" t="s">
        <v>219</v>
      </c>
      <c r="Q15" s="4" t="s">
        <v>189</v>
      </c>
      <c r="R15" s="4"/>
      <c r="S15" s="4" t="s">
        <v>160</v>
      </c>
      <c r="T15" s="4" t="s">
        <v>190</v>
      </c>
      <c r="U15" s="4" t="s">
        <v>202</v>
      </c>
      <c r="V15" s="4" t="s">
        <v>203</v>
      </c>
      <c r="W15" s="4" t="s">
        <v>221</v>
      </c>
    </row>
    <row r="16" spans="1:23" x14ac:dyDescent="0.25">
      <c r="A16" s="2">
        <v>1</v>
      </c>
      <c r="B16" s="2" t="s">
        <v>2</v>
      </c>
      <c r="C16" s="3">
        <f>'Данные для анализа'!C2</f>
        <v>1523670.1312683504</v>
      </c>
      <c r="D16" s="3">
        <f>$D$4 + $D$5*$A16</f>
        <v>947343.77890001389</v>
      </c>
      <c r="E16" s="3">
        <f>$D16 - $C$12*(1 + ($A16-$A$39/2)^2 / (STDEVA($A$16:$A$39))^2 )^0.5</f>
        <v>-7007615.5152280489</v>
      </c>
      <c r="F16" s="3">
        <f>$D16 + $C$12*(1 + ($A16-$A$39/2)^2 / (STDEVA($A$16:$A$39))^2 )^0.5</f>
        <v>8902303.0730280764</v>
      </c>
      <c r="G16" s="3">
        <f>C16 - D16</f>
        <v>576326.35236833652</v>
      </c>
      <c r="I16" s="2">
        <v>1</v>
      </c>
      <c r="J16" s="2" t="s">
        <v>2</v>
      </c>
      <c r="K16" s="3">
        <f>C16</f>
        <v>1523670.1312683504</v>
      </c>
      <c r="L16" s="3">
        <f>$L$4 + $L$5*$A16</f>
        <v>1211521.6521313498</v>
      </c>
      <c r="M16" s="33">
        <f>$L16 / $K$12</f>
        <v>1569206.0446354293</v>
      </c>
      <c r="N16" s="33">
        <f>$L16 * $K$12</f>
        <v>935367.74128606101</v>
      </c>
      <c r="O16" s="32">
        <f>K16 / L16</f>
        <v>1.2576499384784898</v>
      </c>
      <c r="Q16" s="2">
        <v>1</v>
      </c>
      <c r="R16" s="2" t="s">
        <v>2</v>
      </c>
      <c r="S16" s="3">
        <f>K16</f>
        <v>1523670.1312683504</v>
      </c>
      <c r="T16" s="3">
        <f>$T$4 + $T$5*$A16</f>
        <v>1180366.0784326415</v>
      </c>
      <c r="U16" s="33">
        <f>$T16^(1+$S$12)</f>
        <v>1757254.9523949879</v>
      </c>
      <c r="V16" s="33">
        <f>$T16^(1-$S$12)</f>
        <v>792863.93657081586</v>
      </c>
      <c r="W16" s="32">
        <f>LOG(S16, T16)</f>
        <v>1.0182598696653533</v>
      </c>
    </row>
    <row r="17" spans="1:23" x14ac:dyDescent="0.25">
      <c r="A17" s="2">
        <v>2</v>
      </c>
      <c r="B17" s="2" t="s">
        <v>3</v>
      </c>
      <c r="C17" s="3">
        <f>'Данные для анализа'!C3</f>
        <v>1899714.2822209885</v>
      </c>
      <c r="D17" s="3">
        <f t="shared" ref="D17:D49" si="0">$D$4 + $D$5*$A17</f>
        <v>1894687.5578000278</v>
      </c>
      <c r="E17" s="3">
        <f t="shared" ref="E17:E49" si="1">$D17 - $C$12*(1 + ($A17-$A$39/2)^2 / (STDEVA($A$16:$A$39))^2 )^0.5</f>
        <v>-5555814.4487902438</v>
      </c>
      <c r="F17" s="3">
        <f t="shared" ref="F17:F49" si="2">$D17 + $C$12*(1 + ($A17-$A$39/2)^2 / (STDEVA($A$16:$A$39))^2 )^0.5</f>
        <v>9345189.5643902998</v>
      </c>
      <c r="G17" s="3">
        <f t="shared" ref="G17:G39" si="3">C17 - D17</f>
        <v>5026.7244209607597</v>
      </c>
      <c r="I17" s="2">
        <v>2</v>
      </c>
      <c r="J17" s="2" t="s">
        <v>3</v>
      </c>
      <c r="K17" s="3">
        <f t="shared" ref="K17:K39" si="4">C17</f>
        <v>1899714.2822209885</v>
      </c>
      <c r="L17" s="3">
        <f t="shared" ref="L17:L49" si="5">$L$4 + $L$5*$A17</f>
        <v>2066183.2869989218</v>
      </c>
      <c r="M17" s="33">
        <f t="shared" ref="M17:M49" si="6">$L17 / $K$12</f>
        <v>2676194.2698915056</v>
      </c>
      <c r="N17" s="33">
        <f t="shared" ref="N17:N49" si="7">$L17 * $K$12</f>
        <v>1595218.039102498</v>
      </c>
      <c r="O17" s="32">
        <f t="shared" ref="O17:O39" si="8">K17 / L17</f>
        <v>0.91943163715174314</v>
      </c>
      <c r="Q17" s="2">
        <v>2</v>
      </c>
      <c r="R17" s="2" t="s">
        <v>3</v>
      </c>
      <c r="S17" s="3">
        <f t="shared" ref="S17:S39" si="9">K17</f>
        <v>1899714.2822209885</v>
      </c>
      <c r="T17" s="3">
        <f t="shared" ref="T17:T49" si="10">$T$4 + $T$5*$A17</f>
        <v>1964975.5241101233</v>
      </c>
      <c r="U17" s="33">
        <f t="shared" ref="U17:U49" si="11">$T17 ^ (1+$S$12)</f>
        <v>2968074.9104369599</v>
      </c>
      <c r="V17" s="33">
        <f t="shared" ref="V17:V49" si="12">$T17^(1-$S$12)</f>
        <v>1300886.5769440513</v>
      </c>
      <c r="W17" s="32">
        <f t="shared" ref="W17:W39" si="13">LOG(S17, T17)</f>
        <v>0.99766915225084796</v>
      </c>
    </row>
    <row r="18" spans="1:23" x14ac:dyDescent="0.25">
      <c r="A18" s="2">
        <v>3</v>
      </c>
      <c r="B18" s="2" t="s">
        <v>4</v>
      </c>
      <c r="C18" s="3">
        <f>'Данные для анализа'!C4</f>
        <v>2271976.8034374709</v>
      </c>
      <c r="D18" s="3">
        <f t="shared" si="0"/>
        <v>2842031.3367000418</v>
      </c>
      <c r="E18" s="3">
        <f t="shared" si="1"/>
        <v>-4120634.5319056232</v>
      </c>
      <c r="F18" s="3">
        <f t="shared" si="2"/>
        <v>9804697.2053057067</v>
      </c>
      <c r="G18" s="3">
        <f t="shared" si="3"/>
        <v>-570054.53326257085</v>
      </c>
      <c r="I18" s="2">
        <v>3</v>
      </c>
      <c r="J18" s="2" t="s">
        <v>4</v>
      </c>
      <c r="K18" s="3">
        <f t="shared" si="4"/>
        <v>2271976.8034374709</v>
      </c>
      <c r="L18" s="3">
        <f t="shared" si="5"/>
        <v>2920844.9218664938</v>
      </c>
      <c r="M18" s="33">
        <f t="shared" si="6"/>
        <v>3783182.4951475817</v>
      </c>
      <c r="N18" s="33">
        <f t="shared" si="7"/>
        <v>2255068.3369189352</v>
      </c>
      <c r="O18" s="32">
        <f t="shared" si="8"/>
        <v>0.77784917180252766</v>
      </c>
      <c r="Q18" s="2">
        <v>3</v>
      </c>
      <c r="R18" s="2" t="s">
        <v>4</v>
      </c>
      <c r="S18" s="3">
        <f t="shared" si="9"/>
        <v>2271976.8034374709</v>
      </c>
      <c r="T18" s="3">
        <f t="shared" si="10"/>
        <v>2749584.9697876051</v>
      </c>
      <c r="U18" s="33">
        <f t="shared" si="11"/>
        <v>4193123.5560394023</v>
      </c>
      <c r="V18" s="33">
        <f t="shared" si="12"/>
        <v>1803003.752463446</v>
      </c>
      <c r="W18" s="32">
        <f t="shared" si="13"/>
        <v>0.98713157098730731</v>
      </c>
    </row>
    <row r="19" spans="1:23" x14ac:dyDescent="0.25">
      <c r="A19" s="2">
        <v>4</v>
      </c>
      <c r="B19" s="2" t="s">
        <v>5</v>
      </c>
      <c r="C19" s="3">
        <f>'Данные для анализа'!C5</f>
        <v>2745199.6299384595</v>
      </c>
      <c r="D19" s="3">
        <f t="shared" si="0"/>
        <v>3789375.1156000555</v>
      </c>
      <c r="E19" s="3">
        <f t="shared" si="1"/>
        <v>-2705821.949474745</v>
      </c>
      <c r="F19" s="3">
        <f t="shared" si="2"/>
        <v>10284572.180674857</v>
      </c>
      <c r="G19" s="3">
        <f t="shared" si="3"/>
        <v>-1044175.4856615961</v>
      </c>
      <c r="I19" s="2">
        <v>4</v>
      </c>
      <c r="J19" s="2" t="s">
        <v>5</v>
      </c>
      <c r="K19" s="3">
        <f t="shared" si="4"/>
        <v>2745199.6299384595</v>
      </c>
      <c r="L19" s="3">
        <f t="shared" si="5"/>
        <v>3775506.556734066</v>
      </c>
      <c r="M19" s="33">
        <f t="shared" si="6"/>
        <v>4890170.7204036582</v>
      </c>
      <c r="N19" s="33">
        <f t="shared" si="7"/>
        <v>2914918.6347353724</v>
      </c>
      <c r="O19" s="32">
        <f t="shared" si="8"/>
        <v>0.72710763143612311</v>
      </c>
      <c r="Q19" s="2">
        <v>4</v>
      </c>
      <c r="R19" s="2" t="s">
        <v>5</v>
      </c>
      <c r="S19" s="3">
        <f t="shared" si="9"/>
        <v>2745199.6299384595</v>
      </c>
      <c r="T19" s="3">
        <f t="shared" si="10"/>
        <v>3534194.4154650867</v>
      </c>
      <c r="U19" s="33">
        <f t="shared" si="11"/>
        <v>5428300.8032437088</v>
      </c>
      <c r="V19" s="33">
        <f t="shared" si="12"/>
        <v>2301001.8455205811</v>
      </c>
      <c r="W19" s="32">
        <f t="shared" si="13"/>
        <v>0.98324501552118404</v>
      </c>
    </row>
    <row r="20" spans="1:23" x14ac:dyDescent="0.25">
      <c r="A20" s="2">
        <v>5</v>
      </c>
      <c r="B20" s="2" t="s">
        <v>6</v>
      </c>
      <c r="C20" s="3">
        <f>'Данные для анализа'!C6</f>
        <v>3476075.5445336094</v>
      </c>
      <c r="D20" s="3">
        <f t="shared" si="0"/>
        <v>4736718.8945000693</v>
      </c>
      <c r="E20" s="3">
        <f t="shared" si="1"/>
        <v>-1316097.5490355967</v>
      </c>
      <c r="F20" s="3">
        <f t="shared" si="2"/>
        <v>10789535.338035736</v>
      </c>
      <c r="G20" s="3">
        <f t="shared" si="3"/>
        <v>-1260643.3499664599</v>
      </c>
      <c r="I20" s="2">
        <v>5</v>
      </c>
      <c r="J20" s="2" t="s">
        <v>6</v>
      </c>
      <c r="K20" s="3">
        <f t="shared" si="4"/>
        <v>3476075.5445336094</v>
      </c>
      <c r="L20" s="3">
        <f t="shared" si="5"/>
        <v>4630168.1916016378</v>
      </c>
      <c r="M20" s="33">
        <f t="shared" si="6"/>
        <v>5997158.9456597334</v>
      </c>
      <c r="N20" s="33">
        <f t="shared" si="7"/>
        <v>3574768.9325518091</v>
      </c>
      <c r="O20" s="32">
        <f t="shared" si="8"/>
        <v>0.75074498391627276</v>
      </c>
      <c r="Q20" s="2">
        <v>5</v>
      </c>
      <c r="R20" s="2" t="s">
        <v>6</v>
      </c>
      <c r="S20" s="3">
        <f t="shared" si="9"/>
        <v>3476075.5445336094</v>
      </c>
      <c r="T20" s="3">
        <f t="shared" si="10"/>
        <v>4318803.8611425683</v>
      </c>
      <c r="U20" s="33">
        <f t="shared" si="11"/>
        <v>6671372.1931653842</v>
      </c>
      <c r="V20" s="33">
        <f t="shared" si="12"/>
        <v>2795836.6361463703</v>
      </c>
      <c r="W20" s="32">
        <f t="shared" si="13"/>
        <v>0.98579214613195387</v>
      </c>
    </row>
    <row r="21" spans="1:23" x14ac:dyDescent="0.25">
      <c r="A21" s="2">
        <v>6</v>
      </c>
      <c r="B21" s="2" t="s">
        <v>7</v>
      </c>
      <c r="C21" s="3">
        <f>'Данные для анализа'!C7</f>
        <v>4183589.0473623835</v>
      </c>
      <c r="D21" s="3">
        <f t="shared" si="0"/>
        <v>5684062.6734000836</v>
      </c>
      <c r="E21" s="3">
        <f t="shared" si="1"/>
        <v>42633.603316459805</v>
      </c>
      <c r="F21" s="3">
        <f t="shared" si="2"/>
        <v>11325491.743483707</v>
      </c>
      <c r="G21" s="3">
        <f t="shared" si="3"/>
        <v>-1500473.6260377001</v>
      </c>
      <c r="I21" s="2">
        <v>6</v>
      </c>
      <c r="J21" s="2" t="s">
        <v>7</v>
      </c>
      <c r="K21" s="3">
        <f t="shared" si="4"/>
        <v>4183589.0473623835</v>
      </c>
      <c r="L21" s="3">
        <f t="shared" si="5"/>
        <v>5484829.82646921</v>
      </c>
      <c r="M21" s="33">
        <f t="shared" si="6"/>
        <v>7104147.1709158104</v>
      </c>
      <c r="N21" s="33">
        <f t="shared" si="7"/>
        <v>4234619.2303682463</v>
      </c>
      <c r="O21" s="32">
        <f t="shared" si="8"/>
        <v>0.76275639896297676</v>
      </c>
      <c r="Q21" s="2">
        <v>6</v>
      </c>
      <c r="R21" s="2" t="s">
        <v>7</v>
      </c>
      <c r="S21" s="3">
        <f t="shared" si="9"/>
        <v>4183589.0473623835</v>
      </c>
      <c r="T21" s="3">
        <f t="shared" si="10"/>
        <v>5103413.3068200499</v>
      </c>
      <c r="U21" s="33">
        <f t="shared" si="11"/>
        <v>7920923.2316965936</v>
      </c>
      <c r="V21" s="33">
        <f t="shared" si="12"/>
        <v>3288105.0123054138</v>
      </c>
      <c r="W21" s="32">
        <f t="shared" si="13"/>
        <v>0.98713274952152952</v>
      </c>
    </row>
    <row r="22" spans="1:23" x14ac:dyDescent="0.25">
      <c r="A22" s="2">
        <v>7</v>
      </c>
      <c r="B22" s="2" t="s">
        <v>8</v>
      </c>
      <c r="C22" s="3">
        <f>'Данные для анализа'!C8</f>
        <v>5380452.4239379605</v>
      </c>
      <c r="D22" s="3">
        <f t="shared" si="0"/>
        <v>6631406.4523000969</v>
      </c>
      <c r="E22" s="3">
        <f t="shared" si="1"/>
        <v>1363105.9601961365</v>
      </c>
      <c r="F22" s="3">
        <f t="shared" si="2"/>
        <v>11899706.944404058</v>
      </c>
      <c r="G22" s="3">
        <f t="shared" si="3"/>
        <v>-1250954.0283621363</v>
      </c>
      <c r="I22" s="2">
        <v>7</v>
      </c>
      <c r="J22" s="2" t="s">
        <v>8</v>
      </c>
      <c r="K22" s="3">
        <f t="shared" si="4"/>
        <v>5380452.4239379605</v>
      </c>
      <c r="L22" s="3">
        <f t="shared" si="5"/>
        <v>6339491.4613367822</v>
      </c>
      <c r="M22" s="33">
        <f t="shared" si="6"/>
        <v>8211135.3961718865</v>
      </c>
      <c r="N22" s="33">
        <f t="shared" si="7"/>
        <v>4894469.528184684</v>
      </c>
      <c r="O22" s="32">
        <f t="shared" si="8"/>
        <v>0.84871987867673648</v>
      </c>
      <c r="Q22" s="2">
        <v>7</v>
      </c>
      <c r="R22" s="2" t="s">
        <v>8</v>
      </c>
      <c r="S22" s="3">
        <f t="shared" si="9"/>
        <v>5380452.4239379605</v>
      </c>
      <c r="T22" s="3">
        <f t="shared" si="10"/>
        <v>5888022.7524975315</v>
      </c>
      <c r="U22" s="33">
        <f t="shared" si="11"/>
        <v>9175975.4565089773</v>
      </c>
      <c r="V22" s="33">
        <f t="shared" si="12"/>
        <v>3778215.416796518</v>
      </c>
      <c r="W22" s="32">
        <f t="shared" si="13"/>
        <v>0.99421700731375418</v>
      </c>
    </row>
    <row r="23" spans="1:23" x14ac:dyDescent="0.25">
      <c r="A23" s="2">
        <v>8</v>
      </c>
      <c r="B23" s="2" t="s">
        <v>9</v>
      </c>
      <c r="C23" s="3">
        <f>'Данные для анализа'!C9</f>
        <v>5857652.2365358304</v>
      </c>
      <c r="D23" s="3">
        <f t="shared" si="0"/>
        <v>7578750.2312001111</v>
      </c>
      <c r="E23" s="3">
        <f t="shared" si="1"/>
        <v>2636646.3000701219</v>
      </c>
      <c r="F23" s="3">
        <f t="shared" si="2"/>
        <v>12520854.1623301</v>
      </c>
      <c r="G23" s="3">
        <f t="shared" si="3"/>
        <v>-1721097.9946642807</v>
      </c>
      <c r="I23" s="2">
        <v>8</v>
      </c>
      <c r="J23" s="2" t="s">
        <v>9</v>
      </c>
      <c r="K23" s="3">
        <f t="shared" si="4"/>
        <v>5857652.2365358304</v>
      </c>
      <c r="L23" s="3">
        <f t="shared" si="5"/>
        <v>7194153.0962043544</v>
      </c>
      <c r="M23" s="33">
        <f t="shared" si="6"/>
        <v>9318123.6214279626</v>
      </c>
      <c r="N23" s="33">
        <f t="shared" si="7"/>
        <v>5554319.8260011207</v>
      </c>
      <c r="O23" s="32">
        <f t="shared" si="8"/>
        <v>0.81422401750476181</v>
      </c>
      <c r="Q23" s="2">
        <v>8</v>
      </c>
      <c r="R23" s="2" t="s">
        <v>9</v>
      </c>
      <c r="S23" s="3">
        <f t="shared" si="9"/>
        <v>5857652.2365358304</v>
      </c>
      <c r="T23" s="3">
        <f t="shared" si="10"/>
        <v>6672632.1981750131</v>
      </c>
      <c r="U23" s="33">
        <f t="shared" si="11"/>
        <v>10435810.7030285</v>
      </c>
      <c r="V23" s="33">
        <f t="shared" si="12"/>
        <v>4266464.9368544864</v>
      </c>
      <c r="W23" s="32">
        <f t="shared" si="13"/>
        <v>0.99170997381949377</v>
      </c>
    </row>
    <row r="24" spans="1:23" x14ac:dyDescent="0.25">
      <c r="A24" s="2">
        <v>9</v>
      </c>
      <c r="B24" s="2" t="s">
        <v>10</v>
      </c>
      <c r="C24" s="3">
        <f>'Данные для анализа'!C10</f>
        <v>6511019.5831007604</v>
      </c>
      <c r="D24" s="3">
        <f t="shared" si="0"/>
        <v>8526094.0101001244</v>
      </c>
      <c r="E24" s="3">
        <f t="shared" si="1"/>
        <v>3853415.385826082</v>
      </c>
      <c r="F24" s="3">
        <f t="shared" si="2"/>
        <v>13198772.634374168</v>
      </c>
      <c r="G24" s="3">
        <f t="shared" si="3"/>
        <v>-2015074.426999364</v>
      </c>
      <c r="I24" s="2">
        <v>9</v>
      </c>
      <c r="J24" s="2" t="s">
        <v>10</v>
      </c>
      <c r="K24" s="3">
        <f t="shared" si="4"/>
        <v>6511019.5831007604</v>
      </c>
      <c r="L24" s="3">
        <f t="shared" si="5"/>
        <v>8048814.7310719267</v>
      </c>
      <c r="M24" s="33">
        <f t="shared" si="6"/>
        <v>10425111.846684039</v>
      </c>
      <c r="N24" s="33">
        <f t="shared" si="7"/>
        <v>6214170.1238175584</v>
      </c>
      <c r="O24" s="32">
        <f t="shared" si="8"/>
        <v>0.80894141568017364</v>
      </c>
      <c r="Q24" s="2">
        <v>9</v>
      </c>
      <c r="R24" s="2" t="s">
        <v>10</v>
      </c>
      <c r="S24" s="3">
        <f t="shared" si="9"/>
        <v>6511019.5831007604</v>
      </c>
      <c r="T24" s="3">
        <f t="shared" si="10"/>
        <v>7457241.6438524947</v>
      </c>
      <c r="U24" s="33">
        <f t="shared" si="11"/>
        <v>11699878.924446816</v>
      </c>
      <c r="V24" s="33">
        <f t="shared" si="12"/>
        <v>4753079.3518392965</v>
      </c>
      <c r="W24" s="32">
        <f t="shared" si="13"/>
        <v>0.9914254574137813</v>
      </c>
    </row>
    <row r="25" spans="1:23" x14ac:dyDescent="0.25">
      <c r="A25" s="2">
        <v>10</v>
      </c>
      <c r="B25" s="2" t="s">
        <v>11</v>
      </c>
      <c r="C25" s="3">
        <f>'Данные для анализа'!C11</f>
        <v>7448243.4494492188</v>
      </c>
      <c r="D25" s="3">
        <f t="shared" si="0"/>
        <v>9473437.7890001386</v>
      </c>
      <c r="E25" s="3">
        <f t="shared" si="1"/>
        <v>5003136.5850459747</v>
      </c>
      <c r="F25" s="3">
        <f t="shared" si="2"/>
        <v>13943738.992954303</v>
      </c>
      <c r="G25" s="3">
        <f t="shared" si="3"/>
        <v>-2025194.3395509198</v>
      </c>
      <c r="I25" s="2">
        <v>10</v>
      </c>
      <c r="J25" s="2" t="s">
        <v>11</v>
      </c>
      <c r="K25" s="3">
        <f t="shared" si="4"/>
        <v>7448243.4494492188</v>
      </c>
      <c r="L25" s="3">
        <f t="shared" si="5"/>
        <v>8903476.3659394979</v>
      </c>
      <c r="M25" s="33">
        <f t="shared" si="6"/>
        <v>11532100.071940115</v>
      </c>
      <c r="N25" s="33">
        <f t="shared" si="7"/>
        <v>6874020.4216339951</v>
      </c>
      <c r="O25" s="32">
        <f t="shared" si="8"/>
        <v>0.83655452581900325</v>
      </c>
      <c r="Q25" s="2">
        <v>10</v>
      </c>
      <c r="R25" s="2" t="s">
        <v>11</v>
      </c>
      <c r="S25" s="3">
        <f t="shared" si="9"/>
        <v>7448243.4494492188</v>
      </c>
      <c r="T25" s="3">
        <f t="shared" si="10"/>
        <v>8241851.0895299762</v>
      </c>
      <c r="U25" s="33">
        <f t="shared" si="11"/>
        <v>12967745.069454696</v>
      </c>
      <c r="V25" s="33">
        <f t="shared" si="12"/>
        <v>5238236.0247033155</v>
      </c>
      <c r="W25" s="32">
        <f t="shared" si="13"/>
        <v>0.99364217136688193</v>
      </c>
    </row>
    <row r="26" spans="1:23" x14ac:dyDescent="0.25">
      <c r="A26" s="2">
        <v>11</v>
      </c>
      <c r="B26" s="2" t="s">
        <v>13</v>
      </c>
      <c r="C26" s="3">
        <f>'Данные для анализа'!C12</f>
        <v>8915955.3337932099</v>
      </c>
      <c r="D26" s="3">
        <f t="shared" si="0"/>
        <v>10420781.567900153</v>
      </c>
      <c r="E26" s="3">
        <f t="shared" si="1"/>
        <v>6076429.6886125272</v>
      </c>
      <c r="F26" s="3">
        <f t="shared" si="2"/>
        <v>14765133.447187778</v>
      </c>
      <c r="G26" s="3">
        <f t="shared" si="3"/>
        <v>-1504826.234106943</v>
      </c>
      <c r="I26" s="2">
        <v>11</v>
      </c>
      <c r="J26" s="2" t="s">
        <v>13</v>
      </c>
      <c r="K26" s="3">
        <f t="shared" si="4"/>
        <v>8915955.3337932099</v>
      </c>
      <c r="L26" s="3">
        <f t="shared" si="5"/>
        <v>9758138.0008070711</v>
      </c>
      <c r="M26" s="33">
        <f t="shared" si="6"/>
        <v>12639088.297196193</v>
      </c>
      <c r="N26" s="33">
        <f t="shared" si="7"/>
        <v>7533870.7194504328</v>
      </c>
      <c r="O26" s="32">
        <f t="shared" si="8"/>
        <v>0.91369432703819042</v>
      </c>
      <c r="Q26" s="2">
        <v>11</v>
      </c>
      <c r="R26" s="2" t="s">
        <v>13</v>
      </c>
      <c r="S26" s="3">
        <f t="shared" si="9"/>
        <v>8915955.3337932099</v>
      </c>
      <c r="T26" s="3">
        <f t="shared" si="10"/>
        <v>9026460.5352074597</v>
      </c>
      <c r="U26" s="33">
        <f t="shared" si="11"/>
        <v>14239056.26966306</v>
      </c>
      <c r="V26" s="33">
        <f t="shared" si="12"/>
        <v>5722077.9418681348</v>
      </c>
      <c r="W26" s="32">
        <f t="shared" si="13"/>
        <v>0.99923088345592748</v>
      </c>
    </row>
    <row r="27" spans="1:23" x14ac:dyDescent="0.25">
      <c r="A27" s="2">
        <v>12</v>
      </c>
      <c r="B27" s="2" t="s">
        <v>14</v>
      </c>
      <c r="C27" s="3">
        <f>'Данные для анализа'!C13</f>
        <v>10017461.84195617</v>
      </c>
      <c r="D27" s="3">
        <f t="shared" si="0"/>
        <v>11368125.346800167</v>
      </c>
      <c r="E27" s="3">
        <f t="shared" si="1"/>
        <v>7066576.0076974267</v>
      </c>
      <c r="F27" s="3">
        <f t="shared" si="2"/>
        <v>15669674.685902908</v>
      </c>
      <c r="G27" s="3">
        <f t="shared" si="3"/>
        <v>-1350663.5048439968</v>
      </c>
      <c r="I27" s="2">
        <v>12</v>
      </c>
      <c r="J27" s="2" t="s">
        <v>14</v>
      </c>
      <c r="K27" s="3">
        <f t="shared" si="4"/>
        <v>10017461.84195617</v>
      </c>
      <c r="L27" s="3">
        <f t="shared" si="5"/>
        <v>10612799.635674642</v>
      </c>
      <c r="M27" s="33">
        <f t="shared" si="6"/>
        <v>13746076.522452267</v>
      </c>
      <c r="N27" s="33">
        <f t="shared" si="7"/>
        <v>8193721.0172668695</v>
      </c>
      <c r="O27" s="32">
        <f t="shared" si="8"/>
        <v>0.94390379408301839</v>
      </c>
      <c r="Q27" s="2">
        <v>12</v>
      </c>
      <c r="R27" s="2" t="s">
        <v>14</v>
      </c>
      <c r="S27" s="3">
        <f t="shared" si="9"/>
        <v>10017461.84195617</v>
      </c>
      <c r="T27" s="3">
        <f t="shared" si="10"/>
        <v>9811069.9808849413</v>
      </c>
      <c r="U27" s="33">
        <f t="shared" si="11"/>
        <v>15513520.458906405</v>
      </c>
      <c r="V27" s="33">
        <f t="shared" si="12"/>
        <v>6204722.8045237167</v>
      </c>
      <c r="W27" s="32">
        <f t="shared" si="13"/>
        <v>1.0012931478981055</v>
      </c>
    </row>
    <row r="28" spans="1:23" x14ac:dyDescent="0.25">
      <c r="A28" s="2">
        <v>13</v>
      </c>
      <c r="B28" s="2" t="s">
        <v>15</v>
      </c>
      <c r="C28" s="3">
        <f>'Данные для анализа'!C14</f>
        <v>9925208.0999999996</v>
      </c>
      <c r="D28" s="3">
        <f t="shared" si="0"/>
        <v>12315469.125700181</v>
      </c>
      <c r="E28" s="3">
        <f t="shared" si="1"/>
        <v>7971117.2464125557</v>
      </c>
      <c r="F28" s="3">
        <f t="shared" si="2"/>
        <v>16659821.004987806</v>
      </c>
      <c r="G28" s="3">
        <f t="shared" si="3"/>
        <v>-2390261.0257001817</v>
      </c>
      <c r="I28" s="2">
        <v>13</v>
      </c>
      <c r="J28" s="2" t="s">
        <v>15</v>
      </c>
      <c r="K28" s="3">
        <f t="shared" si="4"/>
        <v>9925208.0999999996</v>
      </c>
      <c r="L28" s="3">
        <f t="shared" si="5"/>
        <v>11467461.270542216</v>
      </c>
      <c r="M28" s="33">
        <f t="shared" si="6"/>
        <v>14853064.747708345</v>
      </c>
      <c r="N28" s="33">
        <f t="shared" si="7"/>
        <v>8853571.3150833081</v>
      </c>
      <c r="O28" s="32">
        <f t="shared" si="8"/>
        <v>0.86551049668648294</v>
      </c>
      <c r="Q28" s="2">
        <v>13</v>
      </c>
      <c r="R28" s="2" t="s">
        <v>15</v>
      </c>
      <c r="S28" s="3">
        <f t="shared" si="9"/>
        <v>9925208.0999999996</v>
      </c>
      <c r="T28" s="3">
        <f t="shared" si="10"/>
        <v>10595679.426562423</v>
      </c>
      <c r="U28" s="33">
        <f t="shared" si="11"/>
        <v>16790891.835818168</v>
      </c>
      <c r="V28" s="33">
        <f t="shared" si="12"/>
        <v>6686269.1754697701</v>
      </c>
      <c r="W28" s="32">
        <f t="shared" si="13"/>
        <v>0.99595890841841672</v>
      </c>
    </row>
    <row r="29" spans="1:23" x14ac:dyDescent="0.25">
      <c r="A29" s="2">
        <v>14</v>
      </c>
      <c r="B29" s="2" t="s">
        <v>16</v>
      </c>
      <c r="C29" s="3">
        <f>'Данные для анализа'!C15</f>
        <v>10706582.1</v>
      </c>
      <c r="D29" s="3">
        <f t="shared" si="0"/>
        <v>13262812.904600194</v>
      </c>
      <c r="E29" s="3">
        <f t="shared" si="1"/>
        <v>8792511.7006460298</v>
      </c>
      <c r="F29" s="3">
        <f t="shared" si="2"/>
        <v>17733114.108554356</v>
      </c>
      <c r="G29" s="3">
        <f t="shared" si="3"/>
        <v>-2556230.8046001941</v>
      </c>
      <c r="I29" s="2">
        <v>14</v>
      </c>
      <c r="J29" s="2" t="s">
        <v>16</v>
      </c>
      <c r="K29" s="3">
        <f t="shared" si="4"/>
        <v>10706582.1</v>
      </c>
      <c r="L29" s="3">
        <f t="shared" si="5"/>
        <v>12322122.905409787</v>
      </c>
      <c r="M29" s="33">
        <f t="shared" si="6"/>
        <v>15960052.972964421</v>
      </c>
      <c r="N29" s="33">
        <f t="shared" si="7"/>
        <v>9513421.612899743</v>
      </c>
      <c r="O29" s="32">
        <f t="shared" si="8"/>
        <v>0.86889103299720249</v>
      </c>
      <c r="Q29" s="2">
        <v>14</v>
      </c>
      <c r="R29" s="2" t="s">
        <v>16</v>
      </c>
      <c r="S29" s="3">
        <f t="shared" si="9"/>
        <v>10706582.1</v>
      </c>
      <c r="T29" s="3">
        <f t="shared" si="10"/>
        <v>11380288.872239904</v>
      </c>
      <c r="U29" s="33">
        <f t="shared" si="11"/>
        <v>18070960.62998049</v>
      </c>
      <c r="V29" s="33">
        <f t="shared" si="12"/>
        <v>7166800.7842794331</v>
      </c>
      <c r="W29" s="32">
        <f t="shared" si="13"/>
        <v>0.99624406762891282</v>
      </c>
    </row>
    <row r="30" spans="1:23" x14ac:dyDescent="0.25">
      <c r="A30" s="2">
        <v>15</v>
      </c>
      <c r="B30" s="2" t="s">
        <v>17</v>
      </c>
      <c r="C30" s="3">
        <f>'Данные для анализа'!C16</f>
        <v>11852881.700000001</v>
      </c>
      <c r="D30" s="3">
        <f t="shared" si="0"/>
        <v>14210156.683500208</v>
      </c>
      <c r="E30" s="3">
        <f t="shared" si="1"/>
        <v>9537478.0592261665</v>
      </c>
      <c r="F30" s="3">
        <f t="shared" si="2"/>
        <v>18882835.307774249</v>
      </c>
      <c r="G30" s="3">
        <f t="shared" si="3"/>
        <v>-2357274.9835002068</v>
      </c>
      <c r="I30" s="2">
        <v>15</v>
      </c>
      <c r="J30" s="2" t="s">
        <v>17</v>
      </c>
      <c r="K30" s="3">
        <f t="shared" si="4"/>
        <v>11852881.700000001</v>
      </c>
      <c r="L30" s="3">
        <f t="shared" si="5"/>
        <v>13176784.54027736</v>
      </c>
      <c r="M30" s="33">
        <f t="shared" si="6"/>
        <v>17067041.198220499</v>
      </c>
      <c r="N30" s="33">
        <f t="shared" si="7"/>
        <v>10173271.910716182</v>
      </c>
      <c r="O30" s="32">
        <f t="shared" si="8"/>
        <v>0.89952762479870585</v>
      </c>
      <c r="Q30" s="2">
        <v>15</v>
      </c>
      <c r="R30" s="2" t="s">
        <v>17</v>
      </c>
      <c r="S30" s="3">
        <f t="shared" si="9"/>
        <v>11852881.700000001</v>
      </c>
      <c r="T30" s="3">
        <f t="shared" si="10"/>
        <v>12164898.317917386</v>
      </c>
      <c r="U30" s="33">
        <f t="shared" si="11"/>
        <v>19353545.686288156</v>
      </c>
      <c r="V30" s="33">
        <f t="shared" si="12"/>
        <v>7646389.632371882</v>
      </c>
      <c r="W30" s="32">
        <f t="shared" si="13"/>
        <v>0.99840728856403926</v>
      </c>
    </row>
    <row r="31" spans="1:23" x14ac:dyDescent="0.25">
      <c r="A31" s="2">
        <v>16</v>
      </c>
      <c r="B31" s="2" t="s">
        <v>18</v>
      </c>
      <c r="C31" s="3">
        <f>'Данные для анализа'!C17</f>
        <v>12766002.800000001</v>
      </c>
      <c r="D31" s="3">
        <f t="shared" si="0"/>
        <v>15157500.462400222</v>
      </c>
      <c r="E31" s="3">
        <f t="shared" si="1"/>
        <v>10215396.531270232</v>
      </c>
      <c r="F31" s="3">
        <f t="shared" si="2"/>
        <v>20099604.393530212</v>
      </c>
      <c r="G31" s="3">
        <f t="shared" si="3"/>
        <v>-2391497.6624002215</v>
      </c>
      <c r="I31" s="2">
        <v>16</v>
      </c>
      <c r="J31" s="2" t="s">
        <v>18</v>
      </c>
      <c r="K31" s="3">
        <f t="shared" si="4"/>
        <v>12766002.800000001</v>
      </c>
      <c r="L31" s="3">
        <f t="shared" si="5"/>
        <v>14031446.175144931</v>
      </c>
      <c r="M31" s="33">
        <f t="shared" si="6"/>
        <v>18174029.423476573</v>
      </c>
      <c r="N31" s="33">
        <f t="shared" si="7"/>
        <v>10833122.208532618</v>
      </c>
      <c r="O31" s="32">
        <f t="shared" si="8"/>
        <v>0.90981375979715362</v>
      </c>
      <c r="Q31" s="2">
        <v>16</v>
      </c>
      <c r="R31" s="2" t="s">
        <v>18</v>
      </c>
      <c r="S31" s="3">
        <f t="shared" si="9"/>
        <v>12766002.800000001</v>
      </c>
      <c r="T31" s="3">
        <f t="shared" si="10"/>
        <v>12949507.763594868</v>
      </c>
      <c r="U31" s="33">
        <f t="shared" si="11"/>
        <v>20638488.958382457</v>
      </c>
      <c r="V31" s="33">
        <f t="shared" si="12"/>
        <v>8125098.2888112832</v>
      </c>
      <c r="W31" s="32">
        <f t="shared" si="13"/>
        <v>0.99912850052394109</v>
      </c>
    </row>
    <row r="32" spans="1:23" x14ac:dyDescent="0.25">
      <c r="A32" s="2">
        <v>17</v>
      </c>
      <c r="B32" s="2" t="s">
        <v>19</v>
      </c>
      <c r="C32" s="3">
        <f>'Данные для анализа'!C18</f>
        <v>13515794</v>
      </c>
      <c r="D32" s="3">
        <f t="shared" si="0"/>
        <v>16104844.241300236</v>
      </c>
      <c r="E32" s="3">
        <f t="shared" si="1"/>
        <v>10836543.749196276</v>
      </c>
      <c r="F32" s="3">
        <f t="shared" si="2"/>
        <v>21373144.733404197</v>
      </c>
      <c r="G32" s="3">
        <f t="shared" si="3"/>
        <v>-2589050.2413002364</v>
      </c>
      <c r="I32" s="2">
        <v>17</v>
      </c>
      <c r="J32" s="2" t="s">
        <v>19</v>
      </c>
      <c r="K32" s="3">
        <f t="shared" si="4"/>
        <v>13515794</v>
      </c>
      <c r="L32" s="3">
        <f t="shared" si="5"/>
        <v>14886107.810012503</v>
      </c>
      <c r="M32" s="33">
        <f t="shared" si="6"/>
        <v>19281017.648732647</v>
      </c>
      <c r="N32" s="33">
        <f t="shared" si="7"/>
        <v>11492972.506349055</v>
      </c>
      <c r="O32" s="32">
        <f t="shared" si="8"/>
        <v>0.90794680332149547</v>
      </c>
      <c r="Q32" s="2">
        <v>17</v>
      </c>
      <c r="R32" s="2" t="s">
        <v>19</v>
      </c>
      <c r="S32" s="3">
        <f t="shared" si="9"/>
        <v>13515794</v>
      </c>
      <c r="T32" s="3">
        <f t="shared" si="10"/>
        <v>13734117.209272349</v>
      </c>
      <c r="U32" s="33">
        <f t="shared" si="11"/>
        <v>21925651.33303092</v>
      </c>
      <c r="V32" s="33">
        <f t="shared" si="12"/>
        <v>8602981.6242615804</v>
      </c>
      <c r="W32" s="32">
        <f t="shared" si="13"/>
        <v>0.99902502384482261</v>
      </c>
    </row>
    <row r="33" spans="1:23" x14ac:dyDescent="0.25">
      <c r="A33" s="2">
        <v>18</v>
      </c>
      <c r="B33" s="2" t="s">
        <v>34</v>
      </c>
      <c r="C33" s="3">
        <f>'Данные для анализа'!C19</f>
        <v>13615271.9</v>
      </c>
      <c r="D33" s="3">
        <f t="shared" si="0"/>
        <v>17052188.020200249</v>
      </c>
      <c r="E33" s="3">
        <f t="shared" si="1"/>
        <v>11410758.950116625</v>
      </c>
      <c r="F33" s="3">
        <f t="shared" si="2"/>
        <v>22693617.090283871</v>
      </c>
      <c r="G33" s="3">
        <f t="shared" si="3"/>
        <v>-3436916.1202002484</v>
      </c>
      <c r="I33" s="2">
        <v>18</v>
      </c>
      <c r="J33" s="2" t="s">
        <v>34</v>
      </c>
      <c r="K33" s="3">
        <f t="shared" si="4"/>
        <v>13615271.9</v>
      </c>
      <c r="L33" s="3">
        <f t="shared" si="5"/>
        <v>15740769.444880076</v>
      </c>
      <c r="M33" s="33">
        <f t="shared" si="6"/>
        <v>20388005.873988725</v>
      </c>
      <c r="N33" s="33">
        <f t="shared" si="7"/>
        <v>12152822.804165494</v>
      </c>
      <c r="O33" s="32">
        <f t="shared" si="8"/>
        <v>0.86496863750384034</v>
      </c>
      <c r="Q33" s="2">
        <v>18</v>
      </c>
      <c r="R33" s="2" t="s">
        <v>34</v>
      </c>
      <c r="S33" s="3">
        <f t="shared" si="9"/>
        <v>13615271.9</v>
      </c>
      <c r="T33" s="3">
        <f t="shared" si="10"/>
        <v>14518726.654949831</v>
      </c>
      <c r="U33" s="33">
        <f t="shared" si="11"/>
        <v>23214909.405651487</v>
      </c>
      <c r="V33" s="33">
        <f t="shared" si="12"/>
        <v>9080088.1449847538</v>
      </c>
      <c r="W33" s="32">
        <f t="shared" si="13"/>
        <v>0.99610409263383815</v>
      </c>
    </row>
    <row r="34" spans="1:23" x14ac:dyDescent="0.25">
      <c r="A34" s="2">
        <v>19</v>
      </c>
      <c r="B34" s="2" t="s">
        <v>35</v>
      </c>
      <c r="C34" s="3">
        <f>'Данные для анализа'!C20</f>
        <v>14544325.699999999</v>
      </c>
      <c r="D34" s="3">
        <f t="shared" si="0"/>
        <v>17999531.799100265</v>
      </c>
      <c r="E34" s="3">
        <f t="shared" si="1"/>
        <v>11946715.355564598</v>
      </c>
      <c r="F34" s="3">
        <f t="shared" si="2"/>
        <v>24052348.242635932</v>
      </c>
      <c r="G34" s="3">
        <f t="shared" si="3"/>
        <v>-3455206.0991002657</v>
      </c>
      <c r="I34" s="2">
        <v>19</v>
      </c>
      <c r="J34" s="2" t="s">
        <v>35</v>
      </c>
      <c r="K34" s="3">
        <f t="shared" si="4"/>
        <v>14544325.699999999</v>
      </c>
      <c r="L34" s="3">
        <f t="shared" si="5"/>
        <v>16595431.079747647</v>
      </c>
      <c r="M34" s="33">
        <f t="shared" si="6"/>
        <v>21494994.099244799</v>
      </c>
      <c r="N34" s="33">
        <f t="shared" si="7"/>
        <v>12812673.101981929</v>
      </c>
      <c r="O34" s="32">
        <f t="shared" si="8"/>
        <v>0.87640541725663701</v>
      </c>
      <c r="Q34" s="2">
        <v>19</v>
      </c>
      <c r="R34" s="2" t="s">
        <v>35</v>
      </c>
      <c r="S34" s="3">
        <f t="shared" si="9"/>
        <v>14544325.699999999</v>
      </c>
      <c r="T34" s="3">
        <f t="shared" si="10"/>
        <v>15303336.100627312</v>
      </c>
      <c r="U34" s="33">
        <f t="shared" si="11"/>
        <v>24506152.950358085</v>
      </c>
      <c r="V34" s="33">
        <f t="shared" si="12"/>
        <v>9556461.0358535182</v>
      </c>
      <c r="W34" s="32">
        <f t="shared" si="13"/>
        <v>0.99692509633386173</v>
      </c>
    </row>
    <row r="35" spans="1:23" x14ac:dyDescent="0.25">
      <c r="A35" s="2">
        <v>20</v>
      </c>
      <c r="B35" s="2" t="s">
        <v>45</v>
      </c>
      <c r="C35" s="3">
        <f>'Данные для анализа'!C21</f>
        <v>16406490.399999999</v>
      </c>
      <c r="D35" s="3">
        <f t="shared" si="0"/>
        <v>18946875.578000277</v>
      </c>
      <c r="E35" s="3">
        <f t="shared" si="1"/>
        <v>12451678.512925476</v>
      </c>
      <c r="F35" s="3">
        <f t="shared" si="2"/>
        <v>25442072.643075079</v>
      </c>
      <c r="G35" s="3">
        <f t="shared" si="3"/>
        <v>-2540385.1780002788</v>
      </c>
      <c r="I35" s="2">
        <v>20</v>
      </c>
      <c r="J35" s="2" t="s">
        <v>45</v>
      </c>
      <c r="K35" s="3">
        <f t="shared" si="4"/>
        <v>16406490.399999999</v>
      </c>
      <c r="L35" s="3">
        <f t="shared" si="5"/>
        <v>17450092.714615218</v>
      </c>
      <c r="M35" s="33">
        <f t="shared" si="6"/>
        <v>22601982.324500877</v>
      </c>
      <c r="N35" s="33">
        <f t="shared" si="7"/>
        <v>13472523.399798365</v>
      </c>
      <c r="O35" s="32">
        <f t="shared" si="8"/>
        <v>0.94019502751746664</v>
      </c>
      <c r="Q35" s="2">
        <v>20</v>
      </c>
      <c r="R35" s="2" t="s">
        <v>45</v>
      </c>
      <c r="S35" s="3">
        <f t="shared" si="9"/>
        <v>16406490.399999999</v>
      </c>
      <c r="T35" s="3">
        <f t="shared" si="10"/>
        <v>16087945.546304794</v>
      </c>
      <c r="U35" s="33">
        <f t="shared" si="11"/>
        <v>25799282.906820264</v>
      </c>
      <c r="V35" s="33">
        <f t="shared" si="12"/>
        <v>10032138.987570349</v>
      </c>
      <c r="W35" s="32">
        <f t="shared" si="13"/>
        <v>1.0011815861276807</v>
      </c>
    </row>
    <row r="36" spans="1:23" x14ac:dyDescent="0.25">
      <c r="A36" s="2">
        <v>21</v>
      </c>
      <c r="B36" s="2" t="s">
        <v>46</v>
      </c>
      <c r="C36" s="3">
        <f>'Данные для анализа'!C22</f>
        <v>19738622.600000001</v>
      </c>
      <c r="D36" s="3">
        <f t="shared" si="0"/>
        <v>19894219.356900293</v>
      </c>
      <c r="E36" s="3">
        <f t="shared" si="1"/>
        <v>12931553.488294628</v>
      </c>
      <c r="F36" s="3">
        <f t="shared" si="2"/>
        <v>26856885.225505959</v>
      </c>
      <c r="G36" s="3">
        <f t="shared" si="3"/>
        <v>-155596.75690029189</v>
      </c>
      <c r="I36" s="2">
        <v>21</v>
      </c>
      <c r="J36" s="2" t="s">
        <v>46</v>
      </c>
      <c r="K36" s="3">
        <f t="shared" si="4"/>
        <v>19738622.600000001</v>
      </c>
      <c r="L36" s="3">
        <f t="shared" si="5"/>
        <v>18304754.349482793</v>
      </c>
      <c r="M36" s="33">
        <f t="shared" si="6"/>
        <v>23708970.549756955</v>
      </c>
      <c r="N36" s="33">
        <f t="shared" si="7"/>
        <v>14132373.697614806</v>
      </c>
      <c r="O36" s="32">
        <f t="shared" si="8"/>
        <v>1.0783331053310596</v>
      </c>
      <c r="Q36" s="2">
        <v>21</v>
      </c>
      <c r="R36" s="2" t="s">
        <v>46</v>
      </c>
      <c r="S36" s="3">
        <f t="shared" si="9"/>
        <v>19738622.600000001</v>
      </c>
      <c r="T36" s="3">
        <f t="shared" si="10"/>
        <v>16872554.991982274</v>
      </c>
      <c r="U36" s="33">
        <f t="shared" si="11"/>
        <v>27094209.758195747</v>
      </c>
      <c r="V36" s="33">
        <f t="shared" si="12"/>
        <v>10507156.861120535</v>
      </c>
      <c r="W36" s="32">
        <f t="shared" si="13"/>
        <v>1.0094277412680774</v>
      </c>
    </row>
    <row r="37" spans="1:23" x14ac:dyDescent="0.25">
      <c r="A37" s="2">
        <v>22</v>
      </c>
      <c r="B37" s="2" t="s">
        <v>47</v>
      </c>
      <c r="C37" s="3">
        <f>'Данные для анализа'!C23</f>
        <v>24340433.200000003</v>
      </c>
      <c r="D37" s="3">
        <f t="shared" si="0"/>
        <v>20841563.135800306</v>
      </c>
      <c r="E37" s="3">
        <f t="shared" si="1"/>
        <v>13391061.129210034</v>
      </c>
      <c r="F37" s="3">
        <f t="shared" si="2"/>
        <v>28292065.142390579</v>
      </c>
      <c r="G37" s="3">
        <f t="shared" si="3"/>
        <v>3498870.0641996972</v>
      </c>
      <c r="I37" s="2">
        <v>22</v>
      </c>
      <c r="J37" s="2" t="s">
        <v>47</v>
      </c>
      <c r="K37" s="3">
        <f t="shared" si="4"/>
        <v>24340433.200000003</v>
      </c>
      <c r="L37" s="3">
        <f t="shared" si="5"/>
        <v>19159415.984350365</v>
      </c>
      <c r="M37" s="33">
        <f t="shared" si="6"/>
        <v>24815958.775013033</v>
      </c>
      <c r="N37" s="33">
        <f t="shared" si="7"/>
        <v>14792223.995431243</v>
      </c>
      <c r="O37" s="32">
        <f t="shared" si="8"/>
        <v>1.2704162391944283</v>
      </c>
      <c r="Q37" s="2">
        <v>22</v>
      </c>
      <c r="R37" s="2" t="s">
        <v>47</v>
      </c>
      <c r="S37" s="3">
        <f t="shared" si="9"/>
        <v>24340433.200000003</v>
      </c>
      <c r="T37" s="3">
        <f t="shared" si="10"/>
        <v>17657164.437659759</v>
      </c>
      <c r="U37" s="33">
        <f t="shared" si="11"/>
        <v>28390852.209439524</v>
      </c>
      <c r="V37" s="33">
        <f t="shared" si="12"/>
        <v>10981546.227587217</v>
      </c>
      <c r="W37" s="32">
        <f t="shared" si="13"/>
        <v>1.019236768628683</v>
      </c>
    </row>
    <row r="38" spans="1:23" x14ac:dyDescent="0.25">
      <c r="A38" s="2">
        <v>23</v>
      </c>
      <c r="B38" s="2" t="s">
        <v>48</v>
      </c>
      <c r="C38" s="3">
        <f>'Данные для анализа'!C24</f>
        <v>29177253.5</v>
      </c>
      <c r="D38" s="3">
        <f t="shared" si="0"/>
        <v>21788906.914700318</v>
      </c>
      <c r="E38" s="3">
        <f t="shared" si="1"/>
        <v>13833947.620572254</v>
      </c>
      <c r="F38" s="3">
        <f t="shared" si="2"/>
        <v>29743866.208828382</v>
      </c>
      <c r="G38" s="3">
        <f t="shared" si="3"/>
        <v>7388346.5852996819</v>
      </c>
      <c r="I38" s="2">
        <v>23</v>
      </c>
      <c r="J38" s="2" t="s">
        <v>48</v>
      </c>
      <c r="K38" s="3">
        <f t="shared" si="4"/>
        <v>29177253.5</v>
      </c>
      <c r="L38" s="3">
        <f t="shared" si="5"/>
        <v>20014077.619217936</v>
      </c>
      <c r="M38" s="33">
        <f t="shared" si="6"/>
        <v>25922947.000269108</v>
      </c>
      <c r="N38" s="33">
        <f t="shared" si="7"/>
        <v>15452074.293247679</v>
      </c>
      <c r="O38" s="32">
        <f t="shared" si="8"/>
        <v>1.457836531621292</v>
      </c>
      <c r="Q38" s="2">
        <v>23</v>
      </c>
      <c r="R38" s="2" t="s">
        <v>48</v>
      </c>
      <c r="S38" s="3">
        <f t="shared" si="9"/>
        <v>29177253.5</v>
      </c>
      <c r="T38" s="3">
        <f t="shared" si="10"/>
        <v>18441773.883337241</v>
      </c>
      <c r="U38" s="33">
        <f t="shared" si="11"/>
        <v>29689136.099437375</v>
      </c>
      <c r="V38" s="33">
        <f t="shared" si="12"/>
        <v>11455335.811222395</v>
      </c>
      <c r="W38" s="32">
        <f t="shared" si="13"/>
        <v>1.0274218450884163</v>
      </c>
    </row>
    <row r="39" spans="1:23" x14ac:dyDescent="0.25">
      <c r="A39" s="2">
        <v>24</v>
      </c>
      <c r="B39" s="2" t="s">
        <v>49</v>
      </c>
      <c r="C39" s="3">
        <f>'Данные для анализа'!C25</f>
        <v>32463740.899999999</v>
      </c>
      <c r="D39" s="3">
        <f t="shared" si="0"/>
        <v>22736250.693600334</v>
      </c>
      <c r="E39" s="3">
        <f t="shared" si="1"/>
        <v>14263181.139953755</v>
      </c>
      <c r="F39" s="3">
        <f t="shared" si="2"/>
        <v>31209320.247246914</v>
      </c>
      <c r="G39" s="3">
        <f t="shared" si="3"/>
        <v>9727490.2063996643</v>
      </c>
      <c r="I39" s="2">
        <v>24</v>
      </c>
      <c r="J39" s="2" t="s">
        <v>49</v>
      </c>
      <c r="K39" s="3">
        <f t="shared" si="4"/>
        <v>32463740.899999999</v>
      </c>
      <c r="L39" s="3">
        <f t="shared" si="5"/>
        <v>20868739.254085507</v>
      </c>
      <c r="M39" s="33">
        <f t="shared" si="6"/>
        <v>27029935.225525182</v>
      </c>
      <c r="N39" s="33">
        <f t="shared" si="7"/>
        <v>16111924.591064114</v>
      </c>
      <c r="O39" s="32">
        <f t="shared" si="8"/>
        <v>1.5556158187009077</v>
      </c>
      <c r="Q39" s="2">
        <v>24</v>
      </c>
      <c r="R39" s="2" t="s">
        <v>49</v>
      </c>
      <c r="S39" s="3">
        <f t="shared" si="9"/>
        <v>32463740.899999999</v>
      </c>
      <c r="T39" s="3">
        <f t="shared" si="10"/>
        <v>19226383.329014722</v>
      </c>
      <c r="U39" s="33">
        <f t="shared" si="11"/>
        <v>30988993.497376613</v>
      </c>
      <c r="V39" s="33">
        <f t="shared" si="12"/>
        <v>11928551.856500534</v>
      </c>
      <c r="W39" s="32">
        <f t="shared" si="13"/>
        <v>1.0312334109046244</v>
      </c>
    </row>
    <row r="40" spans="1:23" x14ac:dyDescent="0.25">
      <c r="A40" s="2">
        <v>25</v>
      </c>
      <c r="B40" s="2" t="s">
        <v>159</v>
      </c>
      <c r="D40" s="3">
        <f t="shared" si="0"/>
        <v>23683594.472500347</v>
      </c>
      <c r="E40" s="3">
        <f t="shared" si="1"/>
        <v>14681118.645301461</v>
      </c>
      <c r="F40" s="3">
        <f t="shared" si="2"/>
        <v>32686070.299699232</v>
      </c>
      <c r="I40" s="2">
        <v>25</v>
      </c>
      <c r="J40" s="2" t="s">
        <v>159</v>
      </c>
      <c r="L40" s="3">
        <f t="shared" si="5"/>
        <v>21723400.888953079</v>
      </c>
      <c r="M40" s="33">
        <f t="shared" si="6"/>
        <v>28136923.450781256</v>
      </c>
      <c r="N40" s="33">
        <f t="shared" si="7"/>
        <v>16771774.888880551</v>
      </c>
      <c r="Q40" s="2">
        <v>25</v>
      </c>
      <c r="R40" s="2" t="s">
        <v>159</v>
      </c>
      <c r="T40" s="3">
        <f t="shared" si="10"/>
        <v>20010992.774692204</v>
      </c>
      <c r="U40" s="33">
        <f t="shared" si="11"/>
        <v>32290361.945882287</v>
      </c>
      <c r="V40" s="33">
        <f t="shared" si="12"/>
        <v>12401218.434773458</v>
      </c>
    </row>
    <row r="41" spans="1:23" x14ac:dyDescent="0.25">
      <c r="A41" s="2">
        <v>26</v>
      </c>
      <c r="B41" s="2" t="s">
        <v>164</v>
      </c>
      <c r="D41" s="3">
        <f t="shared" si="0"/>
        <v>24630938.251400363</v>
      </c>
      <c r="E41" s="3">
        <f t="shared" si="1"/>
        <v>15089640.255512314</v>
      </c>
      <c r="F41" s="3">
        <f t="shared" si="2"/>
        <v>34172236.247288413</v>
      </c>
      <c r="I41" s="2">
        <v>26</v>
      </c>
      <c r="J41" s="2" t="s">
        <v>164</v>
      </c>
      <c r="L41" s="3">
        <f t="shared" si="5"/>
        <v>22578062.523820654</v>
      </c>
      <c r="M41" s="33">
        <f t="shared" si="6"/>
        <v>29243911.676037338</v>
      </c>
      <c r="N41" s="33">
        <f t="shared" si="7"/>
        <v>17431625.186696991</v>
      </c>
      <c r="Q41" s="2">
        <v>26</v>
      </c>
      <c r="R41" s="2" t="s">
        <v>164</v>
      </c>
      <c r="T41" s="3">
        <f t="shared" si="10"/>
        <v>20795602.220369685</v>
      </c>
      <c r="U41" s="33">
        <f t="shared" si="11"/>
        <v>33593183.822242655</v>
      </c>
      <c r="V41" s="33">
        <f t="shared" si="12"/>
        <v>12873357.702448742</v>
      </c>
    </row>
    <row r="42" spans="1:23" x14ac:dyDescent="0.25">
      <c r="A42" s="2">
        <v>27</v>
      </c>
      <c r="B42" s="2" t="s">
        <v>165</v>
      </c>
      <c r="D42" s="3">
        <f t="shared" si="0"/>
        <v>25578282.030300375</v>
      </c>
      <c r="E42" s="3">
        <f t="shared" si="1"/>
        <v>15490254.624407601</v>
      </c>
      <c r="F42" s="3">
        <f t="shared" si="2"/>
        <v>35666309.436193153</v>
      </c>
      <c r="I42" s="2">
        <v>27</v>
      </c>
      <c r="J42" s="2" t="s">
        <v>165</v>
      </c>
      <c r="L42" s="3">
        <f t="shared" si="5"/>
        <v>23432724.158688225</v>
      </c>
      <c r="M42" s="33">
        <f t="shared" si="6"/>
        <v>30350899.901293412</v>
      </c>
      <c r="N42" s="33">
        <f t="shared" si="7"/>
        <v>18091475.484513428</v>
      </c>
      <c r="Q42" s="2">
        <v>27</v>
      </c>
      <c r="R42" s="2" t="s">
        <v>165</v>
      </c>
      <c r="T42" s="3">
        <f t="shared" si="10"/>
        <v>21580211.666047167</v>
      </c>
      <c r="U42" s="33">
        <f t="shared" si="11"/>
        <v>34897405.795529082</v>
      </c>
      <c r="V42" s="33">
        <f t="shared" si="12"/>
        <v>13344990.11989771</v>
      </c>
    </row>
    <row r="43" spans="1:23" x14ac:dyDescent="0.25">
      <c r="A43" s="2">
        <v>28</v>
      </c>
      <c r="B43" s="2" t="s">
        <v>166</v>
      </c>
      <c r="D43" s="3">
        <f t="shared" si="0"/>
        <v>26525625.809200387</v>
      </c>
      <c r="E43" s="3">
        <f t="shared" si="1"/>
        <v>15884180.441844525</v>
      </c>
      <c r="F43" s="3">
        <f t="shared" si="2"/>
        <v>37167071.176556252</v>
      </c>
      <c r="I43" s="2">
        <v>28</v>
      </c>
      <c r="J43" s="2" t="s">
        <v>166</v>
      </c>
      <c r="L43" s="3">
        <f t="shared" si="5"/>
        <v>24287385.793555796</v>
      </c>
      <c r="M43" s="33">
        <f t="shared" si="6"/>
        <v>31457888.126549486</v>
      </c>
      <c r="N43" s="33">
        <f t="shared" si="7"/>
        <v>18751325.782329865</v>
      </c>
      <c r="Q43" s="2">
        <v>28</v>
      </c>
      <c r="R43" s="2" t="s">
        <v>166</v>
      </c>
      <c r="T43" s="3">
        <f t="shared" si="10"/>
        <v>22364821.111724649</v>
      </c>
      <c r="U43" s="33">
        <f t="shared" si="11"/>
        <v>36202978.362240732</v>
      </c>
      <c r="V43" s="33">
        <f t="shared" si="12"/>
        <v>13816134.638279743</v>
      </c>
    </row>
    <row r="44" spans="1:23" x14ac:dyDescent="0.25">
      <c r="A44" s="2">
        <v>29</v>
      </c>
      <c r="B44" s="2" t="s">
        <v>167</v>
      </c>
      <c r="D44" s="3">
        <f t="shared" si="0"/>
        <v>27472969.588100404</v>
      </c>
      <c r="E44" s="3">
        <f t="shared" si="1"/>
        <v>16272409.104827043</v>
      </c>
      <c r="F44" s="3">
        <f t="shared" si="2"/>
        <v>38673530.071373761</v>
      </c>
      <c r="I44" s="2">
        <v>29</v>
      </c>
      <c r="J44" s="2" t="s">
        <v>167</v>
      </c>
      <c r="L44" s="3">
        <f t="shared" si="5"/>
        <v>25142047.428423367</v>
      </c>
      <c r="M44" s="33">
        <f t="shared" si="6"/>
        <v>32564876.351805564</v>
      </c>
      <c r="N44" s="33">
        <f t="shared" si="7"/>
        <v>19411176.080146302</v>
      </c>
      <c r="Q44" s="2">
        <v>29</v>
      </c>
      <c r="R44" s="2" t="s">
        <v>167</v>
      </c>
      <c r="T44" s="3">
        <f t="shared" si="10"/>
        <v>23149430.55740213</v>
      </c>
      <c r="U44" s="33">
        <f t="shared" si="11"/>
        <v>37509855.446751103</v>
      </c>
      <c r="V44" s="33">
        <f t="shared" si="12"/>
        <v>14286808.859947184</v>
      </c>
    </row>
    <row r="45" spans="1:23" x14ac:dyDescent="0.25">
      <c r="A45" s="2">
        <v>30</v>
      </c>
      <c r="B45" s="2" t="s">
        <v>176</v>
      </c>
      <c r="D45" s="3">
        <f t="shared" si="0"/>
        <v>28420313.367000416</v>
      </c>
      <c r="E45" s="3">
        <f t="shared" si="1"/>
        <v>16655752.863472056</v>
      </c>
      <c r="F45" s="3">
        <f t="shared" si="2"/>
        <v>40184873.870528772</v>
      </c>
      <c r="I45" s="2">
        <v>30</v>
      </c>
      <c r="J45" s="2" t="s">
        <v>176</v>
      </c>
      <c r="L45" s="3">
        <f t="shared" si="5"/>
        <v>25996709.063290942</v>
      </c>
      <c r="M45" s="33">
        <f t="shared" si="6"/>
        <v>33671864.577061646</v>
      </c>
      <c r="N45" s="33">
        <f t="shared" si="7"/>
        <v>20071026.377962738</v>
      </c>
      <c r="Q45" s="2">
        <v>30</v>
      </c>
      <c r="R45" s="2" t="s">
        <v>176</v>
      </c>
      <c r="T45" s="3">
        <f t="shared" si="10"/>
        <v>23934040.003079612</v>
      </c>
      <c r="U45" s="33">
        <f t="shared" si="11"/>
        <v>38817994.055623353</v>
      </c>
      <c r="V45" s="33">
        <f t="shared" si="12"/>
        <v>14757029.176937357</v>
      </c>
    </row>
    <row r="46" spans="1:23" x14ac:dyDescent="0.25">
      <c r="A46" s="2">
        <v>31</v>
      </c>
      <c r="B46" s="2" t="s">
        <v>177</v>
      </c>
      <c r="D46" s="3">
        <f t="shared" si="0"/>
        <v>29367657.145900432</v>
      </c>
      <c r="E46" s="3">
        <f t="shared" si="1"/>
        <v>17034881.885985754</v>
      </c>
      <c r="F46" s="3">
        <f t="shared" si="2"/>
        <v>41700432.40581511</v>
      </c>
      <c r="I46" s="2">
        <v>31</v>
      </c>
      <c r="J46" s="2" t="s">
        <v>177</v>
      </c>
      <c r="L46" s="3">
        <f t="shared" si="5"/>
        <v>26851370.698158514</v>
      </c>
      <c r="M46" s="33">
        <f t="shared" si="6"/>
        <v>34778852.802317716</v>
      </c>
      <c r="N46" s="33">
        <f t="shared" si="7"/>
        <v>20730876.675779175</v>
      </c>
      <c r="Q46" s="2">
        <v>31</v>
      </c>
      <c r="R46" s="2" t="s">
        <v>177</v>
      </c>
      <c r="T46" s="3">
        <f t="shared" si="10"/>
        <v>24718649.448757093</v>
      </c>
      <c r="U46" s="33">
        <f t="shared" si="11"/>
        <v>40127353.976992689</v>
      </c>
      <c r="V46" s="33">
        <f t="shared" si="12"/>
        <v>15226810.891165821</v>
      </c>
    </row>
    <row r="47" spans="1:23" x14ac:dyDescent="0.25">
      <c r="A47" s="2">
        <v>32</v>
      </c>
      <c r="B47" s="2" t="s">
        <v>178</v>
      </c>
      <c r="D47" s="3">
        <f t="shared" si="0"/>
        <v>30315000.924800444</v>
      </c>
      <c r="E47" s="3">
        <f t="shared" si="1"/>
        <v>17410352.907492224</v>
      </c>
      <c r="F47" s="3">
        <f t="shared" si="2"/>
        <v>43219648.942108661</v>
      </c>
      <c r="I47" s="2">
        <v>32</v>
      </c>
      <c r="J47" s="2" t="s">
        <v>178</v>
      </c>
      <c r="L47" s="3">
        <f t="shared" si="5"/>
        <v>27706032.333026085</v>
      </c>
      <c r="M47" s="33">
        <f t="shared" si="6"/>
        <v>35885841.027573794</v>
      </c>
      <c r="N47" s="33">
        <f t="shared" si="7"/>
        <v>21390726.973595612</v>
      </c>
      <c r="Q47" s="2">
        <v>32</v>
      </c>
      <c r="R47" s="2" t="s">
        <v>178</v>
      </c>
      <c r="T47" s="3">
        <f t="shared" si="10"/>
        <v>25503258.894434575</v>
      </c>
      <c r="U47" s="33">
        <f t="shared" si="11"/>
        <v>41437897.517900698</v>
      </c>
      <c r="V47" s="33">
        <f t="shared" si="12"/>
        <v>15696168.319244036</v>
      </c>
    </row>
    <row r="48" spans="1:23" x14ac:dyDescent="0.25">
      <c r="A48" s="2">
        <v>33</v>
      </c>
      <c r="B48" s="2" t="s">
        <v>179</v>
      </c>
      <c r="D48" s="3">
        <f t="shared" si="0"/>
        <v>31262344.703700457</v>
      </c>
      <c r="E48" s="3">
        <f t="shared" si="1"/>
        <v>17782631.488711797</v>
      </c>
      <c r="F48" s="3">
        <f t="shared" si="2"/>
        <v>44742057.918689117</v>
      </c>
      <c r="I48" s="2">
        <v>33</v>
      </c>
      <c r="J48" s="2" t="s">
        <v>179</v>
      </c>
      <c r="L48" s="3">
        <f t="shared" si="5"/>
        <v>28560693.967893656</v>
      </c>
      <c r="M48" s="33">
        <f t="shared" si="6"/>
        <v>36992829.252829872</v>
      </c>
      <c r="N48" s="33">
        <f t="shared" si="7"/>
        <v>22050577.271412048</v>
      </c>
      <c r="Q48" s="2">
        <v>33</v>
      </c>
      <c r="R48" s="2" t="s">
        <v>179</v>
      </c>
      <c r="T48" s="3">
        <f t="shared" si="10"/>
        <v>26287868.340112057</v>
      </c>
      <c r="U48" s="33">
        <f t="shared" si="11"/>
        <v>42749589.273762144</v>
      </c>
      <c r="V48" s="33">
        <f t="shared" si="12"/>
        <v>16165114.884301417</v>
      </c>
    </row>
    <row r="49" spans="1:22" x14ac:dyDescent="0.25">
      <c r="A49" s="2">
        <v>34</v>
      </c>
      <c r="B49" s="2" t="s">
        <v>180</v>
      </c>
      <c r="D49" s="3">
        <f t="shared" si="0"/>
        <v>32209688.482600473</v>
      </c>
      <c r="E49" s="3">
        <f t="shared" si="1"/>
        <v>18152109.411695976</v>
      </c>
      <c r="F49" s="3">
        <f t="shared" si="2"/>
        <v>46267267.553504974</v>
      </c>
      <c r="I49" s="2">
        <v>34</v>
      </c>
      <c r="J49" s="2" t="s">
        <v>180</v>
      </c>
      <c r="L49" s="3">
        <f t="shared" si="5"/>
        <v>29415355.602761228</v>
      </c>
      <c r="M49" s="33">
        <f t="shared" si="6"/>
        <v>38099817.478085943</v>
      </c>
      <c r="N49" s="33">
        <f t="shared" si="7"/>
        <v>22710427.569228485</v>
      </c>
      <c r="Q49" s="2">
        <v>34</v>
      </c>
      <c r="R49" s="2" t="s">
        <v>180</v>
      </c>
      <c r="T49" s="3">
        <f t="shared" si="10"/>
        <v>27072477.785789538</v>
      </c>
      <c r="U49" s="33">
        <f t="shared" si="11"/>
        <v>44062395.925193906</v>
      </c>
      <c r="V49" s="33">
        <f t="shared" si="12"/>
        <v>16633663.196762359</v>
      </c>
    </row>
  </sheetData>
  <mergeCells count="6">
    <mergeCell ref="E14:F14"/>
    <mergeCell ref="C6:G6"/>
    <mergeCell ref="K6:O6"/>
    <mergeCell ref="M14:N14"/>
    <mergeCell ref="S6:W6"/>
    <mergeCell ref="U14:V14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9"/>
  <sheetViews>
    <sheetView zoomScale="70" zoomScaleNormal="70" workbookViewId="0">
      <selection activeCell="O48" sqref="O48"/>
    </sheetView>
  </sheetViews>
  <sheetFormatPr defaultRowHeight="15" x14ac:dyDescent="0.25"/>
  <cols>
    <col min="1" max="1" width="9.42578125" customWidth="1"/>
    <col min="2" max="2" width="12.85546875" customWidth="1"/>
    <col min="3" max="3" width="20.28515625" customWidth="1"/>
    <col min="4" max="4" width="13.85546875" customWidth="1"/>
    <col min="5" max="5" width="14.140625" customWidth="1"/>
    <col min="6" max="6" width="14.5703125" customWidth="1"/>
    <col min="7" max="7" width="14.140625" customWidth="1"/>
    <col min="8" max="8" width="12.140625" customWidth="1"/>
    <col min="9" max="9" width="13.28515625" customWidth="1"/>
    <col min="10" max="10" width="13" customWidth="1"/>
    <col min="11" max="11" width="14.85546875" customWidth="1"/>
    <col min="12" max="12" width="12.5703125" customWidth="1"/>
  </cols>
  <sheetData>
    <row r="1" spans="1:12" x14ac:dyDescent="0.25">
      <c r="A1" t="s">
        <v>181</v>
      </c>
    </row>
    <row r="2" spans="1:12" x14ac:dyDescent="0.25">
      <c r="B2" s="18" t="s">
        <v>182</v>
      </c>
      <c r="C2" s="17" t="s">
        <v>183</v>
      </c>
    </row>
    <row r="3" spans="1:12" x14ac:dyDescent="0.25">
      <c r="B3" s="18" t="s">
        <v>184</v>
      </c>
      <c r="C3" s="17" t="s">
        <v>185</v>
      </c>
    </row>
    <row r="4" spans="1:12" x14ac:dyDescent="0.25">
      <c r="B4" s="18" t="s">
        <v>186</v>
      </c>
      <c r="C4" t="s">
        <v>187</v>
      </c>
      <c r="F4" s="19">
        <f>INTERCEPT($E$16:$E$39,$A$16:$A$39)</f>
        <v>734520.75881362148</v>
      </c>
    </row>
    <row r="5" spans="1:12" ht="15.75" thickBot="1" x14ac:dyDescent="0.3">
      <c r="C5" t="s">
        <v>188</v>
      </c>
      <c r="F5" s="19">
        <f>SLOPE($E$16:$E$39,$A$16:$A$39)</f>
        <v>1062493.7252671558</v>
      </c>
    </row>
    <row r="6" spans="1:12" x14ac:dyDescent="0.25">
      <c r="B6" s="18" t="s">
        <v>194</v>
      </c>
      <c r="C6" s="17" t="s">
        <v>195</v>
      </c>
      <c r="D6" s="27" t="s">
        <v>227</v>
      </c>
    </row>
    <row r="7" spans="1:12" ht="30.75" thickBot="1" x14ac:dyDescent="0.3">
      <c r="B7" s="18" t="s">
        <v>212</v>
      </c>
      <c r="C7" s="36" t="s">
        <v>222</v>
      </c>
      <c r="D7" s="37">
        <v>-0.03</v>
      </c>
    </row>
    <row r="8" spans="1:12" x14ac:dyDescent="0.25">
      <c r="B8" s="18" t="s">
        <v>197</v>
      </c>
      <c r="C8" s="17" t="s">
        <v>209</v>
      </c>
      <c r="F8" s="22" t="s">
        <v>210</v>
      </c>
      <c r="G8" s="24">
        <v>1</v>
      </c>
    </row>
    <row r="9" spans="1:12" x14ac:dyDescent="0.25">
      <c r="B9" s="18" t="s">
        <v>200</v>
      </c>
      <c r="C9" s="20">
        <v>9.9999999999999995E-7</v>
      </c>
    </row>
    <row r="10" spans="1:12" x14ac:dyDescent="0.25">
      <c r="B10" s="18" t="s">
        <v>204</v>
      </c>
      <c r="C10" s="17" t="s">
        <v>205</v>
      </c>
      <c r="F10" s="22" t="s">
        <v>206</v>
      </c>
    </row>
    <row r="11" spans="1:12" x14ac:dyDescent="0.25">
      <c r="B11" s="18" t="s">
        <v>207</v>
      </c>
      <c r="F11" s="17" t="s">
        <v>208</v>
      </c>
    </row>
    <row r="12" spans="1:12" x14ac:dyDescent="0.25">
      <c r="B12" s="18" t="s">
        <v>211</v>
      </c>
      <c r="C12" s="3">
        <f>IF(G8=0,    _xlfn.CONFIDENCE.NORM(C9,STDEVA(I16:I39),A39), _xlfn.CONFIDENCE.T(C9,STDEVA(I16:I39),A39) )</f>
        <v>3103043.8372438946</v>
      </c>
      <c r="D12" s="35"/>
      <c r="E12" s="35"/>
    </row>
    <row r="13" spans="1:12" x14ac:dyDescent="0.25">
      <c r="B13" s="18"/>
    </row>
    <row r="14" spans="1:12" ht="30" x14ac:dyDescent="0.25">
      <c r="A14" s="4" t="s">
        <v>20</v>
      </c>
      <c r="B14" s="4" t="s">
        <v>12</v>
      </c>
      <c r="C14" s="4" t="s">
        <v>21</v>
      </c>
      <c r="D14" s="4" t="s">
        <v>226</v>
      </c>
      <c r="E14" s="4" t="s">
        <v>223</v>
      </c>
      <c r="F14" s="4" t="s">
        <v>228</v>
      </c>
      <c r="G14" s="42" t="s">
        <v>230</v>
      </c>
      <c r="H14" s="43"/>
      <c r="I14" s="4" t="s">
        <v>229</v>
      </c>
      <c r="J14" s="4" t="s">
        <v>231</v>
      </c>
      <c r="K14" s="42" t="s">
        <v>232</v>
      </c>
      <c r="L14" s="43"/>
    </row>
    <row r="15" spans="1:12" x14ac:dyDescent="0.25">
      <c r="A15" s="4" t="s">
        <v>189</v>
      </c>
      <c r="B15" s="4"/>
      <c r="C15" s="4" t="s">
        <v>160</v>
      </c>
      <c r="D15" s="4" t="s">
        <v>225</v>
      </c>
      <c r="E15" s="4" t="s">
        <v>224</v>
      </c>
      <c r="F15" s="4" t="s">
        <v>233</v>
      </c>
      <c r="G15" s="4" t="s">
        <v>202</v>
      </c>
      <c r="H15" s="4" t="s">
        <v>203</v>
      </c>
      <c r="I15" s="4" t="s">
        <v>196</v>
      </c>
      <c r="J15" s="4" t="s">
        <v>234</v>
      </c>
      <c r="K15" s="4" t="s">
        <v>202</v>
      </c>
      <c r="L15" s="4" t="s">
        <v>203</v>
      </c>
    </row>
    <row r="16" spans="1:12" x14ac:dyDescent="0.25">
      <c r="A16" s="2">
        <v>1</v>
      </c>
      <c r="B16" s="2" t="s">
        <v>2</v>
      </c>
      <c r="C16" s="3">
        <f>'Данные для анализа'!C2</f>
        <v>1523670.1312683504</v>
      </c>
      <c r="D16" s="38">
        <f>(1+$D$7)^ ( - ($A$39-A16))</f>
        <v>2.0148842954726427</v>
      </c>
      <c r="E16" s="3">
        <f>C16*D16</f>
        <v>3070019.0189733393</v>
      </c>
      <c r="F16" s="3">
        <f>$F$4 + $F$5*$A16</f>
        <v>1797014.4840807773</v>
      </c>
      <c r="G16" s="3">
        <f>$F16 - $C$12*(1 + ($A16-$A$39/2)^2 / (STDEVA($A$16:$A$39))^2 )^0.5</f>
        <v>-3941519.5805590767</v>
      </c>
      <c r="H16" s="3">
        <f>$F16 + $C$12*(1 + ($A16-$A$39/2)^2 / (STDEVA($A$16:$A$39))^2 )^0.5</f>
        <v>7535548.5487206317</v>
      </c>
      <c r="I16" s="3">
        <f>E16 - F16</f>
        <v>1273004.5348925621</v>
      </c>
      <c r="J16" s="3">
        <f>F16 / $D16</f>
        <v>891869.81511473912</v>
      </c>
      <c r="K16" s="3">
        <f t="shared" ref="K16:L16" si="0">G16 / $D16</f>
        <v>-1956201.4500859925</v>
      </c>
      <c r="L16" s="3">
        <f t="shared" si="0"/>
        <v>3739941.0803154707</v>
      </c>
    </row>
    <row r="17" spans="1:12" x14ac:dyDescent="0.25">
      <c r="A17" s="2">
        <v>2</v>
      </c>
      <c r="B17" s="2" t="s">
        <v>3</v>
      </c>
      <c r="C17" s="3">
        <f>'Данные для анализа'!C3</f>
        <v>1899714.2822209885</v>
      </c>
      <c r="D17" s="38">
        <f t="shared" ref="D17:D49" si="1">(1+$D$7)^ ( - ($A$39-A17))</f>
        <v>1.9544377666084634</v>
      </c>
      <c r="E17" s="3">
        <f t="shared" ref="E17:E39" si="2">C17*D17</f>
        <v>3712873.3389381887</v>
      </c>
      <c r="F17" s="3">
        <f t="shared" ref="F17:F49" si="3">$F$4 + $F$5*$A17</f>
        <v>2859508.2093479331</v>
      </c>
      <c r="G17" s="3">
        <f t="shared" ref="G17:G49" si="4">$F17 - $C$12*(1 + ($A17-$A$39/2)^2 / (STDEVA($A$16:$A$39))^2 )^0.5</f>
        <v>-2515121.3748719818</v>
      </c>
      <c r="H17" s="3">
        <f t="shared" ref="H17:H49" si="5">$F17 + $C$12*(1 + ($A17-$A$39/2)^2 / (STDEVA($A$16:$A$39))^2 )^0.5</f>
        <v>8234137.7935678475</v>
      </c>
      <c r="I17" s="3">
        <f t="shared" ref="I17:I39" si="6">E17 - F17</f>
        <v>853365.12959025567</v>
      </c>
      <c r="J17" s="3">
        <f t="shared" ref="J17:J49" si="7">F17 / D17</f>
        <v>1463084.8104772549</v>
      </c>
      <c r="K17" s="3">
        <f t="shared" ref="K17:K49" si="8">G17 / $D17</f>
        <v>-1286877.1868016412</v>
      </c>
      <c r="L17" s="3">
        <f t="shared" ref="L17:L49" si="9">H17 / $D17</f>
        <v>4213046.8077561511</v>
      </c>
    </row>
    <row r="18" spans="1:12" x14ac:dyDescent="0.25">
      <c r="A18" s="2">
        <v>3</v>
      </c>
      <c r="B18" s="2" t="s">
        <v>4</v>
      </c>
      <c r="C18" s="3">
        <f>'Данные для анализа'!C4</f>
        <v>2271976.8034374709</v>
      </c>
      <c r="D18" s="38">
        <f t="shared" si="1"/>
        <v>1.8958046336102095</v>
      </c>
      <c r="E18" s="3">
        <f t="shared" si="2"/>
        <v>4307224.1514116693</v>
      </c>
      <c r="F18" s="3">
        <f t="shared" si="3"/>
        <v>3922001.9346150886</v>
      </c>
      <c r="G18" s="3">
        <f t="shared" si="4"/>
        <v>-1100713.3038138393</v>
      </c>
      <c r="H18" s="3">
        <f t="shared" si="5"/>
        <v>8944717.1730440166</v>
      </c>
      <c r="I18" s="3">
        <f t="shared" si="6"/>
        <v>385222.2167965807</v>
      </c>
      <c r="J18" s="3">
        <f t="shared" si="7"/>
        <v>2068779.5910416998</v>
      </c>
      <c r="K18" s="3">
        <f t="shared" si="8"/>
        <v>-580604.81776423042</v>
      </c>
      <c r="L18" s="3">
        <f t="shared" si="9"/>
        <v>4718163.99984763</v>
      </c>
    </row>
    <row r="19" spans="1:12" x14ac:dyDescent="0.25">
      <c r="A19" s="2">
        <v>4</v>
      </c>
      <c r="B19" s="2" t="s">
        <v>5</v>
      </c>
      <c r="C19" s="3">
        <f>'Данные для анализа'!C5</f>
        <v>2745199.6299384595</v>
      </c>
      <c r="D19" s="38">
        <f t="shared" si="1"/>
        <v>1.8389304946019032</v>
      </c>
      <c r="E19" s="3">
        <f t="shared" si="2"/>
        <v>5048231.3132636929</v>
      </c>
      <c r="F19" s="3">
        <f t="shared" si="3"/>
        <v>4984495.6598822447</v>
      </c>
      <c r="G19" s="3">
        <f t="shared" si="4"/>
        <v>299002.21656651702</v>
      </c>
      <c r="H19" s="3">
        <f t="shared" si="5"/>
        <v>9669989.1031979732</v>
      </c>
      <c r="I19" s="3">
        <f t="shared" si="6"/>
        <v>63735.653381448239</v>
      </c>
      <c r="J19" s="3">
        <f t="shared" si="7"/>
        <v>2710540.5421868879</v>
      </c>
      <c r="K19" s="3">
        <f t="shared" si="8"/>
        <v>162595.71389143006</v>
      </c>
      <c r="L19" s="3">
        <f t="shared" si="9"/>
        <v>5258485.370482346</v>
      </c>
    </row>
    <row r="20" spans="1:12" x14ac:dyDescent="0.25">
      <c r="A20" s="2">
        <v>5</v>
      </c>
      <c r="B20" s="2" t="s">
        <v>6</v>
      </c>
      <c r="C20" s="3">
        <f>'Данные для анализа'!C6</f>
        <v>3476075.5445336094</v>
      </c>
      <c r="D20" s="38">
        <f t="shared" si="1"/>
        <v>1.7837625797638461</v>
      </c>
      <c r="E20" s="3">
        <f t="shared" si="2"/>
        <v>6200493.4807712873</v>
      </c>
      <c r="F20" s="3">
        <f t="shared" si="3"/>
        <v>6046989.3851494007</v>
      </c>
      <c r="G20" s="3">
        <f t="shared" si="4"/>
        <v>1680619.6698598806</v>
      </c>
      <c r="H20" s="3">
        <f t="shared" si="5"/>
        <v>10413359.100438921</v>
      </c>
      <c r="I20" s="3">
        <f t="shared" si="6"/>
        <v>153504.09562188666</v>
      </c>
      <c r="J20" s="3">
        <f t="shared" si="7"/>
        <v>3390019.1952395183</v>
      </c>
      <c r="K20" s="3">
        <f t="shared" si="8"/>
        <v>942176.77224868082</v>
      </c>
      <c r="L20" s="3">
        <f t="shared" si="9"/>
        <v>5837861.6182303559</v>
      </c>
    </row>
    <row r="21" spans="1:12" x14ac:dyDescent="0.25">
      <c r="A21" s="2">
        <v>6</v>
      </c>
      <c r="B21" s="2" t="s">
        <v>7</v>
      </c>
      <c r="C21" s="3">
        <f>'Данные для анализа'!C7</f>
        <v>4183589.0473623835</v>
      </c>
      <c r="D21" s="38">
        <f t="shared" si="1"/>
        <v>1.7302497023709307</v>
      </c>
      <c r="E21" s="3">
        <f t="shared" si="2"/>
        <v>7238653.7040410498</v>
      </c>
      <c r="F21" s="3">
        <f t="shared" si="3"/>
        <v>7109483.1104165558</v>
      </c>
      <c r="G21" s="3">
        <f t="shared" si="4"/>
        <v>3039879.2702283515</v>
      </c>
      <c r="H21" s="3">
        <f t="shared" si="5"/>
        <v>11179086.950604759</v>
      </c>
      <c r="I21" s="3">
        <f t="shared" si="6"/>
        <v>129170.59362449404</v>
      </c>
      <c r="J21" s="3">
        <f t="shared" si="7"/>
        <v>4108934.7396936733</v>
      </c>
      <c r="K21" s="3">
        <f t="shared" si="8"/>
        <v>1756902.0622068932</v>
      </c>
      <c r="L21" s="3">
        <f t="shared" si="9"/>
        <v>6460967.4171804525</v>
      </c>
    </row>
    <row r="22" spans="1:12" x14ac:dyDescent="0.25">
      <c r="A22" s="2">
        <v>7</v>
      </c>
      <c r="B22" s="2" t="s">
        <v>8</v>
      </c>
      <c r="C22" s="3">
        <f>'Данные для анализа'!C8</f>
        <v>5380452.4239379605</v>
      </c>
      <c r="D22" s="38">
        <f t="shared" si="1"/>
        <v>1.6783422112998028</v>
      </c>
      <c r="E22" s="3">
        <f t="shared" si="2"/>
        <v>9030240.4189854208</v>
      </c>
      <c r="F22" s="3">
        <f t="shared" si="3"/>
        <v>8171976.8356837118</v>
      </c>
      <c r="G22" s="3">
        <f t="shared" si="4"/>
        <v>4371539.8103159759</v>
      </c>
      <c r="H22" s="3">
        <f t="shared" si="5"/>
        <v>11972413.861051448</v>
      </c>
      <c r="I22" s="3">
        <f t="shared" si="6"/>
        <v>858263.58330170903</v>
      </c>
      <c r="J22" s="3">
        <f t="shared" si="7"/>
        <v>4869076.6285112211</v>
      </c>
      <c r="K22" s="3">
        <f t="shared" si="8"/>
        <v>2604677.2707518386</v>
      </c>
      <c r="L22" s="3">
        <f t="shared" si="9"/>
        <v>7133475.9862706047</v>
      </c>
    </row>
    <row r="23" spans="1:12" x14ac:dyDescent="0.25">
      <c r="A23" s="2">
        <v>8</v>
      </c>
      <c r="B23" s="2" t="s">
        <v>9</v>
      </c>
      <c r="C23" s="3">
        <f>'Данные для анализа'!C9</f>
        <v>5857652.2365358304</v>
      </c>
      <c r="D23" s="38">
        <f t="shared" si="1"/>
        <v>1.6279919449608087</v>
      </c>
      <c r="E23" s="3">
        <f t="shared" si="2"/>
        <v>9536210.6574619971</v>
      </c>
      <c r="F23" s="3">
        <f t="shared" si="3"/>
        <v>9234470.5609508678</v>
      </c>
      <c r="G23" s="3">
        <f t="shared" si="4"/>
        <v>5669344.6173506062</v>
      </c>
      <c r="H23" s="3">
        <f t="shared" si="5"/>
        <v>12799596.504551129</v>
      </c>
      <c r="I23" s="3">
        <f t="shared" si="6"/>
        <v>301740.09651112929</v>
      </c>
      <c r="J23" s="3">
        <f t="shared" si="7"/>
        <v>5672307.2798576858</v>
      </c>
      <c r="K23" s="3">
        <f t="shared" si="8"/>
        <v>3482415.6439466206</v>
      </c>
      <c r="L23" s="3">
        <f t="shared" si="9"/>
        <v>7862198.9157687509</v>
      </c>
    </row>
    <row r="24" spans="1:12" x14ac:dyDescent="0.25">
      <c r="A24" s="2">
        <v>9</v>
      </c>
      <c r="B24" s="2" t="s">
        <v>10</v>
      </c>
      <c r="C24" s="3">
        <f>'Данные для анализа'!C10</f>
        <v>6511019.5831007604</v>
      </c>
      <c r="D24" s="38">
        <f t="shared" si="1"/>
        <v>1.5791521866119844</v>
      </c>
      <c r="E24" s="3">
        <f t="shared" si="2"/>
        <v>10281890.811727017</v>
      </c>
      <c r="F24" s="3">
        <f t="shared" si="3"/>
        <v>10296964.286218023</v>
      </c>
      <c r="G24" s="3">
        <f t="shared" si="4"/>
        <v>6926195.8803628199</v>
      </c>
      <c r="H24" s="3">
        <f t="shared" si="5"/>
        <v>13667732.692073226</v>
      </c>
      <c r="I24" s="3">
        <f t="shared" si="6"/>
        <v>-15073.474491005763</v>
      </c>
      <c r="J24" s="3">
        <f t="shared" si="7"/>
        <v>6520564.8787466129</v>
      </c>
      <c r="K24" s="3">
        <f t="shared" si="8"/>
        <v>4386021.7774340864</v>
      </c>
      <c r="L24" s="3">
        <f t="shared" si="9"/>
        <v>8655107.9800591394</v>
      </c>
    </row>
    <row r="25" spans="1:12" x14ac:dyDescent="0.25">
      <c r="A25" s="2">
        <v>10</v>
      </c>
      <c r="B25" s="2" t="s">
        <v>11</v>
      </c>
      <c r="C25" s="3">
        <f>'Данные для анализа'!C11</f>
        <v>7448243.4494492188</v>
      </c>
      <c r="D25" s="38">
        <f t="shared" si="1"/>
        <v>1.5317776210136249</v>
      </c>
      <c r="E25" s="3">
        <f t="shared" si="2"/>
        <v>11409052.63172764</v>
      </c>
      <c r="F25" s="3">
        <f t="shared" si="3"/>
        <v>11359458.01148518</v>
      </c>
      <c r="G25" s="3">
        <f t="shared" si="4"/>
        <v>8134680.2609532308</v>
      </c>
      <c r="H25" s="3">
        <f t="shared" si="5"/>
        <v>14584235.762017129</v>
      </c>
      <c r="I25" s="3">
        <f t="shared" si="6"/>
        <v>49594.6202424597</v>
      </c>
      <c r="J25" s="3">
        <f t="shared" si="7"/>
        <v>7415866.2821880588</v>
      </c>
      <c r="K25" s="3">
        <f t="shared" si="8"/>
        <v>5310614.37989299</v>
      </c>
      <c r="L25" s="3">
        <f t="shared" si="9"/>
        <v>9521118.1844831277</v>
      </c>
    </row>
    <row r="26" spans="1:12" x14ac:dyDescent="0.25">
      <c r="A26" s="2">
        <v>11</v>
      </c>
      <c r="B26" s="2" t="s">
        <v>13</v>
      </c>
      <c r="C26" s="3">
        <f>'Данные для анализа'!C12</f>
        <v>8915955.3337932099</v>
      </c>
      <c r="D26" s="38">
        <f t="shared" si="1"/>
        <v>1.4858242923832161</v>
      </c>
      <c r="E26" s="3">
        <f t="shared" si="2"/>
        <v>13247543.024753658</v>
      </c>
      <c r="F26" s="3">
        <f t="shared" si="3"/>
        <v>12421951.736752335</v>
      </c>
      <c r="G26" s="3">
        <f t="shared" si="4"/>
        <v>9288031.0809324626</v>
      </c>
      <c r="H26" s="3">
        <f t="shared" si="5"/>
        <v>15555872.392572207</v>
      </c>
      <c r="I26" s="3">
        <f t="shared" si="6"/>
        <v>825591.28800132312</v>
      </c>
      <c r="J26" s="3">
        <f t="shared" si="7"/>
        <v>8360310.0315636313</v>
      </c>
      <c r="K26" s="3">
        <f t="shared" si="8"/>
        <v>6251096.5317673925</v>
      </c>
      <c r="L26" s="3">
        <f t="shared" si="9"/>
        <v>10469523.531359868</v>
      </c>
    </row>
    <row r="27" spans="1:12" x14ac:dyDescent="0.25">
      <c r="A27" s="2">
        <v>12</v>
      </c>
      <c r="B27" s="2" t="s">
        <v>14</v>
      </c>
      <c r="C27" s="3">
        <f>'Данные для анализа'!C13</f>
        <v>10017461.84195617</v>
      </c>
      <c r="D27" s="38">
        <f t="shared" si="1"/>
        <v>1.4412495636117195</v>
      </c>
      <c r="E27" s="3">
        <f t="shared" si="2"/>
        <v>14437662.508216383</v>
      </c>
      <c r="F27" s="3">
        <f t="shared" si="3"/>
        <v>13484445.46201949</v>
      </c>
      <c r="G27" s="3">
        <f t="shared" si="4"/>
        <v>10381401.624775596</v>
      </c>
      <c r="H27" s="3">
        <f t="shared" si="5"/>
        <v>16587489.299263384</v>
      </c>
      <c r="I27" s="3">
        <f t="shared" si="6"/>
        <v>953217.04619689286</v>
      </c>
      <c r="J27" s="3">
        <f t="shared" si="7"/>
        <v>9356079.4760818202</v>
      </c>
      <c r="K27" s="3">
        <f t="shared" si="8"/>
        <v>7203056.213776174</v>
      </c>
      <c r="L27" s="3">
        <f t="shared" si="9"/>
        <v>11509102.738387467</v>
      </c>
    </row>
    <row r="28" spans="1:12" x14ac:dyDescent="0.25">
      <c r="A28" s="2">
        <v>13</v>
      </c>
      <c r="B28" s="2" t="s">
        <v>15</v>
      </c>
      <c r="C28" s="3">
        <f>'Данные для анализа'!C14</f>
        <v>9925208.0999999996</v>
      </c>
      <c r="D28" s="38">
        <f t="shared" si="1"/>
        <v>1.3980120767033679</v>
      </c>
      <c r="E28" s="3">
        <f t="shared" si="2"/>
        <v>13875560.787594087</v>
      </c>
      <c r="F28" s="3">
        <f t="shared" si="3"/>
        <v>14546939.187286647</v>
      </c>
      <c r="G28" s="3">
        <f t="shared" si="4"/>
        <v>11413018.531466775</v>
      </c>
      <c r="H28" s="3">
        <f t="shared" si="5"/>
        <v>17680859.843106519</v>
      </c>
      <c r="I28" s="3">
        <f t="shared" si="6"/>
        <v>-671378.39969255961</v>
      </c>
      <c r="J28" s="3">
        <f t="shared" si="7"/>
        <v>10405446.011303117</v>
      </c>
      <c r="K28" s="3">
        <f t="shared" si="8"/>
        <v>8163748.1690284451</v>
      </c>
      <c r="L28" s="3">
        <f t="shared" si="9"/>
        <v>12647143.853577789</v>
      </c>
    </row>
    <row r="29" spans="1:12" x14ac:dyDescent="0.25">
      <c r="A29" s="2">
        <v>14</v>
      </c>
      <c r="B29" s="2" t="s">
        <v>16</v>
      </c>
      <c r="C29" s="3">
        <f>'Данные для анализа'!C15</f>
        <v>10706582.1</v>
      </c>
      <c r="D29" s="38">
        <f t="shared" si="1"/>
        <v>1.3560717144022667</v>
      </c>
      <c r="E29" s="3">
        <f t="shared" si="2"/>
        <v>14518893.143735621</v>
      </c>
      <c r="F29" s="3">
        <f t="shared" si="3"/>
        <v>15609432.912553802</v>
      </c>
      <c r="G29" s="3">
        <f t="shared" si="4"/>
        <v>12384655.162021853</v>
      </c>
      <c r="H29" s="3">
        <f t="shared" si="5"/>
        <v>18834210.663085751</v>
      </c>
      <c r="I29" s="3">
        <f t="shared" si="6"/>
        <v>-1090539.768818181</v>
      </c>
      <c r="J29" s="3">
        <f t="shared" si="7"/>
        <v>11510772.436864944</v>
      </c>
      <c r="K29" s="3">
        <f t="shared" si="8"/>
        <v>9132743.5197487306</v>
      </c>
      <c r="L29" s="3">
        <f t="shared" si="9"/>
        <v>13888801.353981158</v>
      </c>
    </row>
    <row r="30" spans="1:12" x14ac:dyDescent="0.25">
      <c r="A30" s="2">
        <v>15</v>
      </c>
      <c r="B30" s="2" t="s">
        <v>17</v>
      </c>
      <c r="C30" s="3">
        <f>'Данные для анализа'!C16</f>
        <v>11852881.700000001</v>
      </c>
      <c r="D30" s="38">
        <f t="shared" si="1"/>
        <v>1.3153895629701988</v>
      </c>
      <c r="E30" s="3">
        <f t="shared" si="2"/>
        <v>15591156.87930047</v>
      </c>
      <c r="F30" s="3">
        <f t="shared" si="3"/>
        <v>16671926.637820959</v>
      </c>
      <c r="G30" s="3">
        <f t="shared" si="4"/>
        <v>13301158.231965756</v>
      </c>
      <c r="H30" s="3">
        <f t="shared" si="5"/>
        <v>20042695.04367616</v>
      </c>
      <c r="I30" s="3">
        <f t="shared" si="6"/>
        <v>-1080769.7585204896</v>
      </c>
      <c r="J30" s="3">
        <f t="shared" si="7"/>
        <v>12674516.437681872</v>
      </c>
      <c r="K30" s="3">
        <f t="shared" si="8"/>
        <v>10111953.60401921</v>
      </c>
      <c r="L30" s="3">
        <f t="shared" si="9"/>
        <v>15237079.271344533</v>
      </c>
    </row>
    <row r="31" spans="1:12" x14ac:dyDescent="0.25">
      <c r="A31" s="2">
        <v>16</v>
      </c>
      <c r="B31" s="2" t="s">
        <v>18</v>
      </c>
      <c r="C31" s="3">
        <f>'Данные для анализа'!C17</f>
        <v>12766002.800000001</v>
      </c>
      <c r="D31" s="38">
        <f t="shared" si="1"/>
        <v>1.2759278760810928</v>
      </c>
      <c r="E31" s="3">
        <f t="shared" si="2"/>
        <v>16288498.838649284</v>
      </c>
      <c r="F31" s="3">
        <f t="shared" si="3"/>
        <v>17734420.363088116</v>
      </c>
      <c r="G31" s="3">
        <f t="shared" si="4"/>
        <v>14169294.419487854</v>
      </c>
      <c r="H31" s="3">
        <f t="shared" si="5"/>
        <v>21299546.306688376</v>
      </c>
      <c r="I31" s="3">
        <f t="shared" si="6"/>
        <v>-1445921.524438832</v>
      </c>
      <c r="J31" s="3">
        <f t="shared" si="7"/>
        <v>13899234.193046965</v>
      </c>
      <c r="K31" s="3">
        <f t="shared" si="8"/>
        <v>11105090.40919121</v>
      </c>
      <c r="L31" s="3">
        <f t="shared" si="9"/>
        <v>16693377.976902718</v>
      </c>
    </row>
    <row r="32" spans="1:12" x14ac:dyDescent="0.25">
      <c r="A32" s="2">
        <v>17</v>
      </c>
      <c r="B32" s="2" t="s">
        <v>19</v>
      </c>
      <c r="C32" s="3">
        <f>'Данные для анализа'!C18</f>
        <v>13515794</v>
      </c>
      <c r="D32" s="38">
        <f t="shared" si="1"/>
        <v>1.2376500397986601</v>
      </c>
      <c r="E32" s="3">
        <f t="shared" si="2"/>
        <v>16727822.982010491</v>
      </c>
      <c r="F32" s="3">
        <f t="shared" si="3"/>
        <v>18796914.088355273</v>
      </c>
      <c r="G32" s="3">
        <f t="shared" si="4"/>
        <v>14996477.062987536</v>
      </c>
      <c r="H32" s="3">
        <f t="shared" si="5"/>
        <v>22597351.11372301</v>
      </c>
      <c r="I32" s="3">
        <f t="shared" si="6"/>
        <v>-2069091.1063447818</v>
      </c>
      <c r="J32" s="3">
        <f t="shared" si="7"/>
        <v>15187584.118215792</v>
      </c>
      <c r="K32" s="3">
        <f t="shared" si="8"/>
        <v>12116896.199047633</v>
      </c>
      <c r="L32" s="3">
        <f t="shared" si="9"/>
        <v>18258272.037383951</v>
      </c>
    </row>
    <row r="33" spans="1:12" x14ac:dyDescent="0.25">
      <c r="A33" s="2">
        <v>18</v>
      </c>
      <c r="B33" s="2" t="s">
        <v>34</v>
      </c>
      <c r="C33" s="3">
        <f>'Данные для анализа'!C19</f>
        <v>13615271.9</v>
      </c>
      <c r="D33" s="38">
        <f t="shared" si="1"/>
        <v>1.2005205386047002</v>
      </c>
      <c r="E33" s="3">
        <f t="shared" si="2"/>
        <v>16345413.55463744</v>
      </c>
      <c r="F33" s="3">
        <f t="shared" si="3"/>
        <v>19859407.813622423</v>
      </c>
      <c r="G33" s="3">
        <f t="shared" si="4"/>
        <v>15789803.973434217</v>
      </c>
      <c r="H33" s="3">
        <f t="shared" si="5"/>
        <v>23929011.653810628</v>
      </c>
      <c r="I33" s="3">
        <f t="shared" si="6"/>
        <v>-3513994.258984983</v>
      </c>
      <c r="J33" s="3">
        <f t="shared" si="7"/>
        <v>16542330.743215716</v>
      </c>
      <c r="K33" s="3">
        <f t="shared" si="8"/>
        <v>13152464.67318739</v>
      </c>
      <c r="L33" s="3">
        <f t="shared" si="9"/>
        <v>19932196.813244045</v>
      </c>
    </row>
    <row r="34" spans="1:12" x14ac:dyDescent="0.25">
      <c r="A34" s="2">
        <v>19</v>
      </c>
      <c r="B34" s="2" t="s">
        <v>35</v>
      </c>
      <c r="C34" s="3">
        <f>'Данные для анализа'!C20</f>
        <v>14544325.699999999</v>
      </c>
      <c r="D34" s="38">
        <f t="shared" si="1"/>
        <v>1.1645049224465593</v>
      </c>
      <c r="E34" s="3">
        <f t="shared" si="2"/>
        <v>16936938.871316001</v>
      </c>
      <c r="F34" s="3">
        <f t="shared" si="3"/>
        <v>20921901.538889579</v>
      </c>
      <c r="G34" s="3">
        <f t="shared" si="4"/>
        <v>16555531.823600059</v>
      </c>
      <c r="H34" s="3">
        <f t="shared" si="5"/>
        <v>25288271.254179098</v>
      </c>
      <c r="I34" s="3">
        <f t="shared" si="6"/>
        <v>-3984962.6675735787</v>
      </c>
      <c r="J34" s="3">
        <f t="shared" si="7"/>
        <v>17966348.733789671</v>
      </c>
      <c r="K34" s="3">
        <f t="shared" si="8"/>
        <v>14216798.490484538</v>
      </c>
      <c r="L34" s="3">
        <f t="shared" si="9"/>
        <v>21715898.977094799</v>
      </c>
    </row>
    <row r="35" spans="1:12" x14ac:dyDescent="0.25">
      <c r="A35" s="2">
        <v>20</v>
      </c>
      <c r="B35" s="2" t="s">
        <v>45</v>
      </c>
      <c r="C35" s="3">
        <f>'Данные для анализа'!C21</f>
        <v>16406490.399999999</v>
      </c>
      <c r="D35" s="38">
        <f t="shared" si="1"/>
        <v>1.1295697747731623</v>
      </c>
      <c r="E35" s="3">
        <f t="shared" si="2"/>
        <v>18532275.665946048</v>
      </c>
      <c r="F35" s="3">
        <f t="shared" si="3"/>
        <v>21984395.264156736</v>
      </c>
      <c r="G35" s="3">
        <f t="shared" si="4"/>
        <v>17298901.820841007</v>
      </c>
      <c r="H35" s="3">
        <f t="shared" si="5"/>
        <v>26669888.707472466</v>
      </c>
      <c r="I35" s="3">
        <f t="shared" si="6"/>
        <v>-3452119.5982106887</v>
      </c>
      <c r="J35" s="3">
        <f t="shared" si="7"/>
        <v>19462627.059556011</v>
      </c>
      <c r="K35" s="3">
        <f t="shared" si="8"/>
        <v>15314593.402886452</v>
      </c>
      <c r="L35" s="3">
        <f t="shared" si="9"/>
        <v>23610660.716225568</v>
      </c>
    </row>
    <row r="36" spans="1:12" x14ac:dyDescent="0.25">
      <c r="A36" s="2">
        <v>21</v>
      </c>
      <c r="B36" s="2" t="s">
        <v>46</v>
      </c>
      <c r="C36" s="3">
        <f>'Данные для анализа'!C22</f>
        <v>19738622.600000001</v>
      </c>
      <c r="D36" s="38">
        <f t="shared" si="1"/>
        <v>1.0956826815299676</v>
      </c>
      <c r="E36" s="3">
        <f t="shared" si="2"/>
        <v>21627266.940076023</v>
      </c>
      <c r="F36" s="3">
        <f t="shared" si="3"/>
        <v>23046888.989423893</v>
      </c>
      <c r="G36" s="3">
        <f t="shared" si="4"/>
        <v>18024173.750994965</v>
      </c>
      <c r="H36" s="3">
        <f t="shared" si="5"/>
        <v>28069604.227852821</v>
      </c>
      <c r="I36" s="3">
        <f t="shared" si="6"/>
        <v>-1419622.0493478701</v>
      </c>
      <c r="J36" s="3">
        <f t="shared" si="7"/>
        <v>21034273.314644471</v>
      </c>
      <c r="K36" s="3">
        <f t="shared" si="8"/>
        <v>16450176.729841826</v>
      </c>
      <c r="L36" s="3">
        <f t="shared" si="9"/>
        <v>25618369.899447113</v>
      </c>
    </row>
    <row r="37" spans="1:12" x14ac:dyDescent="0.25">
      <c r="A37" s="2">
        <v>22</v>
      </c>
      <c r="B37" s="2" t="s">
        <v>47</v>
      </c>
      <c r="C37" s="3">
        <f>'Данные для анализа'!C23</f>
        <v>24340433.200000003</v>
      </c>
      <c r="D37" s="38">
        <f t="shared" si="1"/>
        <v>1.0628122010840686</v>
      </c>
      <c r="E37" s="3">
        <f t="shared" si="2"/>
        <v>25869309.384631742</v>
      </c>
      <c r="F37" s="3">
        <f t="shared" si="3"/>
        <v>24109382.71469105</v>
      </c>
      <c r="G37" s="3">
        <f t="shared" si="4"/>
        <v>18734753.130471136</v>
      </c>
      <c r="H37" s="3">
        <f t="shared" si="5"/>
        <v>29484012.298910964</v>
      </c>
      <c r="I37" s="3">
        <f t="shared" si="6"/>
        <v>1759926.6699406914</v>
      </c>
      <c r="J37" s="3">
        <f t="shared" si="7"/>
        <v>22684518.196252804</v>
      </c>
      <c r="K37" s="3">
        <f t="shared" si="8"/>
        <v>17627529.220460288</v>
      </c>
      <c r="L37" s="3">
        <f t="shared" si="9"/>
        <v>27741507.172045324</v>
      </c>
    </row>
    <row r="38" spans="1:12" x14ac:dyDescent="0.25">
      <c r="A38" s="2">
        <v>23</v>
      </c>
      <c r="B38" s="2" t="s">
        <v>48</v>
      </c>
      <c r="C38" s="3">
        <f>'Данные для анализа'!C24</f>
        <v>29177253.5</v>
      </c>
      <c r="D38" s="38">
        <f t="shared" si="1"/>
        <v>1.0309278350515465</v>
      </c>
      <c r="E38" s="3">
        <f t="shared" si="2"/>
        <v>30079642.783505157</v>
      </c>
      <c r="F38" s="3">
        <f t="shared" si="3"/>
        <v>25171876.439958207</v>
      </c>
      <c r="G38" s="3">
        <f t="shared" si="4"/>
        <v>19433342.375318352</v>
      </c>
      <c r="H38" s="3">
        <f t="shared" si="5"/>
        <v>30910410.504598062</v>
      </c>
      <c r="I38" s="3">
        <f t="shared" si="6"/>
        <v>4907766.3435469493</v>
      </c>
      <c r="J38" s="3">
        <f t="shared" si="7"/>
        <v>24416720.146759458</v>
      </c>
      <c r="K38" s="3">
        <f t="shared" si="8"/>
        <v>18850342.104058798</v>
      </c>
      <c r="L38" s="3">
        <f t="shared" si="9"/>
        <v>29983098.189460117</v>
      </c>
    </row>
    <row r="39" spans="1:12" x14ac:dyDescent="0.25">
      <c r="A39" s="2">
        <v>24</v>
      </c>
      <c r="B39" s="2" t="s">
        <v>49</v>
      </c>
      <c r="C39" s="3">
        <f>'Данные для анализа'!C25</f>
        <v>32463740.899999999</v>
      </c>
      <c r="D39" s="38">
        <f t="shared" si="1"/>
        <v>1</v>
      </c>
      <c r="E39" s="3">
        <f t="shared" si="2"/>
        <v>32463740.899999999</v>
      </c>
      <c r="F39" s="3">
        <f t="shared" si="3"/>
        <v>26234370.165225357</v>
      </c>
      <c r="G39" s="3">
        <f t="shared" si="4"/>
        <v>20122082.664074387</v>
      </c>
      <c r="H39" s="3">
        <f t="shared" si="5"/>
        <v>32346657.666376326</v>
      </c>
      <c r="I39" s="3">
        <f t="shared" si="6"/>
        <v>6229370.7347746417</v>
      </c>
      <c r="J39" s="3">
        <f t="shared" si="7"/>
        <v>26234370.165225357</v>
      </c>
      <c r="K39" s="3">
        <f t="shared" si="8"/>
        <v>20122082.664074387</v>
      </c>
      <c r="L39" s="3">
        <f t="shared" si="9"/>
        <v>32346657.666376326</v>
      </c>
    </row>
    <row r="40" spans="1:12" x14ac:dyDescent="0.25">
      <c r="A40" s="2">
        <v>25</v>
      </c>
      <c r="B40" s="2" t="s">
        <v>159</v>
      </c>
      <c r="D40" s="38">
        <f t="shared" si="1"/>
        <v>0.97</v>
      </c>
      <c r="F40" s="3">
        <f t="shared" si="3"/>
        <v>27296863.890492514</v>
      </c>
      <c r="G40" s="3">
        <f t="shared" si="4"/>
        <v>20802674.254775442</v>
      </c>
      <c r="H40" s="3">
        <f t="shared" si="5"/>
        <v>33791053.526209585</v>
      </c>
      <c r="J40" s="3">
        <f t="shared" si="7"/>
        <v>28141096.794322181</v>
      </c>
      <c r="K40" s="3">
        <f t="shared" si="8"/>
        <v>21446055.93275819</v>
      </c>
      <c r="L40" s="3">
        <f t="shared" si="9"/>
        <v>34836137.655886173</v>
      </c>
    </row>
    <row r="41" spans="1:12" x14ac:dyDescent="0.25">
      <c r="A41" s="2">
        <v>26</v>
      </c>
      <c r="B41" s="2" t="s">
        <v>164</v>
      </c>
      <c r="D41" s="38">
        <f t="shared" si="1"/>
        <v>0.94089999999999996</v>
      </c>
      <c r="F41" s="3">
        <f t="shared" si="3"/>
        <v>28359357.615759671</v>
      </c>
      <c r="G41" s="3">
        <f t="shared" si="4"/>
        <v>21476473.424171235</v>
      </c>
      <c r="H41" s="3">
        <f t="shared" si="5"/>
        <v>35242241.807348102</v>
      </c>
      <c r="J41" s="3">
        <f t="shared" si="7"/>
        <v>30140671.288935777</v>
      </c>
      <c r="K41" s="3">
        <f t="shared" si="8"/>
        <v>22825457.991466932</v>
      </c>
      <c r="L41" s="3">
        <f t="shared" si="9"/>
        <v>37455884.586404614</v>
      </c>
    </row>
    <row r="42" spans="1:12" x14ac:dyDescent="0.25">
      <c r="A42" s="2">
        <v>27</v>
      </c>
      <c r="B42" s="2" t="s">
        <v>165</v>
      </c>
      <c r="D42" s="38">
        <f t="shared" si="1"/>
        <v>0.91267299999999996</v>
      </c>
      <c r="F42" s="3">
        <f t="shared" si="3"/>
        <v>29421851.341026828</v>
      </c>
      <c r="G42" s="3">
        <f t="shared" si="4"/>
        <v>22144568.482210964</v>
      </c>
      <c r="H42" s="3">
        <f t="shared" si="5"/>
        <v>36699134.199842691</v>
      </c>
      <c r="J42" s="3">
        <f t="shared" si="7"/>
        <v>32237012.972912345</v>
      </c>
      <c r="K42" s="3">
        <f t="shared" si="8"/>
        <v>24263420.175912913</v>
      </c>
      <c r="L42" s="3">
        <f t="shared" si="9"/>
        <v>40210605.769911781</v>
      </c>
    </row>
    <row r="43" spans="1:12" x14ac:dyDescent="0.25">
      <c r="A43" s="2">
        <v>28</v>
      </c>
      <c r="B43" s="2" t="s">
        <v>166</v>
      </c>
      <c r="D43" s="38">
        <f t="shared" si="1"/>
        <v>0.88529280999999993</v>
      </c>
      <c r="F43" s="3">
        <f t="shared" si="3"/>
        <v>30484345.066293985</v>
      </c>
      <c r="G43" s="3">
        <f t="shared" si="4"/>
        <v>22807838.565166876</v>
      </c>
      <c r="H43" s="3">
        <f t="shared" si="5"/>
        <v>38160851.567421094</v>
      </c>
      <c r="J43" s="3">
        <f t="shared" si="7"/>
        <v>34434194.790641062</v>
      </c>
      <c r="K43" s="3">
        <f t="shared" si="8"/>
        <v>25763045.071118195</v>
      </c>
      <c r="L43" s="3">
        <f t="shared" si="9"/>
        <v>43105344.510163926</v>
      </c>
    </row>
    <row r="44" spans="1:12" x14ac:dyDescent="0.25">
      <c r="A44" s="2">
        <v>29</v>
      </c>
      <c r="B44" s="2" t="s">
        <v>167</v>
      </c>
      <c r="D44" s="38">
        <f t="shared" si="1"/>
        <v>0.8587340256999999</v>
      </c>
      <c r="F44" s="3">
        <f t="shared" si="3"/>
        <v>31546838.791561142</v>
      </c>
      <c r="G44" s="3">
        <f t="shared" si="4"/>
        <v>23466998.845206227</v>
      </c>
      <c r="H44" s="3">
        <f t="shared" si="5"/>
        <v>39626678.737916052</v>
      </c>
      <c r="J44" s="3">
        <f t="shared" si="7"/>
        <v>36736449.060401015</v>
      </c>
      <c r="K44" s="3">
        <f t="shared" si="8"/>
        <v>27327435.670290373</v>
      </c>
      <c r="L44" s="3">
        <f t="shared" si="9"/>
        <v>46145462.450511649</v>
      </c>
    </row>
    <row r="45" spans="1:12" x14ac:dyDescent="0.25">
      <c r="A45" s="2">
        <v>30</v>
      </c>
      <c r="B45" s="2" t="s">
        <v>176</v>
      </c>
      <c r="D45" s="38">
        <f t="shared" si="1"/>
        <v>0.83297200492899992</v>
      </c>
      <c r="F45" s="3">
        <f t="shared" si="3"/>
        <v>32609332.516828299</v>
      </c>
      <c r="G45" s="3">
        <f t="shared" si="4"/>
        <v>24122635.261840779</v>
      </c>
      <c r="H45" s="3">
        <f t="shared" si="5"/>
        <v>41096029.771815822</v>
      </c>
      <c r="J45" s="3">
        <f t="shared" si="7"/>
        <v>39148173.436642475</v>
      </c>
      <c r="K45" s="3">
        <f t="shared" si="8"/>
        <v>28959719.077109825</v>
      </c>
      <c r="L45" s="3">
        <f t="shared" si="9"/>
        <v>49336627.796175122</v>
      </c>
    </row>
    <row r="46" spans="1:12" x14ac:dyDescent="0.25">
      <c r="A46" s="2">
        <v>31</v>
      </c>
      <c r="B46" s="2" t="s">
        <v>177</v>
      </c>
      <c r="D46" s="38">
        <f t="shared" si="1"/>
        <v>0.80798284478112992</v>
      </c>
      <c r="F46" s="3">
        <f t="shared" si="3"/>
        <v>33671826.242095448</v>
      </c>
      <c r="G46" s="3">
        <f t="shared" si="4"/>
        <v>24775231.259791985</v>
      </c>
      <c r="H46" s="3">
        <f t="shared" si="5"/>
        <v>42568421.224398911</v>
      </c>
      <c r="J46" s="3">
        <f t="shared" si="7"/>
        <v>41673937.088622995</v>
      </c>
      <c r="K46" s="3">
        <f t="shared" si="8"/>
        <v>30663065.954702556</v>
      </c>
      <c r="L46" s="3">
        <f t="shared" si="9"/>
        <v>52684808.222543433</v>
      </c>
    </row>
    <row r="47" spans="1:12" x14ac:dyDescent="0.25">
      <c r="A47" s="2">
        <v>32</v>
      </c>
      <c r="B47" s="2" t="s">
        <v>178</v>
      </c>
      <c r="D47" s="38">
        <f t="shared" si="1"/>
        <v>0.78374335943769602</v>
      </c>
      <c r="F47" s="3">
        <f t="shared" si="3"/>
        <v>34734319.967362605</v>
      </c>
      <c r="G47" s="3">
        <f t="shared" si="4"/>
        <v>25425188.455630921</v>
      </c>
      <c r="H47" s="3">
        <f t="shared" si="5"/>
        <v>44043451.479094289</v>
      </c>
      <c r="J47" s="3">
        <f t="shared" si="7"/>
        <v>44318487.10307806</v>
      </c>
      <c r="K47" s="3">
        <f t="shared" si="8"/>
        <v>32440706.70515468</v>
      </c>
      <c r="L47" s="3">
        <f t="shared" si="9"/>
        <v>56196267.50100144</v>
      </c>
    </row>
    <row r="48" spans="1:12" x14ac:dyDescent="0.25">
      <c r="A48" s="2">
        <v>33</v>
      </c>
      <c r="B48" s="2" t="s">
        <v>179</v>
      </c>
      <c r="D48" s="38">
        <f t="shared" si="1"/>
        <v>0.76023105865456508</v>
      </c>
      <c r="F48" s="3">
        <f t="shared" si="3"/>
        <v>35796813.692629762</v>
      </c>
      <c r="G48" s="3">
        <f t="shared" si="4"/>
        <v>26072842.694703102</v>
      </c>
      <c r="H48" s="3">
        <f t="shared" si="5"/>
        <v>45520784.690556422</v>
      </c>
      <c r="J48" s="3">
        <f t="shared" si="7"/>
        <v>47086755.118873894</v>
      </c>
      <c r="K48" s="3">
        <f t="shared" si="8"/>
        <v>34295945.157576256</v>
      </c>
      <c r="L48" s="3">
        <f t="shared" si="9"/>
        <v>59877565.080171533</v>
      </c>
    </row>
    <row r="49" spans="1:12" x14ac:dyDescent="0.25">
      <c r="A49" s="2">
        <v>34</v>
      </c>
      <c r="B49" s="2" t="s">
        <v>180</v>
      </c>
      <c r="D49" s="38">
        <f t="shared" si="1"/>
        <v>0.7374241268949282</v>
      </c>
      <c r="F49" s="3">
        <f t="shared" si="3"/>
        <v>36859307.417896919</v>
      </c>
      <c r="G49" s="3">
        <f t="shared" si="4"/>
        <v>26718476.600032136</v>
      </c>
      <c r="H49" s="3">
        <f t="shared" si="5"/>
        <v>47000138.235761702</v>
      </c>
      <c r="J49" s="3">
        <f t="shared" si="7"/>
        <v>49983864.201867662</v>
      </c>
      <c r="K49" s="3">
        <f t="shared" si="8"/>
        <v>36232170.369222425</v>
      </c>
      <c r="L49" s="3">
        <f t="shared" si="9"/>
        <v>63735558.0345129</v>
      </c>
    </row>
  </sheetData>
  <mergeCells count="2">
    <mergeCell ref="G14:H14"/>
    <mergeCell ref="K14:L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CD3B5-C810-4EB9-96C2-C3758B114EBB}">
  <dimension ref="A1:I49"/>
  <sheetViews>
    <sheetView zoomScale="85" zoomScaleNormal="85" workbookViewId="0">
      <selection activeCell="D11" sqref="D11"/>
    </sheetView>
  </sheetViews>
  <sheetFormatPr defaultRowHeight="15" x14ac:dyDescent="0.25"/>
  <cols>
    <col min="1" max="1" width="9.42578125" customWidth="1"/>
    <col min="2" max="2" width="12.85546875" customWidth="1"/>
    <col min="3" max="4" width="20.28515625" customWidth="1"/>
    <col min="5" max="5" width="14.140625" customWidth="1"/>
    <col min="6" max="6" width="12.140625" customWidth="1"/>
    <col min="7" max="7" width="11.85546875" customWidth="1"/>
    <col min="8" max="8" width="13.28515625" customWidth="1"/>
    <col min="9" max="9" width="15" customWidth="1"/>
  </cols>
  <sheetData>
    <row r="1" spans="1:9" x14ac:dyDescent="0.25">
      <c r="A1" t="s">
        <v>181</v>
      </c>
    </row>
    <row r="2" spans="1:9" x14ac:dyDescent="0.25">
      <c r="B2" s="18" t="s">
        <v>182</v>
      </c>
      <c r="C2" s="17" t="s">
        <v>183</v>
      </c>
    </row>
    <row r="3" spans="1:9" x14ac:dyDescent="0.25">
      <c r="B3" s="18" t="s">
        <v>184</v>
      </c>
      <c r="C3" s="17" t="s">
        <v>185</v>
      </c>
    </row>
    <row r="4" spans="1:9" x14ac:dyDescent="0.25">
      <c r="B4" s="18" t="s">
        <v>186</v>
      </c>
      <c r="C4" t="s">
        <v>187</v>
      </c>
      <c r="D4" s="19">
        <f>INTERCEPT($C$16:$C$39,$A$16:$A$39)</f>
        <v>-2309816.67578818</v>
      </c>
    </row>
    <row r="5" spans="1:9" x14ac:dyDescent="0.25">
      <c r="C5" t="s">
        <v>188</v>
      </c>
      <c r="D5" s="19">
        <f>SLOPE($C$16:$C$39,$A$16:$A$39)</f>
        <v>801806.33146461367</v>
      </c>
    </row>
    <row r="6" spans="1:9" x14ac:dyDescent="0.25">
      <c r="B6" s="18" t="s">
        <v>194</v>
      </c>
      <c r="C6" s="17" t="s">
        <v>195</v>
      </c>
    </row>
    <row r="7" spans="1:9" x14ac:dyDescent="0.25">
      <c r="B7" s="18" t="s">
        <v>212</v>
      </c>
      <c r="C7" s="17" t="s">
        <v>213</v>
      </c>
    </row>
    <row r="8" spans="1:9" x14ac:dyDescent="0.25">
      <c r="B8" s="18" t="s">
        <v>197</v>
      </c>
      <c r="C8" s="17" t="s">
        <v>209</v>
      </c>
      <c r="D8" s="22" t="s">
        <v>210</v>
      </c>
      <c r="E8" s="24">
        <v>1</v>
      </c>
    </row>
    <row r="9" spans="1:9" x14ac:dyDescent="0.25">
      <c r="B9" s="18" t="s">
        <v>200</v>
      </c>
      <c r="C9" s="20">
        <v>9.9999999999999995E-7</v>
      </c>
    </row>
    <row r="10" spans="1:9" x14ac:dyDescent="0.25">
      <c r="B10" s="18" t="s">
        <v>204</v>
      </c>
      <c r="C10" s="17" t="s">
        <v>205</v>
      </c>
      <c r="D10" s="22" t="s">
        <v>206</v>
      </c>
    </row>
    <row r="11" spans="1:9" x14ac:dyDescent="0.25">
      <c r="B11" s="18" t="s">
        <v>207</v>
      </c>
      <c r="D11" s="17" t="s">
        <v>208</v>
      </c>
    </row>
    <row r="12" spans="1:9" x14ac:dyDescent="0.25">
      <c r="B12" s="18" t="s">
        <v>211</v>
      </c>
      <c r="C12" s="3">
        <f>IF(E8=0,    _xlfn.CONFIDENCE.NORM(C9,STDEVA(H16:H39),A39), _xlfn.CONFIDENCE.T(C9,STDEVA(H16:H39),A39) )</f>
        <v>2794928.9816909079</v>
      </c>
    </row>
    <row r="13" spans="1:9" x14ac:dyDescent="0.25">
      <c r="B13" s="18"/>
    </row>
    <row r="14" spans="1:9" x14ac:dyDescent="0.25">
      <c r="A14" s="4" t="s">
        <v>20</v>
      </c>
      <c r="B14" s="4" t="s">
        <v>12</v>
      </c>
      <c r="C14" s="4" t="str">
        <f>'Данные для анализа'!D1</f>
        <v xml:space="preserve"> ВДС</v>
      </c>
      <c r="D14" s="4" t="s">
        <v>191</v>
      </c>
      <c r="E14" s="42" t="s">
        <v>201</v>
      </c>
      <c r="F14" s="43"/>
      <c r="G14" s="4" t="s">
        <v>191</v>
      </c>
      <c r="H14" s="4" t="s">
        <v>193</v>
      </c>
      <c r="I14" s="4" t="s">
        <v>198</v>
      </c>
    </row>
    <row r="15" spans="1:9" x14ac:dyDescent="0.25">
      <c r="A15" s="4" t="s">
        <v>189</v>
      </c>
      <c r="B15" s="4"/>
      <c r="C15" s="4" t="s">
        <v>160</v>
      </c>
      <c r="D15" s="4" t="s">
        <v>190</v>
      </c>
      <c r="E15" s="4" t="s">
        <v>202</v>
      </c>
      <c r="F15" s="4" t="s">
        <v>203</v>
      </c>
      <c r="G15" s="4" t="s">
        <v>192</v>
      </c>
      <c r="H15" s="4" t="s">
        <v>196</v>
      </c>
      <c r="I15" s="4" t="s">
        <v>199</v>
      </c>
    </row>
    <row r="16" spans="1:9" x14ac:dyDescent="0.25">
      <c r="A16" s="2">
        <v>1</v>
      </c>
      <c r="B16" s="2" t="s">
        <v>2</v>
      </c>
      <c r="C16" s="3">
        <f>'Данные для анализа'!D2</f>
        <v>854871.14703622425</v>
      </c>
      <c r="D16" s="3">
        <f>$D$4 + $D$5*$A16</f>
        <v>-1508010.3443235662</v>
      </c>
      <c r="E16" s="3">
        <f>$D16 - $C$12*(1 + ($A16-$A$39/2)^2 / (STDEVA($A$16:$A$39))^2 )^0.5</f>
        <v>-6676740.1499353414</v>
      </c>
      <c r="F16" s="3">
        <f>$D16 + $C$12*(1 + ($A16-$A$39/2)^2 / (STDEVA($A$16:$A$39))^2 )^0.5</f>
        <v>3660719.4612882091</v>
      </c>
      <c r="G16" s="3">
        <f>FORECAST($A16,$C$16:$C$39,$A$16:$A$39)</f>
        <v>-1508010.3443235662</v>
      </c>
      <c r="H16" s="3">
        <f>C16 - D16</f>
        <v>2362881.4913597903</v>
      </c>
      <c r="I16" s="3">
        <f t="shared" ref="I16:I39" si="0">SMALL($H$16:$H$39,A16)</f>
        <v>-2936519.2220394779</v>
      </c>
    </row>
    <row r="17" spans="1:9" x14ac:dyDescent="0.25">
      <c r="A17" s="2">
        <v>2</v>
      </c>
      <c r="B17" s="2" t="s">
        <v>3</v>
      </c>
      <c r="C17" s="3">
        <f>'Данные для анализа'!D3</f>
        <v>1139219.2493035407</v>
      </c>
      <c r="D17" s="3">
        <f t="shared" ref="D17:D49" si="1">$D$4 + $D$5*$A17</f>
        <v>-706204.01285895263</v>
      </c>
      <c r="E17" s="3">
        <f t="shared" ref="E17:E49" si="2">$D17 - $C$12*(1 + ($A17-$A$39/2)^2 / (STDEVA($A$16:$A$39))^2 )^0.5</f>
        <v>-5547163.0126943486</v>
      </c>
      <c r="F17" s="3">
        <f t="shared" ref="F17:F49" si="3">$D17 + $C$12*(1 + ($A17-$A$39/2)^2 / (STDEVA($A$16:$A$39))^2 )^0.5</f>
        <v>4134754.9869764438</v>
      </c>
      <c r="G17" s="3">
        <f t="shared" ref="G17:G49" si="4">FORECAST($A17,$C$16:$C$39,$A$16:$A$39)</f>
        <v>-706204.01285895263</v>
      </c>
      <c r="H17" s="3">
        <f t="shared" ref="H17:H39" si="5">C17 - D17</f>
        <v>1845423.2621624933</v>
      </c>
      <c r="I17" s="3">
        <f t="shared" si="0"/>
        <v>-2804257.090574868</v>
      </c>
    </row>
    <row r="18" spans="1:9" x14ac:dyDescent="0.25">
      <c r="A18" s="2">
        <v>3</v>
      </c>
      <c r="B18" s="2" t="s">
        <v>4</v>
      </c>
      <c r="C18" s="3">
        <f>'Данные для анализа'!D4</f>
        <v>1403738.508618192</v>
      </c>
      <c r="D18" s="3">
        <f t="shared" si="1"/>
        <v>95602.318605660927</v>
      </c>
      <c r="E18" s="3">
        <f t="shared" si="2"/>
        <v>-4428385.4569373857</v>
      </c>
      <c r="F18" s="3">
        <f t="shared" si="3"/>
        <v>4619590.0941487085</v>
      </c>
      <c r="G18" s="3">
        <f t="shared" si="4"/>
        <v>95602.318605660927</v>
      </c>
      <c r="H18" s="3">
        <f t="shared" si="5"/>
        <v>1308136.1900125311</v>
      </c>
      <c r="I18" s="3">
        <f t="shared" si="0"/>
        <v>-2431023.2591102514</v>
      </c>
    </row>
    <row r="19" spans="1:9" x14ac:dyDescent="0.25">
      <c r="A19" s="2">
        <v>4</v>
      </c>
      <c r="B19" s="2" t="s">
        <v>5</v>
      </c>
      <c r="C19" s="3">
        <f>'Данные для анализа'!D5</f>
        <v>1677617.7878271635</v>
      </c>
      <c r="D19" s="3">
        <f t="shared" si="1"/>
        <v>897408.65007027471</v>
      </c>
      <c r="E19" s="3">
        <f t="shared" si="2"/>
        <v>-3322841.5639509703</v>
      </c>
      <c r="F19" s="3">
        <f t="shared" si="3"/>
        <v>5117658.8640915193</v>
      </c>
      <c r="G19" s="3">
        <f t="shared" si="4"/>
        <v>897408.65007027471</v>
      </c>
      <c r="H19" s="3">
        <f t="shared" si="5"/>
        <v>780209.13775688875</v>
      </c>
      <c r="I19" s="3">
        <f t="shared" si="0"/>
        <v>-2083797.5276456382</v>
      </c>
    </row>
    <row r="20" spans="1:9" x14ac:dyDescent="0.25">
      <c r="A20" s="2">
        <v>5</v>
      </c>
      <c r="B20" s="2" t="s">
        <v>6</v>
      </c>
      <c r="C20" s="3">
        <f>'Данные для анализа'!D6</f>
        <v>2080056.4881224297</v>
      </c>
      <c r="D20" s="3">
        <f t="shared" si="1"/>
        <v>1699214.9815348885</v>
      </c>
      <c r="E20" s="3">
        <f t="shared" si="2"/>
        <v>-2233598.7014581966</v>
      </c>
      <c r="F20" s="3">
        <f t="shared" si="3"/>
        <v>5632028.6645279732</v>
      </c>
      <c r="G20" s="3">
        <f t="shared" si="4"/>
        <v>1699214.9815348885</v>
      </c>
      <c r="H20" s="3">
        <f t="shared" si="5"/>
        <v>380841.5065875412</v>
      </c>
      <c r="I20" s="3">
        <f t="shared" si="0"/>
        <v>-1711528.8961810265</v>
      </c>
    </row>
    <row r="21" spans="1:9" x14ac:dyDescent="0.25">
      <c r="A21" s="2">
        <v>6</v>
      </c>
      <c r="B21" s="2" t="s">
        <v>7</v>
      </c>
      <c r="C21" s="3">
        <f>'Данные для анализа'!D7</f>
        <v>2564917.6229515877</v>
      </c>
      <c r="D21" s="3">
        <f t="shared" si="1"/>
        <v>2501021.3129995018</v>
      </c>
      <c r="E21" s="3">
        <f t="shared" si="2"/>
        <v>-1164493.6824461222</v>
      </c>
      <c r="F21" s="3">
        <f t="shared" si="3"/>
        <v>6166536.3084451258</v>
      </c>
      <c r="G21" s="3">
        <f t="shared" si="4"/>
        <v>2501021.3129995018</v>
      </c>
      <c r="H21" s="3">
        <f t="shared" si="5"/>
        <v>63896.309952085838</v>
      </c>
      <c r="I21" s="3">
        <f t="shared" si="0"/>
        <v>-1410795.6647164123</v>
      </c>
    </row>
    <row r="22" spans="1:9" x14ac:dyDescent="0.25">
      <c r="A22" s="2">
        <v>7</v>
      </c>
      <c r="B22" s="2" t="s">
        <v>8</v>
      </c>
      <c r="C22" s="3">
        <f>'Данные для анализа'!D8</f>
        <v>3296150.8327038502</v>
      </c>
      <c r="D22" s="3">
        <f t="shared" si="1"/>
        <v>3302827.6444641156</v>
      </c>
      <c r="E22" s="3">
        <f t="shared" si="2"/>
        <v>-120247.29176553991</v>
      </c>
      <c r="F22" s="3">
        <f t="shared" si="3"/>
        <v>6725902.5806937711</v>
      </c>
      <c r="G22" s="3">
        <f t="shared" si="4"/>
        <v>3302827.6444641156</v>
      </c>
      <c r="H22" s="3">
        <f t="shared" si="5"/>
        <v>-6676.8117602653801</v>
      </c>
      <c r="I22" s="3">
        <f t="shared" si="0"/>
        <v>-1180278.733251798</v>
      </c>
    </row>
    <row r="23" spans="1:9" x14ac:dyDescent="0.25">
      <c r="A23" s="2">
        <v>8</v>
      </c>
      <c r="B23" s="2" t="s">
        <v>9</v>
      </c>
      <c r="C23" s="3">
        <f>'Данные для анализа'!D9</f>
        <v>3853809.5568073275</v>
      </c>
      <c r="D23" s="3">
        <f t="shared" si="1"/>
        <v>4104633.9759287294</v>
      </c>
      <c r="E23" s="3">
        <f t="shared" si="2"/>
        <v>893505.05033909762</v>
      </c>
      <c r="F23" s="3">
        <f t="shared" si="3"/>
        <v>7315762.9015183616</v>
      </c>
      <c r="G23" s="3">
        <f t="shared" si="4"/>
        <v>4104633.9759287294</v>
      </c>
      <c r="H23" s="3">
        <f t="shared" si="5"/>
        <v>-250824.41912140185</v>
      </c>
      <c r="I23" s="3">
        <f t="shared" si="0"/>
        <v>-1032443.4618656402</v>
      </c>
    </row>
    <row r="24" spans="1:9" x14ac:dyDescent="0.25">
      <c r="A24" s="2">
        <v>9</v>
      </c>
      <c r="B24" s="2" t="s">
        <v>10</v>
      </c>
      <c r="C24" s="3">
        <f>'Данные для анализа'!D10</f>
        <v>4239214.9484877475</v>
      </c>
      <c r="D24" s="3">
        <f t="shared" si="1"/>
        <v>4906440.3073933432</v>
      </c>
      <c r="E24" s="3">
        <f t="shared" si="2"/>
        <v>1870370.3057331354</v>
      </c>
      <c r="F24" s="3">
        <f t="shared" si="3"/>
        <v>7942510.3090535514</v>
      </c>
      <c r="G24" s="3">
        <f t="shared" si="4"/>
        <v>4906440.3073933432</v>
      </c>
      <c r="H24" s="3">
        <f t="shared" si="5"/>
        <v>-667225.35890559573</v>
      </c>
      <c r="I24" s="3">
        <f t="shared" si="0"/>
        <v>-736843.10350409336</v>
      </c>
    </row>
    <row r="25" spans="1:9" x14ac:dyDescent="0.25">
      <c r="A25" s="2">
        <v>10</v>
      </c>
      <c r="B25" s="2" t="s">
        <v>11</v>
      </c>
      <c r="C25" s="3">
        <f>'Данные для анализа'!D11</f>
        <v>4675803.1769923167</v>
      </c>
      <c r="D25" s="3">
        <f t="shared" si="1"/>
        <v>5708246.638857957</v>
      </c>
      <c r="E25" s="3">
        <f t="shared" si="2"/>
        <v>2803671.2389567187</v>
      </c>
      <c r="F25" s="3">
        <f t="shared" si="3"/>
        <v>8612822.0387591943</v>
      </c>
      <c r="G25" s="3">
        <f t="shared" si="4"/>
        <v>5708246.638857957</v>
      </c>
      <c r="H25" s="3">
        <f t="shared" si="5"/>
        <v>-1032443.4618656402</v>
      </c>
      <c r="I25" s="3">
        <f t="shared" si="0"/>
        <v>-667225.35890559573</v>
      </c>
    </row>
    <row r="26" spans="1:9" x14ac:dyDescent="0.25">
      <c r="A26" s="2">
        <v>11</v>
      </c>
      <c r="B26" s="2" t="s">
        <v>13</v>
      </c>
      <c r="C26" s="3">
        <f>'Данные для анализа'!D12</f>
        <v>5864573.2429680433</v>
      </c>
      <c r="D26" s="3">
        <f t="shared" si="1"/>
        <v>6510052.9703225708</v>
      </c>
      <c r="E26" s="3">
        <f t="shared" si="2"/>
        <v>3687313.0650267089</v>
      </c>
      <c r="F26" s="3">
        <f t="shared" si="3"/>
        <v>9332792.8756184317</v>
      </c>
      <c r="G26" s="3">
        <f t="shared" si="4"/>
        <v>6510052.9703225708</v>
      </c>
      <c r="H26" s="3">
        <f t="shared" si="5"/>
        <v>-645479.72735452745</v>
      </c>
      <c r="I26" s="3">
        <f t="shared" si="0"/>
        <v>-645479.72735452745</v>
      </c>
    </row>
    <row r="27" spans="1:9" x14ac:dyDescent="0.25">
      <c r="A27" s="2">
        <v>12</v>
      </c>
      <c r="B27" s="2" t="s">
        <v>14</v>
      </c>
      <c r="C27" s="3">
        <f>'Данные для анализа'!D13</f>
        <v>6696500.3734088941</v>
      </c>
      <c r="D27" s="3">
        <f t="shared" si="1"/>
        <v>7311859.3017871836</v>
      </c>
      <c r="E27" s="3">
        <f t="shared" si="2"/>
        <v>4516930.3200962758</v>
      </c>
      <c r="F27" s="3">
        <f t="shared" si="3"/>
        <v>10106788.283478092</v>
      </c>
      <c r="G27" s="3">
        <f t="shared" si="4"/>
        <v>7311859.3017871836</v>
      </c>
      <c r="H27" s="3">
        <f t="shared" si="5"/>
        <v>-615358.92837828957</v>
      </c>
      <c r="I27" s="3">
        <f t="shared" si="0"/>
        <v>-615358.92837828957</v>
      </c>
    </row>
    <row r="28" spans="1:9" x14ac:dyDescent="0.25">
      <c r="A28" s="2">
        <v>13</v>
      </c>
      <c r="B28" s="2" t="s">
        <v>15</v>
      </c>
      <c r="C28" s="3">
        <f>'Данные для анализа'!D14</f>
        <v>6933386.9000000004</v>
      </c>
      <c r="D28" s="3">
        <f t="shared" si="1"/>
        <v>8113665.6332517983</v>
      </c>
      <c r="E28" s="3">
        <f t="shared" si="2"/>
        <v>5290925.7279559365</v>
      </c>
      <c r="F28" s="3">
        <f t="shared" si="3"/>
        <v>10936405.538547661</v>
      </c>
      <c r="G28" s="3">
        <f t="shared" si="4"/>
        <v>8113665.6332517983</v>
      </c>
      <c r="H28" s="3">
        <f t="shared" si="5"/>
        <v>-1180278.733251798</v>
      </c>
      <c r="I28" s="3">
        <f t="shared" si="0"/>
        <v>-250824.41912140185</v>
      </c>
    </row>
    <row r="29" spans="1:9" x14ac:dyDescent="0.25">
      <c r="A29" s="2">
        <v>14</v>
      </c>
      <c r="B29" s="2" t="s">
        <v>16</v>
      </c>
      <c r="C29" s="3">
        <f>'Данные для анализа'!D15</f>
        <v>7504676.2999999998</v>
      </c>
      <c r="D29" s="3">
        <f t="shared" si="1"/>
        <v>8915471.9647164121</v>
      </c>
      <c r="E29" s="3">
        <f t="shared" si="2"/>
        <v>6010896.5648151739</v>
      </c>
      <c r="F29" s="3">
        <f t="shared" si="3"/>
        <v>11820047.364617649</v>
      </c>
      <c r="G29" s="3">
        <f t="shared" si="4"/>
        <v>8915471.9647164121</v>
      </c>
      <c r="H29" s="3">
        <f t="shared" si="5"/>
        <v>-1410795.6647164123</v>
      </c>
      <c r="I29" s="3">
        <f t="shared" si="0"/>
        <v>-6676.8117602653801</v>
      </c>
    </row>
    <row r="30" spans="1:9" x14ac:dyDescent="0.25">
      <c r="A30" s="2">
        <v>15</v>
      </c>
      <c r="B30" s="2" t="s">
        <v>17</v>
      </c>
      <c r="C30" s="3">
        <f>'Данные для анализа'!D16</f>
        <v>8005749.4000000004</v>
      </c>
      <c r="D30" s="3">
        <f t="shared" si="1"/>
        <v>9717278.2961810268</v>
      </c>
      <c r="E30" s="3">
        <f t="shared" si="2"/>
        <v>6681208.2945208196</v>
      </c>
      <c r="F30" s="3">
        <f t="shared" si="3"/>
        <v>12753348.297841234</v>
      </c>
      <c r="G30" s="3">
        <f t="shared" si="4"/>
        <v>9717278.2961810268</v>
      </c>
      <c r="H30" s="3">
        <f t="shared" si="5"/>
        <v>-1711528.8961810265</v>
      </c>
      <c r="I30" s="3">
        <f t="shared" si="0"/>
        <v>63896.309952085838</v>
      </c>
    </row>
    <row r="31" spans="1:9" x14ac:dyDescent="0.25">
      <c r="A31" s="2">
        <v>16</v>
      </c>
      <c r="B31" s="2" t="s">
        <v>18</v>
      </c>
      <c r="C31" s="3">
        <f>'Данные для анализа'!D17</f>
        <v>8435287.0999999996</v>
      </c>
      <c r="D31" s="3">
        <f t="shared" si="1"/>
        <v>10519084.627645638</v>
      </c>
      <c r="E31" s="3">
        <f t="shared" si="2"/>
        <v>7307955.7020560056</v>
      </c>
      <c r="F31" s="3">
        <f t="shared" si="3"/>
        <v>13730213.55323527</v>
      </c>
      <c r="G31" s="3">
        <f t="shared" si="4"/>
        <v>10519084.627645638</v>
      </c>
      <c r="H31" s="3">
        <f t="shared" si="5"/>
        <v>-2083797.5276456382</v>
      </c>
      <c r="I31" s="3">
        <f t="shared" si="0"/>
        <v>380841.5065875412</v>
      </c>
    </row>
    <row r="32" spans="1:9" x14ac:dyDescent="0.25">
      <c r="A32" s="2">
        <v>17</v>
      </c>
      <c r="B32" s="2" t="s">
        <v>19</v>
      </c>
      <c r="C32" s="3">
        <f>'Данные для анализа'!D18</f>
        <v>8889867.7000000011</v>
      </c>
      <c r="D32" s="3">
        <f t="shared" si="1"/>
        <v>11320890.959110253</v>
      </c>
      <c r="E32" s="3">
        <f t="shared" si="2"/>
        <v>7897816.022880597</v>
      </c>
      <c r="F32" s="3">
        <f t="shared" si="3"/>
        <v>14743965.895339908</v>
      </c>
      <c r="G32" s="3">
        <f t="shared" si="4"/>
        <v>11320890.959110253</v>
      </c>
      <c r="H32" s="3">
        <f t="shared" si="5"/>
        <v>-2431023.2591102514</v>
      </c>
      <c r="I32" s="3">
        <f t="shared" si="0"/>
        <v>599650.76503129303</v>
      </c>
    </row>
    <row r="33" spans="1:9" x14ac:dyDescent="0.25">
      <c r="A33" s="2">
        <v>18</v>
      </c>
      <c r="B33" s="2" t="s">
        <v>34</v>
      </c>
      <c r="C33" s="3">
        <f>'Данные для анализа'!D19</f>
        <v>9318440.1999999993</v>
      </c>
      <c r="D33" s="3">
        <f t="shared" si="1"/>
        <v>12122697.290574867</v>
      </c>
      <c r="E33" s="3">
        <f t="shared" si="2"/>
        <v>8457182.2951292433</v>
      </c>
      <c r="F33" s="3">
        <f t="shared" si="3"/>
        <v>15788212.286020491</v>
      </c>
      <c r="G33" s="3">
        <f t="shared" si="4"/>
        <v>12122697.290574867</v>
      </c>
      <c r="H33" s="3">
        <f t="shared" si="5"/>
        <v>-2804257.090574868</v>
      </c>
      <c r="I33" s="3">
        <f t="shared" si="0"/>
        <v>780209.13775688875</v>
      </c>
    </row>
    <row r="34" spans="1:9" x14ac:dyDescent="0.25">
      <c r="A34" s="2">
        <v>19</v>
      </c>
      <c r="B34" s="2" t="s">
        <v>35</v>
      </c>
      <c r="C34" s="3">
        <f>'Данные для анализа'!D20</f>
        <v>9987984.4000000004</v>
      </c>
      <c r="D34" s="3">
        <f t="shared" si="1"/>
        <v>12924503.622039478</v>
      </c>
      <c r="E34" s="3">
        <f t="shared" si="2"/>
        <v>8991689.9390463941</v>
      </c>
      <c r="F34" s="3">
        <f t="shared" si="3"/>
        <v>16857317.305032562</v>
      </c>
      <c r="G34" s="3">
        <f t="shared" si="4"/>
        <v>12924503.622039478</v>
      </c>
      <c r="H34" s="3">
        <f t="shared" si="5"/>
        <v>-2936519.2220394779</v>
      </c>
      <c r="I34" s="3">
        <f t="shared" si="0"/>
        <v>1308136.1900125311</v>
      </c>
    </row>
    <row r="35" spans="1:9" x14ac:dyDescent="0.25">
      <c r="A35" s="2">
        <v>20</v>
      </c>
      <c r="B35" s="2" t="s">
        <v>45</v>
      </c>
      <c r="C35" s="3">
        <f>'Данные для анализа'!D21</f>
        <v>12989466.85</v>
      </c>
      <c r="D35" s="3">
        <f t="shared" si="1"/>
        <v>13726309.953504093</v>
      </c>
      <c r="E35" s="3">
        <f t="shared" si="2"/>
        <v>9506059.739482848</v>
      </c>
      <c r="F35" s="3">
        <f t="shared" si="3"/>
        <v>17946560.167525336</v>
      </c>
      <c r="G35" s="3">
        <f t="shared" si="4"/>
        <v>13726309.953504093</v>
      </c>
      <c r="H35" s="3">
        <f t="shared" si="5"/>
        <v>-736843.10350409336</v>
      </c>
      <c r="I35" s="3">
        <f t="shared" si="0"/>
        <v>1330570.8835666776</v>
      </c>
    </row>
    <row r="36" spans="1:9" x14ac:dyDescent="0.25">
      <c r="A36" s="2">
        <v>21</v>
      </c>
      <c r="B36" s="2" t="s">
        <v>46</v>
      </c>
      <c r="C36" s="3">
        <f>'Данные для анализа'!D22</f>
        <v>15127767.050000001</v>
      </c>
      <c r="D36" s="3">
        <f t="shared" si="1"/>
        <v>14528116.284968708</v>
      </c>
      <c r="E36" s="3">
        <f t="shared" si="2"/>
        <v>10004128.509425661</v>
      </c>
      <c r="F36" s="3">
        <f t="shared" si="3"/>
        <v>19052104.060511753</v>
      </c>
      <c r="G36" s="3">
        <f t="shared" si="4"/>
        <v>14528116.284968708</v>
      </c>
      <c r="H36" s="3">
        <f t="shared" si="5"/>
        <v>599650.76503129303</v>
      </c>
      <c r="I36" s="3">
        <f t="shared" si="0"/>
        <v>1845423.2621624933</v>
      </c>
    </row>
    <row r="37" spans="1:9" x14ac:dyDescent="0.25">
      <c r="A37" s="2">
        <v>22</v>
      </c>
      <c r="B37" s="2" t="s">
        <v>47</v>
      </c>
      <c r="C37" s="3">
        <f>'Данные для анализа'!D23</f>
        <v>16660493.5</v>
      </c>
      <c r="D37" s="3">
        <f t="shared" si="1"/>
        <v>15329922.616433322</v>
      </c>
      <c r="E37" s="3">
        <f t="shared" si="2"/>
        <v>10488963.616597926</v>
      </c>
      <c r="F37" s="3">
        <f t="shared" si="3"/>
        <v>20170881.616268717</v>
      </c>
      <c r="G37" s="3">
        <f t="shared" si="4"/>
        <v>15329922.616433322</v>
      </c>
      <c r="H37" s="3">
        <f t="shared" si="5"/>
        <v>1330570.8835666776</v>
      </c>
      <c r="I37" s="3">
        <f t="shared" si="0"/>
        <v>2362881.4913597903</v>
      </c>
    </row>
    <row r="38" spans="1:9" x14ac:dyDescent="0.25">
      <c r="A38" s="2">
        <v>23</v>
      </c>
      <c r="B38" s="2" t="s">
        <v>48</v>
      </c>
      <c r="C38" s="3">
        <f>'Данные для анализа'!D24</f>
        <v>20267549.700000003</v>
      </c>
      <c r="D38" s="3">
        <f t="shared" si="1"/>
        <v>16131728.947897937</v>
      </c>
      <c r="E38" s="3">
        <f t="shared" si="2"/>
        <v>10962999.142286163</v>
      </c>
      <c r="F38" s="3">
        <f t="shared" si="3"/>
        <v>21300458.753509711</v>
      </c>
      <c r="G38" s="3">
        <f t="shared" si="4"/>
        <v>16131728.947897937</v>
      </c>
      <c r="H38" s="3">
        <f t="shared" si="5"/>
        <v>4135820.7521020658</v>
      </c>
      <c r="I38" s="3">
        <f t="shared" si="0"/>
        <v>4135820.7521020658</v>
      </c>
    </row>
    <row r="39" spans="1:9" x14ac:dyDescent="0.25">
      <c r="A39" s="2">
        <v>24</v>
      </c>
      <c r="B39" s="2" t="s">
        <v>49</v>
      </c>
      <c r="C39" s="3">
        <f>'Данные для анализа'!D25</f>
        <v>22639157.185240481</v>
      </c>
      <c r="D39" s="3">
        <f t="shared" si="1"/>
        <v>16933535.279362548</v>
      </c>
      <c r="E39" s="3">
        <f t="shared" si="2"/>
        <v>11428163.658004042</v>
      </c>
      <c r="F39" s="3">
        <f t="shared" si="3"/>
        <v>22438906.900721055</v>
      </c>
      <c r="G39" s="3">
        <f t="shared" si="4"/>
        <v>16933535.279362548</v>
      </c>
      <c r="H39" s="3">
        <f t="shared" si="5"/>
        <v>5705621.9058779329</v>
      </c>
      <c r="I39" s="3">
        <f t="shared" si="0"/>
        <v>5705621.9058779329</v>
      </c>
    </row>
    <row r="40" spans="1:9" x14ac:dyDescent="0.25">
      <c r="A40" s="2">
        <v>25</v>
      </c>
      <c r="B40" s="2" t="s">
        <v>159</v>
      </c>
      <c r="D40" s="3">
        <f t="shared" si="1"/>
        <v>17735341.610827163</v>
      </c>
      <c r="E40" s="3">
        <f t="shared" si="2"/>
        <v>11885988.595697414</v>
      </c>
      <c r="F40" s="3">
        <f t="shared" si="3"/>
        <v>23584694.625956912</v>
      </c>
      <c r="G40" s="3">
        <f t="shared" si="4"/>
        <v>17735341.610827163</v>
      </c>
    </row>
    <row r="41" spans="1:9" x14ac:dyDescent="0.25">
      <c r="A41" s="2">
        <v>26</v>
      </c>
      <c r="B41" s="2" t="s">
        <v>164</v>
      </c>
      <c r="D41" s="3">
        <f t="shared" si="1"/>
        <v>18537147.942291778</v>
      </c>
      <c r="E41" s="3">
        <f t="shared" si="2"/>
        <v>12337695.561438836</v>
      </c>
      <c r="F41" s="3">
        <f t="shared" si="3"/>
        <v>24736600.323144719</v>
      </c>
      <c r="G41" s="3">
        <f t="shared" si="4"/>
        <v>18537147.942291778</v>
      </c>
    </row>
    <row r="42" spans="1:9" x14ac:dyDescent="0.25">
      <c r="A42" s="2">
        <v>27</v>
      </c>
      <c r="B42" s="2" t="s">
        <v>165</v>
      </c>
      <c r="D42" s="3">
        <f t="shared" si="1"/>
        <v>19338954.273756389</v>
      </c>
      <c r="E42" s="3">
        <f t="shared" si="2"/>
        <v>12784264.802101247</v>
      </c>
      <c r="F42" s="3">
        <f t="shared" si="3"/>
        <v>25893643.74541153</v>
      </c>
      <c r="G42" s="3">
        <f t="shared" si="4"/>
        <v>19338954.273756389</v>
      </c>
    </row>
    <row r="43" spans="1:9" x14ac:dyDescent="0.25">
      <c r="A43" s="2">
        <v>28</v>
      </c>
      <c r="B43" s="2" t="s">
        <v>166</v>
      </c>
      <c r="D43" s="3">
        <f t="shared" si="1"/>
        <v>20140760.605221003</v>
      </c>
      <c r="E43" s="3">
        <f t="shared" si="2"/>
        <v>13226488.160654031</v>
      </c>
      <c r="F43" s="3">
        <f t="shared" si="3"/>
        <v>27055033.049787976</v>
      </c>
      <c r="G43" s="3">
        <f t="shared" si="4"/>
        <v>20140760.605221003</v>
      </c>
    </row>
    <row r="44" spans="1:9" x14ac:dyDescent="0.25">
      <c r="A44" s="2">
        <v>29</v>
      </c>
      <c r="B44" s="2" t="s">
        <v>167</v>
      </c>
      <c r="D44" s="3">
        <f t="shared" si="1"/>
        <v>20942566.936685618</v>
      </c>
      <c r="E44" s="3">
        <f t="shared" si="2"/>
        <v>13665009.796677899</v>
      </c>
      <c r="F44" s="3">
        <f t="shared" si="3"/>
        <v>28220124.076693337</v>
      </c>
      <c r="G44" s="3">
        <f t="shared" si="4"/>
        <v>20942566.936685618</v>
      </c>
    </row>
    <row r="45" spans="1:9" x14ac:dyDescent="0.25">
      <c r="A45" s="2">
        <v>30</v>
      </c>
      <c r="B45" s="2" t="s">
        <v>176</v>
      </c>
      <c r="D45" s="3">
        <f t="shared" si="1"/>
        <v>21744373.268150233</v>
      </c>
      <c r="E45" s="3">
        <f t="shared" si="2"/>
        <v>14100357.469176214</v>
      </c>
      <c r="F45" s="3">
        <f t="shared" si="3"/>
        <v>29388389.067124251</v>
      </c>
      <c r="G45" s="3">
        <f t="shared" si="4"/>
        <v>21744373.268150233</v>
      </c>
    </row>
    <row r="46" spans="1:9" x14ac:dyDescent="0.25">
      <c r="A46" s="2">
        <v>31</v>
      </c>
      <c r="B46" s="2" t="s">
        <v>177</v>
      </c>
      <c r="D46" s="3">
        <f t="shared" si="1"/>
        <v>22546179.599614844</v>
      </c>
      <c r="E46" s="3">
        <f t="shared" si="2"/>
        <v>14532966.619520076</v>
      </c>
      <c r="F46" s="3">
        <f t="shared" si="3"/>
        <v>30559392.579709612</v>
      </c>
      <c r="G46" s="3">
        <f t="shared" si="4"/>
        <v>22546179.599614844</v>
      </c>
    </row>
    <row r="47" spans="1:9" x14ac:dyDescent="0.25">
      <c r="A47" s="2">
        <v>32</v>
      </c>
      <c r="B47" s="2" t="s">
        <v>178</v>
      </c>
      <c r="D47" s="3">
        <f t="shared" si="1"/>
        <v>23347985.931079458</v>
      </c>
      <c r="E47" s="3">
        <f t="shared" si="2"/>
        <v>14963198.986006735</v>
      </c>
      <c r="F47" s="3">
        <f t="shared" si="3"/>
        <v>31732772.87615218</v>
      </c>
      <c r="G47" s="3">
        <f t="shared" si="4"/>
        <v>23347985.931079458</v>
      </c>
    </row>
    <row r="48" spans="1:9" x14ac:dyDescent="0.25">
      <c r="A48" s="2">
        <v>33</v>
      </c>
      <c r="B48" s="2" t="s">
        <v>179</v>
      </c>
      <c r="D48" s="3">
        <f t="shared" si="1"/>
        <v>24149792.262544073</v>
      </c>
      <c r="E48" s="3">
        <f t="shared" si="2"/>
        <v>15391357.066421852</v>
      </c>
      <c r="F48" s="3">
        <f t="shared" si="3"/>
        <v>32908227.458666295</v>
      </c>
      <c r="G48" s="3">
        <f t="shared" si="4"/>
        <v>24149792.262544073</v>
      </c>
    </row>
    <row r="49" spans="1:7" x14ac:dyDescent="0.25">
      <c r="A49" s="2">
        <v>34</v>
      </c>
      <c r="B49" s="2" t="s">
        <v>180</v>
      </c>
      <c r="D49" s="3">
        <f t="shared" si="1"/>
        <v>24951598.594008684</v>
      </c>
      <c r="E49" s="3">
        <f t="shared" si="2"/>
        <v>15817695.420907337</v>
      </c>
      <c r="F49" s="3">
        <f t="shared" si="3"/>
        <v>34085501.767110035</v>
      </c>
      <c r="G49" s="3">
        <f t="shared" si="4"/>
        <v>24951598.594008684</v>
      </c>
    </row>
  </sheetData>
  <mergeCells count="1">
    <mergeCell ref="E14:F1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899BB-9545-4153-8791-A8E1C934D2AC}">
  <dimension ref="A1:I50"/>
  <sheetViews>
    <sheetView zoomScale="85" zoomScaleNormal="85" workbookViewId="0">
      <selection activeCell="F13" sqref="F13"/>
    </sheetView>
  </sheetViews>
  <sheetFormatPr defaultRowHeight="15" x14ac:dyDescent="0.25"/>
  <cols>
    <col min="1" max="1" width="9.42578125" customWidth="1"/>
    <col min="2" max="2" width="12.85546875" customWidth="1"/>
    <col min="3" max="4" width="20.28515625" customWidth="1"/>
    <col min="5" max="5" width="14.140625" customWidth="1"/>
    <col min="6" max="6" width="12.140625" customWidth="1"/>
    <col min="7" max="7" width="14.5703125" customWidth="1"/>
    <col min="8" max="8" width="13.28515625" customWidth="1"/>
    <col min="9" max="9" width="15" customWidth="1"/>
  </cols>
  <sheetData>
    <row r="1" spans="1:9" x14ac:dyDescent="0.25">
      <c r="A1" t="s">
        <v>181</v>
      </c>
    </row>
    <row r="2" spans="1:9" x14ac:dyDescent="0.25">
      <c r="B2" s="18" t="s">
        <v>182</v>
      </c>
      <c r="C2" s="17" t="s">
        <v>183</v>
      </c>
      <c r="D2" s="22" t="s">
        <v>238</v>
      </c>
    </row>
    <row r="3" spans="1:9" x14ac:dyDescent="0.25">
      <c r="B3" s="18" t="s">
        <v>184</v>
      </c>
      <c r="C3" s="17" t="s">
        <v>185</v>
      </c>
    </row>
    <row r="4" spans="1:9" x14ac:dyDescent="0.25">
      <c r="A4">
        <v>3</v>
      </c>
      <c r="B4" s="18" t="s">
        <v>186</v>
      </c>
      <c r="C4" t="s">
        <v>187</v>
      </c>
      <c r="D4" s="19">
        <f>INDEX(LINEST($C$17:$C$39,$A$17:$A$39^{1,2}),A4)</f>
        <v>881411.93722196948</v>
      </c>
    </row>
    <row r="5" spans="1:9" x14ac:dyDescent="0.25">
      <c r="A5">
        <v>2</v>
      </c>
      <c r="C5" t="s">
        <v>188</v>
      </c>
      <c r="D5" s="19">
        <f>INDEX(LINEST($C$17:$C$39,$A$17:$A$39^{1,2}),A5)</f>
        <v>22801.049251976157</v>
      </c>
    </row>
    <row r="6" spans="1:9" x14ac:dyDescent="0.25">
      <c r="A6">
        <v>1</v>
      </c>
      <c r="C6" t="s">
        <v>235</v>
      </c>
      <c r="D6" s="19">
        <f>INDEX(LINEST($C$17:$C$39,$A$17:$A$39^{1,2}),A6)</f>
        <v>29801.854368612148</v>
      </c>
    </row>
    <row r="7" spans="1:9" x14ac:dyDescent="0.25">
      <c r="B7" s="18" t="s">
        <v>194</v>
      </c>
      <c r="C7" s="17" t="s">
        <v>195</v>
      </c>
    </row>
    <row r="8" spans="1:9" x14ac:dyDescent="0.25">
      <c r="B8" s="18" t="s">
        <v>212</v>
      </c>
      <c r="C8" s="17" t="s">
        <v>213</v>
      </c>
    </row>
    <row r="11" spans="1:9" x14ac:dyDescent="0.25">
      <c r="B11" s="18" t="s">
        <v>204</v>
      </c>
      <c r="C11" s="22" t="s">
        <v>205</v>
      </c>
      <c r="E11" s="46" t="s">
        <v>236</v>
      </c>
      <c r="F11" s="47"/>
    </row>
    <row r="12" spans="1:9" x14ac:dyDescent="0.25">
      <c r="E12" s="24" t="s">
        <v>163</v>
      </c>
      <c r="F12" s="24" t="s">
        <v>162</v>
      </c>
    </row>
    <row r="13" spans="1:9" x14ac:dyDescent="0.25">
      <c r="E13" s="3">
        <f>MIN($H$17:$H$39)</f>
        <v>-2278695.1697063521</v>
      </c>
      <c r="F13" s="3">
        <f>MAX($H$17:$H$39)</f>
        <v>3096532.6689867564</v>
      </c>
    </row>
    <row r="14" spans="1:9" x14ac:dyDescent="0.25">
      <c r="B14" s="18"/>
    </row>
    <row r="15" spans="1:9" x14ac:dyDescent="0.25">
      <c r="A15" s="4" t="s">
        <v>20</v>
      </c>
      <c r="B15" s="4" t="s">
        <v>12</v>
      </c>
      <c r="C15" s="4" t="str">
        <f>'Данные для анализа'!E1</f>
        <v>ОФ</v>
      </c>
      <c r="D15" s="4" t="s">
        <v>191</v>
      </c>
      <c r="E15" s="42" t="s">
        <v>201</v>
      </c>
      <c r="F15" s="43"/>
      <c r="G15" s="4" t="s">
        <v>191</v>
      </c>
      <c r="H15" s="4" t="s">
        <v>193</v>
      </c>
      <c r="I15" s="4" t="s">
        <v>198</v>
      </c>
    </row>
    <row r="16" spans="1:9" x14ac:dyDescent="0.25">
      <c r="A16" s="4" t="s">
        <v>189</v>
      </c>
      <c r="B16" s="4"/>
      <c r="C16" s="4" t="s">
        <v>160</v>
      </c>
      <c r="D16" s="4" t="s">
        <v>190</v>
      </c>
      <c r="E16" s="4" t="s">
        <v>202</v>
      </c>
      <c r="F16" s="4" t="s">
        <v>203</v>
      </c>
      <c r="G16" s="4" t="s">
        <v>237</v>
      </c>
      <c r="H16" s="4" t="s">
        <v>196</v>
      </c>
      <c r="I16" s="4" t="s">
        <v>199</v>
      </c>
    </row>
    <row r="17" spans="1:9" x14ac:dyDescent="0.25">
      <c r="A17" s="2">
        <v>1</v>
      </c>
      <c r="B17" s="2" t="s">
        <v>2</v>
      </c>
      <c r="C17" s="3">
        <f>'Данные для анализа'!E2</f>
        <v>663998.76369988162</v>
      </c>
      <c r="D17" s="3">
        <f>$D$4 + $D$5*$A17 + $D$6*A17^2</f>
        <v>934014.84084255784</v>
      </c>
      <c r="E17" s="3">
        <f>$D17+ E$13</f>
        <v>-1344680.3288637942</v>
      </c>
      <c r="F17" s="3">
        <f>$D17+ F$13</f>
        <v>4030547.5098293144</v>
      </c>
      <c r="G17" s="3">
        <f>TREND($C$17:$C$39,$A$17:$A$39^{1,2},$A17^{1,2})</f>
        <v>934014.84084255784</v>
      </c>
      <c r="H17" s="3">
        <f>C17 - D17</f>
        <v>-270016.07714267622</v>
      </c>
      <c r="I17" s="3">
        <f t="shared" ref="I17:I39" si="0">SMALL($H$17:$H$40,A17)</f>
        <v>-2278695.1697063521</v>
      </c>
    </row>
    <row r="18" spans="1:9" x14ac:dyDescent="0.25">
      <c r="A18" s="2">
        <v>2</v>
      </c>
      <c r="B18" s="2" t="s">
        <v>3</v>
      </c>
      <c r="C18" s="3">
        <f>'Данные для анализа'!E3</f>
        <v>884858.70150511106</v>
      </c>
      <c r="D18" s="3">
        <f t="shared" ref="D18:D50" si="1">$D$4 + $D$5*$A18 + $D$6*A18^2</f>
        <v>1046221.4532003703</v>
      </c>
      <c r="E18" s="3">
        <f t="shared" ref="E18:F50" si="2">$D18+ E$13</f>
        <v>-1232473.7165059817</v>
      </c>
      <c r="F18" s="3">
        <f t="shared" si="2"/>
        <v>4142754.1221871264</v>
      </c>
      <c r="G18" s="3">
        <f>TREND($C$17:$C$39,$A$17:$A$39^{1,2},$A18^{1,2})</f>
        <v>1046221.4532003704</v>
      </c>
      <c r="H18" s="3">
        <f t="shared" ref="H18:H39" si="3">C18 - D18</f>
        <v>-161362.75169525924</v>
      </c>
      <c r="I18" s="3">
        <f t="shared" si="0"/>
        <v>-2085116.9000785016</v>
      </c>
    </row>
    <row r="19" spans="1:9" x14ac:dyDescent="0.25">
      <c r="A19" s="2">
        <v>3</v>
      </c>
      <c r="B19" s="2" t="s">
        <v>4</v>
      </c>
      <c r="C19" s="3">
        <f>'Данные для анализа'!E4</f>
        <v>1090317.1051120984</v>
      </c>
      <c r="D19" s="3">
        <f t="shared" si="1"/>
        <v>1218031.7742954073</v>
      </c>
      <c r="E19" s="3">
        <f t="shared" si="2"/>
        <v>-1060663.3954109447</v>
      </c>
      <c r="F19" s="3">
        <f t="shared" si="2"/>
        <v>4314564.4432821637</v>
      </c>
      <c r="G19" s="3">
        <f>TREND($C$17:$C$39,$A$17:$A$39^{1,2},$A19^{1,2})</f>
        <v>1218031.7742954073</v>
      </c>
      <c r="H19" s="3">
        <f t="shared" si="3"/>
        <v>-127714.66918330896</v>
      </c>
      <c r="I19" s="3">
        <f t="shared" si="0"/>
        <v>-1508705.5891878754</v>
      </c>
    </row>
    <row r="20" spans="1:9" x14ac:dyDescent="0.25">
      <c r="A20" s="2">
        <v>4</v>
      </c>
      <c r="B20" s="2" t="s">
        <v>5</v>
      </c>
      <c r="C20" s="3">
        <f>'Данные для анализа'!E5</f>
        <v>1303045.6589160857</v>
      </c>
      <c r="D20" s="3">
        <f t="shared" si="1"/>
        <v>1449445.8041276685</v>
      </c>
      <c r="E20" s="3">
        <f t="shared" si="2"/>
        <v>-829249.36557868356</v>
      </c>
      <c r="F20" s="3">
        <f t="shared" si="2"/>
        <v>4545978.4731144253</v>
      </c>
      <c r="G20" s="3">
        <f>TREND($C$17:$C$39,$A$17:$A$39^{1,2},$A20^{1,2})</f>
        <v>1449445.8041276685</v>
      </c>
      <c r="H20" s="3">
        <f t="shared" si="3"/>
        <v>-146400.14521158277</v>
      </c>
      <c r="I20" s="3">
        <f t="shared" si="0"/>
        <v>-991897.98703447543</v>
      </c>
    </row>
    <row r="21" spans="1:9" x14ac:dyDescent="0.25">
      <c r="A21" s="2">
        <v>5</v>
      </c>
      <c r="B21" s="2" t="s">
        <v>6</v>
      </c>
      <c r="C21" s="3">
        <f>'Данные для анализа'!E6</f>
        <v>1615629.3744707303</v>
      </c>
      <c r="D21" s="3">
        <f t="shared" si="1"/>
        <v>1740463.542697154</v>
      </c>
      <c r="E21" s="3">
        <f t="shared" si="2"/>
        <v>-538231.62700919807</v>
      </c>
      <c r="F21" s="3">
        <f t="shared" si="2"/>
        <v>4836996.2116839103</v>
      </c>
      <c r="G21" s="3">
        <f>TREND($C$17:$C$39,$A$17:$A$39^{1,2},$A21^{1,2})</f>
        <v>1740463.542697154</v>
      </c>
      <c r="H21" s="3">
        <f t="shared" si="3"/>
        <v>-124834.16822642367</v>
      </c>
      <c r="I21" s="3">
        <f t="shared" si="0"/>
        <v>-682865.24807142653</v>
      </c>
    </row>
    <row r="22" spans="1:9" x14ac:dyDescent="0.25">
      <c r="A22" s="2">
        <v>6</v>
      </c>
      <c r="B22" s="2" t="s">
        <v>7</v>
      </c>
      <c r="C22" s="3">
        <f>'Данные для анализа'!E7</f>
        <v>1992232.5563758044</v>
      </c>
      <c r="D22" s="3">
        <f t="shared" si="1"/>
        <v>2091084.9900038638</v>
      </c>
      <c r="E22" s="3">
        <f t="shared" si="2"/>
        <v>-187610.17970248824</v>
      </c>
      <c r="F22" s="3">
        <f t="shared" si="2"/>
        <v>5187617.6589906197</v>
      </c>
      <c r="G22" s="3">
        <f>TREND($C$17:$C$39,$A$17:$A$39^{1,2},$A22^{1,2})</f>
        <v>2091084.9900038638</v>
      </c>
      <c r="H22" s="3">
        <f t="shared" si="3"/>
        <v>-98852.433628059458</v>
      </c>
      <c r="I22" s="3">
        <f t="shared" si="0"/>
        <v>-457800.26660294598</v>
      </c>
    </row>
    <row r="23" spans="1:9" x14ac:dyDescent="0.25">
      <c r="A23" s="2">
        <v>7</v>
      </c>
      <c r="B23" s="2" t="s">
        <v>8</v>
      </c>
      <c r="C23" s="3">
        <f>'Данные для анализа'!E8</f>
        <v>2560198.7919133157</v>
      </c>
      <c r="D23" s="3">
        <f t="shared" si="1"/>
        <v>2501310.146047798</v>
      </c>
      <c r="E23" s="3">
        <f t="shared" si="2"/>
        <v>222614.97634144593</v>
      </c>
      <c r="F23" s="3">
        <f t="shared" si="2"/>
        <v>5597842.8150345543</v>
      </c>
      <c r="G23" s="3">
        <f>TREND($C$17:$C$39,$A$17:$A$39^{1,2},$A23^{1,2})</f>
        <v>2501310.146047798</v>
      </c>
      <c r="H23" s="3">
        <f t="shared" si="3"/>
        <v>58888.645865517668</v>
      </c>
      <c r="I23" s="3">
        <f t="shared" si="0"/>
        <v>-440216.34361829795</v>
      </c>
    </row>
    <row r="24" spans="1:9" x14ac:dyDescent="0.25">
      <c r="A24" s="2">
        <v>8</v>
      </c>
      <c r="B24" s="2" t="s">
        <v>9</v>
      </c>
      <c r="C24" s="3">
        <f>'Данные для анализа'!E9</f>
        <v>2993345.5938084461</v>
      </c>
      <c r="D24" s="3">
        <f t="shared" si="1"/>
        <v>2971139.010828956</v>
      </c>
      <c r="E24" s="3">
        <f t="shared" si="2"/>
        <v>692443.84112260398</v>
      </c>
      <c r="F24" s="3">
        <f t="shared" si="2"/>
        <v>6067671.6798157124</v>
      </c>
      <c r="G24" s="3">
        <f>TREND($C$17:$C$39,$A$17:$A$39^{1,2},$A24^{1,2})</f>
        <v>2971139.010828956</v>
      </c>
      <c r="H24" s="3">
        <f t="shared" si="3"/>
        <v>22206.582979490049</v>
      </c>
      <c r="I24" s="3">
        <f t="shared" si="0"/>
        <v>-270016.07714267622</v>
      </c>
    </row>
    <row r="25" spans="1:9" x14ac:dyDescent="0.25">
      <c r="A25" s="2">
        <v>9</v>
      </c>
      <c r="B25" s="2" t="s">
        <v>10</v>
      </c>
      <c r="C25" s="3">
        <f>'Данные для анализа'!E10</f>
        <v>3292699.1332117636</v>
      </c>
      <c r="D25" s="3">
        <f t="shared" si="1"/>
        <v>3500571.5843473389</v>
      </c>
      <c r="E25" s="3">
        <f t="shared" si="2"/>
        <v>1221876.4146409868</v>
      </c>
      <c r="F25" s="3">
        <f t="shared" si="2"/>
        <v>6597104.2533340957</v>
      </c>
      <c r="G25" s="3">
        <f>TREND($C$17:$C$39,$A$17:$A$39^{1,2},$A25^{1,2})</f>
        <v>3500571.5843473389</v>
      </c>
      <c r="H25" s="3">
        <f t="shared" si="3"/>
        <v>-207872.45113557531</v>
      </c>
      <c r="I25" s="3">
        <f t="shared" si="0"/>
        <v>-207872.45113557531</v>
      </c>
    </row>
    <row r="26" spans="1:9" x14ac:dyDescent="0.25">
      <c r="A26" s="2">
        <v>10</v>
      </c>
      <c r="B26" s="2" t="s">
        <v>11</v>
      </c>
      <c r="C26" s="3">
        <f>'Данные для анализа'!E11</f>
        <v>3631807.6</v>
      </c>
      <c r="D26" s="3">
        <f t="shared" si="1"/>
        <v>4089607.8666029461</v>
      </c>
      <c r="E26" s="3">
        <f t="shared" si="2"/>
        <v>1810912.696896594</v>
      </c>
      <c r="F26" s="3">
        <f t="shared" si="2"/>
        <v>7186140.5355897024</v>
      </c>
      <c r="G26" s="3">
        <f>TREND($C$17:$C$39,$A$17:$A$39^{1,2},$A26^{1,2})</f>
        <v>4089607.8666029456</v>
      </c>
      <c r="H26" s="3">
        <f t="shared" si="3"/>
        <v>-457800.26660294598</v>
      </c>
      <c r="I26" s="3">
        <f t="shared" si="0"/>
        <v>-161362.75169525924</v>
      </c>
    </row>
    <row r="27" spans="1:9" x14ac:dyDescent="0.25">
      <c r="A27" s="2">
        <v>11</v>
      </c>
      <c r="B27" s="2" t="s">
        <v>13</v>
      </c>
      <c r="C27" s="3">
        <f>'Данные для анализа'!E12</f>
        <v>6188755.7403909471</v>
      </c>
      <c r="D27" s="3">
        <f t="shared" si="1"/>
        <v>4738247.8575957771</v>
      </c>
      <c r="E27" s="3">
        <f t="shared" si="2"/>
        <v>2459552.6878894251</v>
      </c>
      <c r="F27" s="3">
        <f t="shared" si="2"/>
        <v>7834780.5265825335</v>
      </c>
      <c r="G27" s="3">
        <f>TREND($C$17:$C$39,$A$17:$A$39^{1,2},$A27^{1,2})</f>
        <v>4738247.8575957771</v>
      </c>
      <c r="H27" s="3">
        <f t="shared" si="3"/>
        <v>1450507.8827951699</v>
      </c>
      <c r="I27" s="3">
        <f t="shared" si="0"/>
        <v>-146400.14521158277</v>
      </c>
    </row>
    <row r="28" spans="1:9" x14ac:dyDescent="0.25">
      <c r="A28" s="2">
        <v>12</v>
      </c>
      <c r="B28" s="2" t="s">
        <v>14</v>
      </c>
      <c r="C28" s="3">
        <f>'Данные для анализа'!E13</f>
        <v>7066670.2263727253</v>
      </c>
      <c r="D28" s="3">
        <f t="shared" si="1"/>
        <v>5446491.5573258325</v>
      </c>
      <c r="E28" s="3">
        <f t="shared" si="2"/>
        <v>3167796.3876194805</v>
      </c>
      <c r="F28" s="3">
        <f t="shared" si="2"/>
        <v>8543024.2263125889</v>
      </c>
      <c r="G28" s="3">
        <f>TREND($C$17:$C$39,$A$17:$A$39^{1,2},$A28^{1,2})</f>
        <v>5446491.5573258335</v>
      </c>
      <c r="H28" s="3">
        <f t="shared" si="3"/>
        <v>1620178.6690468928</v>
      </c>
      <c r="I28" s="3">
        <f t="shared" si="0"/>
        <v>-127714.66918330896</v>
      </c>
    </row>
    <row r="29" spans="1:9" x14ac:dyDescent="0.25">
      <c r="A29" s="2">
        <v>13</v>
      </c>
      <c r="B29" s="2" t="s">
        <v>15</v>
      </c>
      <c r="C29" s="3">
        <f>'Данные для анализа'!E14</f>
        <v>7517411.2509606024</v>
      </c>
      <c r="D29" s="3">
        <f t="shared" si="1"/>
        <v>6214338.9657931123</v>
      </c>
      <c r="E29" s="3">
        <f t="shared" si="2"/>
        <v>3935643.7960867602</v>
      </c>
      <c r="F29" s="3">
        <f t="shared" si="2"/>
        <v>9310871.6347798686</v>
      </c>
      <c r="G29" s="3">
        <f>TREND($C$17:$C$39,$A$17:$A$39^{1,2},$A29^{1,2})</f>
        <v>6214338.9657931123</v>
      </c>
      <c r="H29" s="3">
        <f t="shared" si="3"/>
        <v>1303072.2851674901</v>
      </c>
      <c r="I29" s="3">
        <f t="shared" si="0"/>
        <v>-124834.16822642367</v>
      </c>
    </row>
    <row r="30" spans="1:9" x14ac:dyDescent="0.25">
      <c r="A30" s="2">
        <v>14</v>
      </c>
      <c r="B30" s="2" t="s">
        <v>16</v>
      </c>
      <c r="C30" s="3">
        <f>'Данные для анализа'!E15</f>
        <v>7806214.914021723</v>
      </c>
      <c r="D30" s="3">
        <f t="shared" si="1"/>
        <v>7041790.0829976164</v>
      </c>
      <c r="E30" s="3">
        <f t="shared" si="2"/>
        <v>4763094.9132912643</v>
      </c>
      <c r="F30" s="3">
        <f t="shared" si="2"/>
        <v>10138322.751984373</v>
      </c>
      <c r="G30" s="3">
        <f>TREND($C$17:$C$39,$A$17:$A$39^{1,2},$A30^{1,2})</f>
        <v>7041790.0829976164</v>
      </c>
      <c r="H30" s="3">
        <f t="shared" si="3"/>
        <v>764424.83102410659</v>
      </c>
      <c r="I30" s="3">
        <f t="shared" si="0"/>
        <v>-98852.433628059458</v>
      </c>
    </row>
    <row r="31" spans="1:9" x14ac:dyDescent="0.25">
      <c r="A31" s="2">
        <v>15</v>
      </c>
      <c r="B31" s="2" t="s">
        <v>17</v>
      </c>
      <c r="C31" s="3">
        <f>'Данные для анализа'!E16</f>
        <v>8342022.5787704289</v>
      </c>
      <c r="D31" s="3">
        <f t="shared" si="1"/>
        <v>7928844.9089393457</v>
      </c>
      <c r="E31" s="3">
        <f t="shared" si="2"/>
        <v>5650149.7392329937</v>
      </c>
      <c r="F31" s="3">
        <f t="shared" si="2"/>
        <v>11025377.577926103</v>
      </c>
      <c r="G31" s="3">
        <f>TREND($C$17:$C$39,$A$17:$A$39^{1,2},$A31^{1,2})</f>
        <v>7928844.9089393457</v>
      </c>
      <c r="H31" s="3">
        <f t="shared" si="3"/>
        <v>413177.66983108316</v>
      </c>
      <c r="I31" s="3">
        <f t="shared" si="0"/>
        <v>22206.582979490049</v>
      </c>
    </row>
    <row r="32" spans="1:9" x14ac:dyDescent="0.25">
      <c r="A32" s="2">
        <v>16</v>
      </c>
      <c r="B32" s="2" t="s">
        <v>18</v>
      </c>
      <c r="C32" s="3">
        <f>'Данные для анализа'!E17</f>
        <v>8435287.0999999996</v>
      </c>
      <c r="D32" s="3">
        <f t="shared" si="1"/>
        <v>8875503.4436182976</v>
      </c>
      <c r="E32" s="3">
        <f t="shared" si="2"/>
        <v>6596808.2739119455</v>
      </c>
      <c r="F32" s="3">
        <f t="shared" si="2"/>
        <v>11972036.112605054</v>
      </c>
      <c r="G32" s="3">
        <f>TREND($C$17:$C$39,$A$17:$A$39^{1,2},$A32^{1,2})</f>
        <v>8875503.4436182976</v>
      </c>
      <c r="H32" s="3">
        <f t="shared" si="3"/>
        <v>-440216.34361829795</v>
      </c>
      <c r="I32" s="3">
        <f t="shared" si="0"/>
        <v>58888.645865517668</v>
      </c>
    </row>
    <row r="33" spans="1:9" x14ac:dyDescent="0.25">
      <c r="A33" s="2">
        <v>17</v>
      </c>
      <c r="B33" s="2" t="s">
        <v>19</v>
      </c>
      <c r="C33" s="3">
        <f>'Данные для анализа'!E18</f>
        <v>8889867.7000000011</v>
      </c>
      <c r="D33" s="3">
        <f t="shared" si="1"/>
        <v>9881765.6870344765</v>
      </c>
      <c r="E33" s="3">
        <f t="shared" si="2"/>
        <v>7603070.5173281245</v>
      </c>
      <c r="F33" s="3">
        <f t="shared" si="2"/>
        <v>12978298.356021233</v>
      </c>
      <c r="G33" s="3">
        <f>TREND($C$17:$C$39,$A$17:$A$39^{1,2},$A33^{1,2})</f>
        <v>9881765.6870344765</v>
      </c>
      <c r="H33" s="3">
        <f t="shared" si="3"/>
        <v>-991897.98703447543</v>
      </c>
      <c r="I33" s="3">
        <f t="shared" si="0"/>
        <v>413177.66983108316</v>
      </c>
    </row>
    <row r="34" spans="1:9" x14ac:dyDescent="0.25">
      <c r="A34" s="2">
        <v>18</v>
      </c>
      <c r="B34" s="2" t="s">
        <v>34</v>
      </c>
      <c r="C34" s="3">
        <f>'Данные для анализа'!E19</f>
        <v>9438926.0500000007</v>
      </c>
      <c r="D34" s="3">
        <f t="shared" si="1"/>
        <v>10947631.639187876</v>
      </c>
      <c r="E34" s="3">
        <f t="shared" si="2"/>
        <v>8668936.4694815241</v>
      </c>
      <c r="F34" s="3">
        <f t="shared" si="2"/>
        <v>14044164.308174632</v>
      </c>
      <c r="G34" s="3">
        <f>TREND($C$17:$C$39,$A$17:$A$39^{1,2},$A34^{1,2})</f>
        <v>10947631.639187876</v>
      </c>
      <c r="H34" s="3">
        <f t="shared" si="3"/>
        <v>-1508705.5891878754</v>
      </c>
      <c r="I34" s="3">
        <f t="shared" si="0"/>
        <v>764424.83102410659</v>
      </c>
    </row>
    <row r="35" spans="1:9" x14ac:dyDescent="0.25">
      <c r="A35" s="2">
        <v>19</v>
      </c>
      <c r="B35" s="2" t="s">
        <v>35</v>
      </c>
      <c r="C35" s="3">
        <f>'Данные для анализа'!E20</f>
        <v>9987984.4000000004</v>
      </c>
      <c r="D35" s="3">
        <f t="shared" si="1"/>
        <v>12073101.300078502</v>
      </c>
      <c r="E35" s="3">
        <f t="shared" si="2"/>
        <v>9794406.1303721499</v>
      </c>
      <c r="F35" s="3">
        <f t="shared" si="2"/>
        <v>15169633.969065258</v>
      </c>
      <c r="G35" s="3">
        <f>TREND($C$17:$C$39,$A$17:$A$39^{1,2},$A35^{1,2})</f>
        <v>12073101.300078504</v>
      </c>
      <c r="H35" s="3">
        <f t="shared" si="3"/>
        <v>-2085116.9000785016</v>
      </c>
      <c r="I35" s="3">
        <f t="shared" si="0"/>
        <v>853360.96482627653</v>
      </c>
    </row>
    <row r="36" spans="1:9" x14ac:dyDescent="0.25">
      <c r="A36" s="2">
        <v>20</v>
      </c>
      <c r="B36" s="2" t="s">
        <v>45</v>
      </c>
      <c r="C36" s="3">
        <f>'Данные для анализа'!E21</f>
        <v>10979479.5</v>
      </c>
      <c r="D36" s="3">
        <f t="shared" si="1"/>
        <v>13258174.669706352</v>
      </c>
      <c r="E36" s="3">
        <f t="shared" si="2"/>
        <v>10979479.5</v>
      </c>
      <c r="F36" s="3">
        <f t="shared" si="2"/>
        <v>16354707.338693108</v>
      </c>
      <c r="G36" s="3">
        <f>TREND($C$17:$C$39,$A$17:$A$39^{1,2},$A36^{1,2})</f>
        <v>13258174.669706352</v>
      </c>
      <c r="H36" s="3">
        <f t="shared" si="3"/>
        <v>-2278695.1697063521</v>
      </c>
      <c r="I36" s="3">
        <f t="shared" si="0"/>
        <v>1303072.2851674901</v>
      </c>
    </row>
    <row r="37" spans="1:9" x14ac:dyDescent="0.25">
      <c r="A37" s="2">
        <v>21</v>
      </c>
      <c r="B37" s="2" t="s">
        <v>46</v>
      </c>
      <c r="C37" s="3">
        <f>'Данные для анализа'!E22</f>
        <v>13819986.5</v>
      </c>
      <c r="D37" s="3">
        <f t="shared" si="1"/>
        <v>14502851.748071427</v>
      </c>
      <c r="E37" s="3">
        <f t="shared" si="2"/>
        <v>12224156.578365074</v>
      </c>
      <c r="F37" s="3">
        <f t="shared" si="2"/>
        <v>17599384.417058185</v>
      </c>
      <c r="G37" s="3">
        <f>TREND($C$17:$C$39,$A$17:$A$39^{1,2},$A37^{1,2})</f>
        <v>14502851.748071428</v>
      </c>
      <c r="H37" s="3">
        <f t="shared" si="3"/>
        <v>-682865.24807142653</v>
      </c>
      <c r="I37" s="3">
        <f t="shared" si="0"/>
        <v>1450507.8827951699</v>
      </c>
    </row>
    <row r="38" spans="1:9" x14ac:dyDescent="0.25">
      <c r="A38" s="2">
        <v>22</v>
      </c>
      <c r="B38" s="2" t="s">
        <v>47</v>
      </c>
      <c r="C38" s="3">
        <f>'Данные для анализа'!E23</f>
        <v>16660493.5</v>
      </c>
      <c r="D38" s="3">
        <f t="shared" si="1"/>
        <v>15807132.535173723</v>
      </c>
      <c r="E38" s="3">
        <f t="shared" si="2"/>
        <v>13528437.365467371</v>
      </c>
      <c r="F38" s="3">
        <f t="shared" si="2"/>
        <v>18903665.204160482</v>
      </c>
      <c r="G38" s="3">
        <f>TREND($C$17:$C$39,$A$17:$A$39^{1,2},$A38^{1,2})</f>
        <v>15807132.535173725</v>
      </c>
      <c r="H38" s="3">
        <f t="shared" si="3"/>
        <v>853360.96482627653</v>
      </c>
      <c r="I38" s="3">
        <f t="shared" si="0"/>
        <v>1620178.6690468928</v>
      </c>
    </row>
    <row r="39" spans="1:9" x14ac:dyDescent="0.25">
      <c r="A39" s="2">
        <v>23</v>
      </c>
      <c r="B39" s="2" t="s">
        <v>48</v>
      </c>
      <c r="C39" s="3">
        <f>'Данные для анализа'!E24</f>
        <v>20267549.700000003</v>
      </c>
      <c r="D39" s="3">
        <f t="shared" si="1"/>
        <v>17171017.031013247</v>
      </c>
      <c r="E39" s="3">
        <f t="shared" si="2"/>
        <v>14892321.861306895</v>
      </c>
      <c r="F39" s="3">
        <f t="shared" si="2"/>
        <v>20267549.700000003</v>
      </c>
      <c r="G39" s="3">
        <f>TREND($C$17:$C$39,$A$17:$A$39^{1,2},$A39^{1,2})</f>
        <v>17171017.031013247</v>
      </c>
      <c r="H39" s="3">
        <f t="shared" si="3"/>
        <v>3096532.6689867564</v>
      </c>
      <c r="I39" s="3">
        <f t="shared" si="0"/>
        <v>3096532.6689867564</v>
      </c>
    </row>
    <row r="40" spans="1:9" x14ac:dyDescent="0.25">
      <c r="A40" s="2">
        <v>24</v>
      </c>
      <c r="B40" s="2" t="s">
        <v>49</v>
      </c>
      <c r="D40" s="3">
        <f t="shared" si="1"/>
        <v>18594505.235589996</v>
      </c>
      <c r="E40" s="3">
        <f t="shared" si="2"/>
        <v>16315810.065883644</v>
      </c>
      <c r="F40" s="3">
        <f t="shared" si="2"/>
        <v>21691037.904576752</v>
      </c>
      <c r="G40" s="3">
        <f>TREND($C$17:$C$39,$A$17:$A$39^{1,2},$A40^{1,2})</f>
        <v>18594505.235589996</v>
      </c>
    </row>
    <row r="41" spans="1:9" x14ac:dyDescent="0.25">
      <c r="A41" s="2">
        <v>25</v>
      </c>
      <c r="B41" s="2" t="s">
        <v>159</v>
      </c>
      <c r="D41" s="3">
        <f t="shared" si="1"/>
        <v>20077597.148903966</v>
      </c>
      <c r="E41" s="3">
        <f t="shared" si="2"/>
        <v>17798901.979197614</v>
      </c>
      <c r="F41" s="3">
        <f t="shared" si="2"/>
        <v>23174129.817890722</v>
      </c>
      <c r="G41" s="3">
        <f>TREND($C$17:$C$39,$A$17:$A$39^{1,2},$A41^{1,2})</f>
        <v>20077597.148903966</v>
      </c>
    </row>
    <row r="42" spans="1:9" x14ac:dyDescent="0.25">
      <c r="A42" s="2">
        <v>26</v>
      </c>
      <c r="B42" s="2" t="s">
        <v>164</v>
      </c>
      <c r="D42" s="3">
        <f t="shared" si="1"/>
        <v>21620292.77095516</v>
      </c>
      <c r="E42" s="3">
        <f t="shared" si="2"/>
        <v>19341597.601248808</v>
      </c>
      <c r="F42" s="3">
        <f t="shared" si="2"/>
        <v>24716825.439941917</v>
      </c>
      <c r="G42" s="3">
        <f>TREND($C$17:$C$39,$A$17:$A$39^{1,2},$A42^{1,2})</f>
        <v>21620292.770955164</v>
      </c>
    </row>
    <row r="43" spans="1:9" x14ac:dyDescent="0.25">
      <c r="A43" s="2">
        <v>27</v>
      </c>
      <c r="B43" s="2" t="s">
        <v>165</v>
      </c>
      <c r="D43" s="3">
        <f t="shared" si="1"/>
        <v>23222592.101743583</v>
      </c>
      <c r="E43" s="3">
        <f t="shared" si="2"/>
        <v>20943896.932037231</v>
      </c>
      <c r="F43" s="3">
        <f t="shared" si="2"/>
        <v>26319124.770730339</v>
      </c>
      <c r="G43" s="3">
        <f>TREND($C$17:$C$39,$A$17:$A$39^{1,2},$A43^{1,2})</f>
        <v>23222592.101743583</v>
      </c>
    </row>
    <row r="44" spans="1:9" x14ac:dyDescent="0.25">
      <c r="A44" s="2">
        <v>28</v>
      </c>
      <c r="B44" s="2" t="s">
        <v>166</v>
      </c>
      <c r="D44" s="3">
        <f t="shared" si="1"/>
        <v>24884495.141269226</v>
      </c>
      <c r="E44" s="3">
        <f t="shared" si="2"/>
        <v>22605799.971562874</v>
      </c>
      <c r="F44" s="3">
        <f t="shared" si="2"/>
        <v>27981027.810255982</v>
      </c>
      <c r="G44" s="3">
        <f>TREND($C$17:$C$39,$A$17:$A$39^{1,2},$A44^{1,2})</f>
        <v>24884495.141269226</v>
      </c>
    </row>
    <row r="45" spans="1:9" x14ac:dyDescent="0.25">
      <c r="A45" s="2">
        <v>29</v>
      </c>
      <c r="B45" s="2" t="s">
        <v>167</v>
      </c>
      <c r="D45" s="3">
        <f t="shared" si="1"/>
        <v>26606001.889532093</v>
      </c>
      <c r="E45" s="3">
        <f t="shared" si="2"/>
        <v>24327306.719825741</v>
      </c>
      <c r="F45" s="3">
        <f t="shared" si="2"/>
        <v>29702534.558518849</v>
      </c>
      <c r="G45" s="3">
        <f>TREND($C$17:$C$39,$A$17:$A$39^{1,2},$A45^{1,2})</f>
        <v>26606001.889532097</v>
      </c>
    </row>
    <row r="46" spans="1:9" x14ac:dyDescent="0.25">
      <c r="A46" s="2">
        <v>30</v>
      </c>
      <c r="B46" s="2" t="s">
        <v>176</v>
      </c>
      <c r="D46" s="3">
        <f t="shared" si="1"/>
        <v>28387112.346532188</v>
      </c>
      <c r="E46" s="3">
        <f t="shared" si="2"/>
        <v>26108417.176825836</v>
      </c>
      <c r="F46" s="3">
        <f t="shared" si="2"/>
        <v>31483645.015518945</v>
      </c>
      <c r="G46" s="3">
        <f>TREND($C$17:$C$39,$A$17:$A$39^{1,2},$A46^{1,2})</f>
        <v>28387112.346532188</v>
      </c>
    </row>
    <row r="47" spans="1:9" x14ac:dyDescent="0.25">
      <c r="A47" s="2">
        <v>31</v>
      </c>
      <c r="B47" s="2" t="s">
        <v>177</v>
      </c>
      <c r="D47" s="3">
        <f t="shared" si="1"/>
        <v>30227826.512269504</v>
      </c>
      <c r="E47" s="3">
        <f t="shared" si="2"/>
        <v>27949131.342563152</v>
      </c>
      <c r="F47" s="3">
        <f t="shared" si="2"/>
        <v>33324359.181256261</v>
      </c>
      <c r="G47" s="3">
        <f>TREND($C$17:$C$39,$A$17:$A$39^{1,2},$A47^{1,2})</f>
        <v>30227826.512269504</v>
      </c>
    </row>
    <row r="48" spans="1:9" x14ac:dyDescent="0.25">
      <c r="A48" s="2">
        <v>32</v>
      </c>
      <c r="B48" s="2" t="s">
        <v>178</v>
      </c>
      <c r="D48" s="3">
        <f t="shared" si="1"/>
        <v>32128144.386744045</v>
      </c>
      <c r="E48" s="3">
        <f t="shared" si="2"/>
        <v>29849449.217037693</v>
      </c>
      <c r="F48" s="3">
        <f t="shared" si="2"/>
        <v>35224677.055730805</v>
      </c>
      <c r="G48" s="3">
        <f>TREND($C$17:$C$39,$A$17:$A$39^{1,2},$A48^{1,2})</f>
        <v>32128144.386744048</v>
      </c>
    </row>
    <row r="49" spans="1:7" x14ac:dyDescent="0.25">
      <c r="A49" s="2">
        <v>33</v>
      </c>
      <c r="B49" s="2" t="s">
        <v>179</v>
      </c>
      <c r="D49" s="3">
        <f t="shared" si="1"/>
        <v>34088065.969955817</v>
      </c>
      <c r="E49" s="3">
        <f t="shared" si="2"/>
        <v>31809370.800249465</v>
      </c>
      <c r="F49" s="3">
        <f t="shared" si="2"/>
        <v>37184598.638942569</v>
      </c>
      <c r="G49" s="3">
        <f>TREND($C$17:$C$39,$A$17:$A$39^{1,2},$A49^{1,2})</f>
        <v>34088065.969955809</v>
      </c>
    </row>
    <row r="50" spans="1:7" x14ac:dyDescent="0.25">
      <c r="A50" s="2">
        <v>34</v>
      </c>
      <c r="B50" s="2" t="s">
        <v>180</v>
      </c>
      <c r="D50" s="3">
        <f t="shared" si="1"/>
        <v>36107591.261904806</v>
      </c>
      <c r="E50" s="3">
        <f t="shared" si="2"/>
        <v>33828896.092198454</v>
      </c>
      <c r="F50" s="3">
        <f t="shared" si="2"/>
        <v>39204123.930891559</v>
      </c>
      <c r="G50" s="3">
        <f>TREND($C$17:$C$39,$A$17:$A$39^{1,2},$A50^{1,2})</f>
        <v>36107591.261904806</v>
      </c>
    </row>
  </sheetData>
  <mergeCells count="2">
    <mergeCell ref="E15:F15"/>
    <mergeCell ref="E11:F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8477E-2414-4441-A4E4-5EAA9940E8B6}">
  <dimension ref="A1:I51"/>
  <sheetViews>
    <sheetView zoomScale="85" zoomScaleNormal="85" workbookViewId="0">
      <selection activeCell="W30" sqref="W30"/>
    </sheetView>
  </sheetViews>
  <sheetFormatPr defaultRowHeight="15" x14ac:dyDescent="0.25"/>
  <cols>
    <col min="1" max="1" width="9.42578125" customWidth="1"/>
    <col min="2" max="2" width="12.85546875" customWidth="1"/>
    <col min="3" max="4" width="20.28515625" customWidth="1"/>
    <col min="5" max="5" width="14.140625" customWidth="1"/>
    <col min="6" max="6" width="12.140625" customWidth="1"/>
    <col min="7" max="7" width="14.5703125" customWidth="1"/>
    <col min="8" max="8" width="13.28515625" customWidth="1"/>
    <col min="9" max="9" width="15" customWidth="1"/>
  </cols>
  <sheetData>
    <row r="1" spans="1:9" x14ac:dyDescent="0.25">
      <c r="A1" t="s">
        <v>181</v>
      </c>
    </row>
    <row r="2" spans="1:9" x14ac:dyDescent="0.25">
      <c r="B2" s="18" t="s">
        <v>182</v>
      </c>
      <c r="C2" s="17" t="s">
        <v>183</v>
      </c>
      <c r="D2" s="22" t="s">
        <v>239</v>
      </c>
    </row>
    <row r="3" spans="1:9" x14ac:dyDescent="0.25">
      <c r="B3" s="18" t="s">
        <v>184</v>
      </c>
      <c r="C3" s="17" t="s">
        <v>185</v>
      </c>
    </row>
    <row r="4" spans="1:9" x14ac:dyDescent="0.25">
      <c r="A4">
        <v>4</v>
      </c>
      <c r="B4" s="18" t="s">
        <v>186</v>
      </c>
      <c r="C4" t="s">
        <v>187</v>
      </c>
      <c r="D4" s="19">
        <f>INDEX(LINEST($C$18:$C$40,$A$18:$A$40^{1,2,3}),A4)</f>
        <v>-2703.7871998415212</v>
      </c>
    </row>
    <row r="5" spans="1:9" x14ac:dyDescent="0.25">
      <c r="A5">
        <v>3</v>
      </c>
      <c r="C5" t="s">
        <v>188</v>
      </c>
      <c r="D5" s="19">
        <f>INDEX(LINEST($C$18:$C$40,$A$18:$A$40^{1,2,3}),A5)</f>
        <v>6099.5118513114821</v>
      </c>
    </row>
    <row r="6" spans="1:9" x14ac:dyDescent="0.25">
      <c r="A6">
        <v>2</v>
      </c>
      <c r="C6" t="s">
        <v>235</v>
      </c>
      <c r="D6" s="19">
        <f>INDEX(LINEST($C$18:$C$40,$A$18:$A$40^{1,2,3}),A6)</f>
        <v>-320.13517821263383</v>
      </c>
    </row>
    <row r="7" spans="1:9" x14ac:dyDescent="0.25">
      <c r="A7">
        <v>1</v>
      </c>
      <c r="C7" t="s">
        <v>240</v>
      </c>
      <c r="D7" s="19">
        <f>INDEX(LINEST($C$18:$C$40,$A$18:$A$40^{1,2,3}),A7)</f>
        <v>13.987326805894437</v>
      </c>
    </row>
    <row r="8" spans="1:9" x14ac:dyDescent="0.25">
      <c r="B8" s="18" t="s">
        <v>194</v>
      </c>
      <c r="C8" s="17" t="s">
        <v>195</v>
      </c>
    </row>
    <row r="9" spans="1:9" x14ac:dyDescent="0.25">
      <c r="B9" s="18" t="s">
        <v>212</v>
      </c>
      <c r="C9" s="17" t="s">
        <v>213</v>
      </c>
    </row>
    <row r="12" spans="1:9" x14ac:dyDescent="0.25">
      <c r="B12" s="18" t="s">
        <v>204</v>
      </c>
      <c r="C12" s="22" t="s">
        <v>205</v>
      </c>
      <c r="E12" s="46" t="s">
        <v>236</v>
      </c>
      <c r="F12" s="47"/>
    </row>
    <row r="13" spans="1:9" x14ac:dyDescent="0.25">
      <c r="E13" s="24" t="s">
        <v>163</v>
      </c>
      <c r="F13" s="24" t="s">
        <v>162</v>
      </c>
    </row>
    <row r="14" spans="1:9" x14ac:dyDescent="0.25">
      <c r="E14" s="3">
        <f>MIN($H$18:$H$40)</f>
        <v>-5285.5929884900979</v>
      </c>
      <c r="F14" s="3">
        <f>MAX($H$18:$H$40)</f>
        <v>7426.1186468431551</v>
      </c>
    </row>
    <row r="15" spans="1:9" x14ac:dyDescent="0.25">
      <c r="B15" s="18"/>
    </row>
    <row r="16" spans="1:9" x14ac:dyDescent="0.25">
      <c r="A16" s="4" t="s">
        <v>20</v>
      </c>
      <c r="B16" s="4" t="s">
        <v>12</v>
      </c>
      <c r="C16" s="39" t="str">
        <f>'Данные для анализа'!F1</f>
        <v>З/п</v>
      </c>
      <c r="D16" s="4" t="s">
        <v>191</v>
      </c>
      <c r="E16" s="42" t="s">
        <v>201</v>
      </c>
      <c r="F16" s="43"/>
      <c r="G16" s="4" t="s">
        <v>191</v>
      </c>
      <c r="H16" s="4" t="s">
        <v>193</v>
      </c>
      <c r="I16" s="4" t="s">
        <v>198</v>
      </c>
    </row>
    <row r="17" spans="1:9" x14ac:dyDescent="0.25">
      <c r="A17" s="4" t="s">
        <v>189</v>
      </c>
      <c r="B17" s="4"/>
      <c r="C17" s="4" t="s">
        <v>160</v>
      </c>
      <c r="D17" s="4" t="s">
        <v>190</v>
      </c>
      <c r="E17" s="4" t="s">
        <v>202</v>
      </c>
      <c r="F17" s="4" t="s">
        <v>203</v>
      </c>
      <c r="G17" s="4" t="s">
        <v>237</v>
      </c>
      <c r="H17" s="4" t="s">
        <v>196</v>
      </c>
      <c r="I17" s="4" t="s">
        <v>199</v>
      </c>
    </row>
    <row r="18" spans="1:9" x14ac:dyDescent="0.25">
      <c r="A18" s="2">
        <v>1</v>
      </c>
      <c r="B18" s="2" t="s">
        <v>2</v>
      </c>
      <c r="C18" s="3">
        <f>'Данные для анализа'!F2</f>
        <v>7124.9668564346994</v>
      </c>
      <c r="D18" s="3">
        <f>$D$4 + $D$5*$A18 + $D$6*A18^2 + $D$7*A18^3</f>
        <v>3089.5768000632215</v>
      </c>
      <c r="E18" s="3">
        <f>$D18+ E$14</f>
        <v>-2196.0161884268764</v>
      </c>
      <c r="F18" s="3">
        <f>$D18+ F$14</f>
        <v>10515.695446906377</v>
      </c>
      <c r="G18" s="3">
        <f>TREND($C$18:$C$40,$A$18:$A$40^{1,2,3},$A18^{1,2,3})</f>
        <v>3089.5768000632215</v>
      </c>
      <c r="H18" s="3">
        <f>C18 - D18</f>
        <v>4035.3900563714778</v>
      </c>
      <c r="I18" s="3">
        <f t="shared" ref="I18:I40" si="0">SMALL($H$18:$H$41,A18)</f>
        <v>-5285.5929884900979</v>
      </c>
    </row>
    <row r="19" spans="1:9" x14ac:dyDescent="0.25">
      <c r="A19" s="2">
        <v>2</v>
      </c>
      <c r="B19" s="2" t="s">
        <v>3</v>
      </c>
      <c r="C19" s="3">
        <f>'Данные для анализа'!F3</f>
        <v>9472.4628590143511</v>
      </c>
      <c r="D19" s="3">
        <f t="shared" ref="D19:D51" si="1">$D$4 + $D$5*$A19 + $D$6*A19^2 + $D$7*A19^3</f>
        <v>8326.5944043780619</v>
      </c>
      <c r="E19" s="3">
        <f t="shared" ref="E19:F51" si="2">$D19+ E$14</f>
        <v>3041.001415887964</v>
      </c>
      <c r="F19" s="3">
        <f t="shared" si="2"/>
        <v>15752.713051221217</v>
      </c>
      <c r="G19" s="3">
        <f>TREND($C$18:$C$40,$A$18:$A$40^{1,2,3},$A19^{1,2,3})</f>
        <v>8326.5944043780619</v>
      </c>
      <c r="H19" s="3">
        <f t="shared" ref="H19:H40" si="3">C19 - D19</f>
        <v>1145.8684546362892</v>
      </c>
      <c r="I19" s="3">
        <f t="shared" si="0"/>
        <v>-5170.4816353164642</v>
      </c>
    </row>
    <row r="20" spans="1:9" x14ac:dyDescent="0.25">
      <c r="A20" s="2">
        <v>3</v>
      </c>
      <c r="B20" s="2" t="s">
        <v>4</v>
      </c>
      <c r="C20" s="3">
        <f>'Данные для анализа'!F4</f>
        <v>10821.718177877687</v>
      </c>
      <c r="D20" s="3">
        <f t="shared" si="1"/>
        <v>13091.189573938369</v>
      </c>
      <c r="E20" s="3">
        <f t="shared" si="2"/>
        <v>7805.5965854482711</v>
      </c>
      <c r="F20" s="3">
        <f t="shared" si="2"/>
        <v>20517.308220781524</v>
      </c>
      <c r="G20" s="3">
        <f>TREND($C$18:$C$40,$A$18:$A$40^{1,2,3},$A20^{1,2,3})</f>
        <v>13091.189573938369</v>
      </c>
      <c r="H20" s="3">
        <f t="shared" si="3"/>
        <v>-2269.4713960606823</v>
      </c>
      <c r="I20" s="3">
        <f t="shared" si="0"/>
        <v>-4215.3948920390249</v>
      </c>
    </row>
    <row r="21" spans="1:9" x14ac:dyDescent="0.25">
      <c r="A21" s="2">
        <v>4</v>
      </c>
      <c r="B21" s="2" t="s">
        <v>5</v>
      </c>
      <c r="C21" s="3">
        <f>'Данные для анализа'!F5</f>
        <v>15014.027631766721</v>
      </c>
      <c r="D21" s="3">
        <f t="shared" si="1"/>
        <v>17467.286269579512</v>
      </c>
      <c r="E21" s="3">
        <f t="shared" si="2"/>
        <v>12181.693281089414</v>
      </c>
      <c r="F21" s="3">
        <f t="shared" si="2"/>
        <v>24893.404916422667</v>
      </c>
      <c r="G21" s="3">
        <f>TREND($C$18:$C$40,$A$18:$A$40^{1,2,3},$A21^{1,2,3})</f>
        <v>17467.286269579512</v>
      </c>
      <c r="H21" s="3">
        <f t="shared" si="3"/>
        <v>-2453.2586378127908</v>
      </c>
      <c r="I21" s="3">
        <f t="shared" si="0"/>
        <v>-3073.8219483626453</v>
      </c>
    </row>
    <row r="22" spans="1:9" x14ac:dyDescent="0.25">
      <c r="A22" s="2">
        <v>5</v>
      </c>
      <c r="B22" s="2" t="s">
        <v>6</v>
      </c>
      <c r="C22" s="3">
        <f>'Данные для анализа'!F6</f>
        <v>18464.986503774206</v>
      </c>
      <c r="D22" s="3">
        <f t="shared" si="1"/>
        <v>21538.808452136851</v>
      </c>
      <c r="E22" s="3">
        <f t="shared" si="2"/>
        <v>16253.215463646753</v>
      </c>
      <c r="F22" s="3">
        <f t="shared" si="2"/>
        <v>28964.927098980006</v>
      </c>
      <c r="G22" s="3">
        <f>TREND($C$18:$C$40,$A$18:$A$40^{1,2,3},$A22^{1,2,3})</f>
        <v>21538.808452136851</v>
      </c>
      <c r="H22" s="3">
        <f t="shared" si="3"/>
        <v>-3073.8219483626453</v>
      </c>
      <c r="I22" s="3">
        <f t="shared" si="0"/>
        <v>-2453.2586378127908</v>
      </c>
    </row>
    <row r="23" spans="1:9" x14ac:dyDescent="0.25">
      <c r="A23" s="2">
        <v>6</v>
      </c>
      <c r="B23" s="2" t="s">
        <v>7</v>
      </c>
      <c r="C23" s="3">
        <f>'Данные для анализа'!F7</f>
        <v>23149.291880697179</v>
      </c>
      <c r="D23" s="3">
        <f t="shared" si="1"/>
        <v>25389.68008244575</v>
      </c>
      <c r="E23" s="3">
        <f t="shared" si="2"/>
        <v>20104.087093955652</v>
      </c>
      <c r="F23" s="3">
        <f t="shared" si="2"/>
        <v>32815.798729288901</v>
      </c>
      <c r="G23" s="3">
        <f>TREND($C$18:$C$40,$A$18:$A$40^{1,2,3},$A23^{1,2,3})</f>
        <v>25389.68008244575</v>
      </c>
      <c r="H23" s="3">
        <f t="shared" si="3"/>
        <v>-2240.3882017485703</v>
      </c>
      <c r="I23" s="3">
        <f t="shared" si="0"/>
        <v>-2269.4713960606823</v>
      </c>
    </row>
    <row r="24" spans="1:9" x14ac:dyDescent="0.25">
      <c r="A24" s="2">
        <v>7</v>
      </c>
      <c r="B24" s="2" t="s">
        <v>8</v>
      </c>
      <c r="C24" s="3">
        <f>'Данные для анализа'!F8</f>
        <v>29243.136120380714</v>
      </c>
      <c r="D24" s="3">
        <f t="shared" si="1"/>
        <v>29103.82512134159</v>
      </c>
      <c r="E24" s="3">
        <f t="shared" si="2"/>
        <v>23818.232132851492</v>
      </c>
      <c r="F24" s="3">
        <f t="shared" si="2"/>
        <v>36529.943768184748</v>
      </c>
      <c r="G24" s="3">
        <f>TREND($C$18:$C$40,$A$18:$A$40^{1,2,3},$A24^{1,2,3})</f>
        <v>29103.82512134159</v>
      </c>
      <c r="H24" s="3">
        <f t="shared" si="3"/>
        <v>139.310999039124</v>
      </c>
      <c r="I24" s="3">
        <f t="shared" si="0"/>
        <v>-2240.3882017485703</v>
      </c>
    </row>
    <row r="25" spans="1:9" x14ac:dyDescent="0.25">
      <c r="A25" s="2">
        <v>8</v>
      </c>
      <c r="B25" s="2" t="s">
        <v>9</v>
      </c>
      <c r="C25" s="3">
        <f>'Данные для анализа'!F9</f>
        <v>32827.12981312503</v>
      </c>
      <c r="D25" s="3">
        <f t="shared" si="1"/>
        <v>32765.167529659724</v>
      </c>
      <c r="E25" s="3">
        <f t="shared" si="2"/>
        <v>27479.574541169626</v>
      </c>
      <c r="F25" s="3">
        <f t="shared" si="2"/>
        <v>40191.286176502879</v>
      </c>
      <c r="G25" s="3">
        <f>TREND($C$18:$C$40,$A$18:$A$40^{1,2,3},$A25^{1,2,3})</f>
        <v>32765.167529659724</v>
      </c>
      <c r="H25" s="3">
        <f t="shared" si="3"/>
        <v>61.962283465305518</v>
      </c>
      <c r="I25" s="3">
        <f t="shared" si="0"/>
        <v>-2237.8697833721453</v>
      </c>
    </row>
    <row r="26" spans="1:9" x14ac:dyDescent="0.25">
      <c r="A26" s="2">
        <v>9</v>
      </c>
      <c r="B26" s="2" t="s">
        <v>10</v>
      </c>
      <c r="C26" s="3">
        <f>'Данные для анализа'!F10</f>
        <v>34417.519307577262</v>
      </c>
      <c r="D26" s="3">
        <f t="shared" si="1"/>
        <v>36457.63126823552</v>
      </c>
      <c r="E26" s="3">
        <f t="shared" si="2"/>
        <v>31172.038279745422</v>
      </c>
      <c r="F26" s="3">
        <f t="shared" si="2"/>
        <v>43883.749915078675</v>
      </c>
      <c r="G26" s="3">
        <f>TREND($C$18:$C$40,$A$18:$A$40^{1,2,3},$A26^{1,2,3})</f>
        <v>36457.63126823552</v>
      </c>
      <c r="H26" s="3">
        <f t="shared" si="3"/>
        <v>-2040.1119606582579</v>
      </c>
      <c r="I26" s="3">
        <f t="shared" si="0"/>
        <v>-2040.1119606582579</v>
      </c>
    </row>
    <row r="27" spans="1:9" x14ac:dyDescent="0.25">
      <c r="A27" s="2">
        <v>10</v>
      </c>
      <c r="B27" s="2" t="s">
        <v>11</v>
      </c>
      <c r="C27" s="3">
        <f>'Данные для анализа'!F11</f>
        <v>38027.270514532211</v>
      </c>
      <c r="D27" s="3">
        <f t="shared" si="1"/>
        <v>40265.140297904356</v>
      </c>
      <c r="E27" s="3">
        <f t="shared" si="2"/>
        <v>34979.547309414258</v>
      </c>
      <c r="F27" s="3">
        <f t="shared" si="2"/>
        <v>47691.258944747511</v>
      </c>
      <c r="G27" s="3">
        <f>TREND($C$18:$C$40,$A$18:$A$40^{1,2,3},$A27^{1,2,3})</f>
        <v>40265.140297904356</v>
      </c>
      <c r="H27" s="3">
        <f t="shared" si="3"/>
        <v>-2237.8697833721453</v>
      </c>
      <c r="I27" s="3">
        <f t="shared" si="0"/>
        <v>-1971.213201945764</v>
      </c>
    </row>
    <row r="28" spans="1:9" x14ac:dyDescent="0.25">
      <c r="A28" s="2">
        <v>11</v>
      </c>
      <c r="B28" s="2" t="s">
        <v>13</v>
      </c>
      <c r="C28" s="3">
        <f>'Данные для анализа'!F12</f>
        <v>48913.793502099419</v>
      </c>
      <c r="D28" s="3">
        <f t="shared" si="1"/>
        <v>44271.618579501592</v>
      </c>
      <c r="E28" s="3">
        <f t="shared" si="2"/>
        <v>38986.025591011494</v>
      </c>
      <c r="F28" s="3">
        <f t="shared" si="2"/>
        <v>51697.737226344747</v>
      </c>
      <c r="G28" s="3">
        <f>TREND($C$18:$C$40,$A$18:$A$40^{1,2,3},$A28^{1,2,3})</f>
        <v>44271.618579501592</v>
      </c>
      <c r="H28" s="3">
        <f t="shared" si="3"/>
        <v>4642.1749225978274</v>
      </c>
      <c r="I28" s="3">
        <f t="shared" si="0"/>
        <v>-954.80310326027393</v>
      </c>
    </row>
    <row r="29" spans="1:9" x14ac:dyDescent="0.25">
      <c r="A29" s="2">
        <v>12</v>
      </c>
      <c r="B29" s="2" t="s">
        <v>14</v>
      </c>
      <c r="C29" s="3">
        <f>'Данные для анализа'!F13</f>
        <v>55417.97686444701</v>
      </c>
      <c r="D29" s="3">
        <f t="shared" si="1"/>
        <v>48560.990073862573</v>
      </c>
      <c r="E29" s="3">
        <f t="shared" si="2"/>
        <v>43275.397085372475</v>
      </c>
      <c r="F29" s="3">
        <f t="shared" si="2"/>
        <v>55987.108720705728</v>
      </c>
      <c r="G29" s="3">
        <f>TREND($C$18:$C$40,$A$18:$A$40^{1,2,3},$A29^{1,2,3})</f>
        <v>48560.990073862573</v>
      </c>
      <c r="H29" s="3">
        <f t="shared" si="3"/>
        <v>6856.9867905844367</v>
      </c>
      <c r="I29" s="3">
        <f t="shared" si="0"/>
        <v>-895.53848274358461</v>
      </c>
    </row>
    <row r="30" spans="1:9" x14ac:dyDescent="0.25">
      <c r="A30" s="2">
        <v>13</v>
      </c>
      <c r="B30" s="2" t="s">
        <v>15</v>
      </c>
      <c r="C30" s="3">
        <f>'Данные для анализа'!F14</f>
        <v>58446.402896956672</v>
      </c>
      <c r="D30" s="3">
        <f t="shared" si="1"/>
        <v>53217.178741822703</v>
      </c>
      <c r="E30" s="3">
        <f t="shared" si="2"/>
        <v>47931.585753332605</v>
      </c>
      <c r="F30" s="3">
        <f t="shared" si="2"/>
        <v>60643.297388665858</v>
      </c>
      <c r="G30" s="3">
        <f>TREND($C$18:$C$40,$A$18:$A$40^{1,2,3},$A30^{1,2,3})</f>
        <v>53217.178741822703</v>
      </c>
      <c r="H30" s="3">
        <f t="shared" si="3"/>
        <v>5229.2241551339685</v>
      </c>
      <c r="I30" s="3">
        <f t="shared" si="0"/>
        <v>55.181685151852435</v>
      </c>
    </row>
    <row r="31" spans="1:9" x14ac:dyDescent="0.25">
      <c r="A31" s="2">
        <v>14</v>
      </c>
      <c r="B31" s="2" t="s">
        <v>16</v>
      </c>
      <c r="C31" s="3">
        <f>'Данные для анализа'!F15</f>
        <v>57428.570061473758</v>
      </c>
      <c r="D31" s="3">
        <f t="shared" si="1"/>
        <v>58324.108544217343</v>
      </c>
      <c r="E31" s="3">
        <f t="shared" si="2"/>
        <v>53038.515555727245</v>
      </c>
      <c r="F31" s="3">
        <f t="shared" si="2"/>
        <v>65750.22719106049</v>
      </c>
      <c r="G31" s="3">
        <f>TREND($C$18:$C$40,$A$18:$A$40^{1,2,3},$A31^{1,2,3})</f>
        <v>58324.108544217343</v>
      </c>
      <c r="H31" s="3">
        <f t="shared" si="3"/>
        <v>-895.53848274358461</v>
      </c>
      <c r="I31" s="3">
        <f t="shared" si="0"/>
        <v>61.962283465305518</v>
      </c>
    </row>
    <row r="32" spans="1:9" x14ac:dyDescent="0.25">
      <c r="A32" s="2">
        <v>15</v>
      </c>
      <c r="B32" s="2" t="s">
        <v>17</v>
      </c>
      <c r="C32" s="3">
        <f>'Данные для анализа'!F16</f>
        <v>59750.30854984279</v>
      </c>
      <c r="D32" s="3">
        <f t="shared" si="1"/>
        <v>63965.703441881815</v>
      </c>
      <c r="E32" s="3">
        <f t="shared" si="2"/>
        <v>58680.110453391717</v>
      </c>
      <c r="F32" s="3">
        <f t="shared" si="2"/>
        <v>71391.822088724963</v>
      </c>
      <c r="G32" s="3">
        <f>TREND($C$18:$C$40,$A$18:$A$40^{1,2,3},$A32^{1,2,3})</f>
        <v>63965.703441881808</v>
      </c>
      <c r="H32" s="3">
        <f t="shared" si="3"/>
        <v>-4215.3948920390249</v>
      </c>
      <c r="I32" s="3">
        <f t="shared" si="0"/>
        <v>139.310999039124</v>
      </c>
    </row>
    <row r="33" spans="1:9" x14ac:dyDescent="0.25">
      <c r="A33" s="2">
        <v>16</v>
      </c>
      <c r="B33" s="2" t="s">
        <v>18</v>
      </c>
      <c r="C33" s="3">
        <f>'Данные для анализа'!F17</f>
        <v>71121.2</v>
      </c>
      <c r="D33" s="3">
        <f t="shared" si="1"/>
        <v>70225.887395651545</v>
      </c>
      <c r="E33" s="3">
        <f t="shared" si="2"/>
        <v>64940.294407161447</v>
      </c>
      <c r="F33" s="3">
        <f t="shared" si="2"/>
        <v>77652.006042494701</v>
      </c>
      <c r="G33" s="3">
        <f>TREND($C$18:$C$40,$A$18:$A$40^{1,2,3},$A33^{1,2,3})</f>
        <v>70225.887395651545</v>
      </c>
      <c r="H33" s="3">
        <f t="shared" si="3"/>
        <v>895.31260434845171</v>
      </c>
      <c r="I33" s="3">
        <f t="shared" si="0"/>
        <v>895.31260434845171</v>
      </c>
    </row>
    <row r="34" spans="1:9" x14ac:dyDescent="0.25">
      <c r="A34" s="2">
        <v>17</v>
      </c>
      <c r="B34" s="2" t="s">
        <v>19</v>
      </c>
      <c r="C34" s="3">
        <f>'Данные для анализа'!F18</f>
        <v>79509</v>
      </c>
      <c r="D34" s="3">
        <f t="shared" si="1"/>
        <v>77188.584366361873</v>
      </c>
      <c r="E34" s="3">
        <f t="shared" si="2"/>
        <v>71902.991377871775</v>
      </c>
      <c r="F34" s="3">
        <f t="shared" si="2"/>
        <v>84614.703013205028</v>
      </c>
      <c r="G34" s="3">
        <f>TREND($C$18:$C$40,$A$18:$A$40^{1,2,3},$A34^{1,2,3})</f>
        <v>77188.584366361873</v>
      </c>
      <c r="H34" s="3">
        <f t="shared" si="3"/>
        <v>2320.4156336381275</v>
      </c>
      <c r="I34" s="3">
        <f t="shared" si="0"/>
        <v>1145.8684546362892</v>
      </c>
    </row>
    <row r="35" spans="1:9" x14ac:dyDescent="0.25">
      <c r="A35" s="2">
        <v>18</v>
      </c>
      <c r="B35" s="2" t="s">
        <v>34</v>
      </c>
      <c r="C35" s="3">
        <f>'Данные для анализа'!F19</f>
        <v>84992.9</v>
      </c>
      <c r="D35" s="3">
        <f t="shared" si="1"/>
        <v>84937.718314848142</v>
      </c>
      <c r="E35" s="3">
        <f t="shared" si="2"/>
        <v>79652.125326358044</v>
      </c>
      <c r="F35" s="3">
        <f t="shared" si="2"/>
        <v>92363.836961691297</v>
      </c>
      <c r="G35" s="3">
        <f>TREND($C$18:$C$40,$A$18:$A$40^{1,2,3},$A35^{1,2,3})</f>
        <v>84937.718314848142</v>
      </c>
      <c r="H35" s="3">
        <f t="shared" si="3"/>
        <v>55.181685151852435</v>
      </c>
      <c r="I35" s="3">
        <f t="shared" si="0"/>
        <v>2320.4156336381275</v>
      </c>
    </row>
    <row r="36" spans="1:9" x14ac:dyDescent="0.25">
      <c r="A36" s="2">
        <v>19</v>
      </c>
      <c r="B36" s="2" t="s">
        <v>35</v>
      </c>
      <c r="C36" s="3">
        <f>'Данные для анализа'!F20</f>
        <v>91586</v>
      </c>
      <c r="D36" s="3">
        <f t="shared" si="1"/>
        <v>93557.213201945764</v>
      </c>
      <c r="E36" s="3">
        <f t="shared" si="2"/>
        <v>88271.620213455666</v>
      </c>
      <c r="F36" s="3">
        <f t="shared" si="2"/>
        <v>100983.33184878892</v>
      </c>
      <c r="G36" s="3">
        <f>TREND($C$18:$C$40,$A$18:$A$40^{1,2,3},$A36^{1,2,3})</f>
        <v>93557.213201945764</v>
      </c>
      <c r="H36" s="3">
        <f t="shared" si="3"/>
        <v>-1971.213201945764</v>
      </c>
      <c r="I36" s="3">
        <f t="shared" si="0"/>
        <v>4035.3900563714778</v>
      </c>
    </row>
    <row r="37" spans="1:9" x14ac:dyDescent="0.25">
      <c r="A37" s="2">
        <v>20</v>
      </c>
      <c r="B37" s="2" t="s">
        <v>45</v>
      </c>
      <c r="C37" s="3">
        <f>'Данные для анализа'!F21</f>
        <v>97845.4</v>
      </c>
      <c r="D37" s="3">
        <f t="shared" si="1"/>
        <v>103130.99298849009</v>
      </c>
      <c r="E37" s="3">
        <f t="shared" si="2"/>
        <v>97845.4</v>
      </c>
      <c r="F37" s="3">
        <f t="shared" si="2"/>
        <v>110557.11163533325</v>
      </c>
      <c r="G37" s="3">
        <f>TREND($C$18:$C$40,$A$18:$A$40^{1,2,3},$A37^{1,2,3})</f>
        <v>103130.99298849009</v>
      </c>
      <c r="H37" s="3">
        <f t="shared" si="3"/>
        <v>-5285.5929884900979</v>
      </c>
      <c r="I37" s="3">
        <f t="shared" si="0"/>
        <v>4642.1749225978274</v>
      </c>
    </row>
    <row r="38" spans="1:9" x14ac:dyDescent="0.25">
      <c r="A38" s="2">
        <v>21</v>
      </c>
      <c r="B38" s="2" t="s">
        <v>46</v>
      </c>
      <c r="C38" s="3">
        <f>'Данные для анализа'!F22</f>
        <v>108572.5</v>
      </c>
      <c r="D38" s="3">
        <f t="shared" si="1"/>
        <v>113742.98163531646</v>
      </c>
      <c r="E38" s="3">
        <f t="shared" si="2"/>
        <v>108457.38864682637</v>
      </c>
      <c r="F38" s="3">
        <f t="shared" si="2"/>
        <v>121169.10028215962</v>
      </c>
      <c r="G38" s="3">
        <f>TREND($C$18:$C$40,$A$18:$A$40^{1,2,3},$A38^{1,2,3})</f>
        <v>113742.98163531646</v>
      </c>
      <c r="H38" s="3">
        <f t="shared" si="3"/>
        <v>-5170.4816353164642</v>
      </c>
      <c r="I38" s="3">
        <f t="shared" si="0"/>
        <v>5229.2241551339685</v>
      </c>
    </row>
    <row r="39" spans="1:9" x14ac:dyDescent="0.25">
      <c r="A39" s="2">
        <v>22</v>
      </c>
      <c r="B39" s="2" t="s">
        <v>47</v>
      </c>
      <c r="C39" s="3">
        <f>'Данные для анализа'!F23</f>
        <v>124522.3</v>
      </c>
      <c r="D39" s="3">
        <f t="shared" si="1"/>
        <v>125477.10310326028</v>
      </c>
      <c r="E39" s="3">
        <f t="shared" si="2"/>
        <v>120191.51011477018</v>
      </c>
      <c r="F39" s="3">
        <f t="shared" si="2"/>
        <v>132903.22175010343</v>
      </c>
      <c r="G39" s="3">
        <f>TREND($C$18:$C$40,$A$18:$A$40^{1,2,3},$A39^{1,2,3})</f>
        <v>125477.10310326028</v>
      </c>
      <c r="H39" s="3">
        <f t="shared" si="3"/>
        <v>-954.80310326027393</v>
      </c>
      <c r="I39" s="3">
        <f t="shared" si="0"/>
        <v>6856.9867905844367</v>
      </c>
    </row>
    <row r="40" spans="1:9" x14ac:dyDescent="0.25">
      <c r="A40" s="2">
        <v>23</v>
      </c>
      <c r="B40" s="2" t="s">
        <v>48</v>
      </c>
      <c r="C40" s="3">
        <f>'Данные для анализа'!F24</f>
        <v>145843.40000000002</v>
      </c>
      <c r="D40" s="3">
        <f t="shared" si="1"/>
        <v>138417.28135315687</v>
      </c>
      <c r="E40" s="3">
        <f t="shared" si="2"/>
        <v>133131.68836466677</v>
      </c>
      <c r="F40" s="3">
        <f t="shared" si="2"/>
        <v>145843.40000000002</v>
      </c>
      <c r="G40" s="3">
        <f>TREND($C$18:$C$40,$A$18:$A$40^{1,2,3},$A40^{1,2,3})</f>
        <v>138417.28135315687</v>
      </c>
      <c r="H40" s="3">
        <f t="shared" si="3"/>
        <v>7426.1186468431551</v>
      </c>
      <c r="I40" s="3">
        <f t="shared" si="0"/>
        <v>7426.1186468431551</v>
      </c>
    </row>
    <row r="41" spans="1:9" x14ac:dyDescent="0.25">
      <c r="A41" s="2">
        <v>24</v>
      </c>
      <c r="B41" s="2" t="s">
        <v>49</v>
      </c>
      <c r="D41" s="3">
        <f t="shared" si="1"/>
        <v>152647.44034584163</v>
      </c>
      <c r="E41" s="3">
        <f t="shared" si="2"/>
        <v>147361.84735735154</v>
      </c>
      <c r="F41" s="3">
        <f t="shared" si="2"/>
        <v>160073.55899268479</v>
      </c>
      <c r="G41" s="3">
        <f>TREND($C$18:$C$40,$A$18:$A$40^{1,2,3},$A41^{1,2,3})</f>
        <v>152647.44034584163</v>
      </c>
    </row>
    <row r="42" spans="1:9" x14ac:dyDescent="0.25">
      <c r="A42" s="2">
        <v>25</v>
      </c>
      <c r="B42" s="2" t="s">
        <v>159</v>
      </c>
      <c r="D42" s="3">
        <f t="shared" si="1"/>
        <v>168251.50404214996</v>
      </c>
      <c r="E42" s="3">
        <f t="shared" si="2"/>
        <v>162965.91105365986</v>
      </c>
      <c r="F42" s="3">
        <f t="shared" si="2"/>
        <v>175677.62268899311</v>
      </c>
      <c r="G42" s="3">
        <f>TREND($C$18:$C$40,$A$18:$A$40^{1,2,3},$A42^{1,2,3})</f>
        <v>168251.50404214996</v>
      </c>
    </row>
    <row r="43" spans="1:9" x14ac:dyDescent="0.25">
      <c r="A43" s="2">
        <v>26</v>
      </c>
      <c r="B43" s="2" t="s">
        <v>164</v>
      </c>
      <c r="D43" s="3">
        <f t="shared" si="1"/>
        <v>185313.39640291716</v>
      </c>
      <c r="E43" s="3">
        <f t="shared" si="2"/>
        <v>180027.80341442706</v>
      </c>
      <c r="F43" s="3">
        <f t="shared" si="2"/>
        <v>192739.51504976032</v>
      </c>
      <c r="G43" s="3">
        <f>TREND($C$18:$C$40,$A$18:$A$40^{1,2,3},$A43^{1,2,3})</f>
        <v>185313.39640291716</v>
      </c>
    </row>
    <row r="44" spans="1:9" x14ac:dyDescent="0.25">
      <c r="A44" s="2">
        <v>27</v>
      </c>
      <c r="B44" s="2" t="s">
        <v>165</v>
      </c>
      <c r="D44" s="3">
        <f t="shared" si="1"/>
        <v>203917.04138897866</v>
      </c>
      <c r="E44" s="3">
        <f t="shared" si="2"/>
        <v>198631.44840048856</v>
      </c>
      <c r="F44" s="3">
        <f t="shared" si="2"/>
        <v>211343.16003582181</v>
      </c>
      <c r="G44" s="3">
        <f>TREND($C$18:$C$40,$A$18:$A$40^{1,2,3},$A44^{1,2,3})</f>
        <v>203917.04138897866</v>
      </c>
    </row>
    <row r="45" spans="1:9" x14ac:dyDescent="0.25">
      <c r="A45" s="2">
        <v>28</v>
      </c>
      <c r="B45" s="2" t="s">
        <v>166</v>
      </c>
      <c r="D45" s="3">
        <f t="shared" si="1"/>
        <v>224146.36296116977</v>
      </c>
      <c r="E45" s="3">
        <f t="shared" si="2"/>
        <v>218860.76997267967</v>
      </c>
      <c r="F45" s="3">
        <f t="shared" si="2"/>
        <v>231572.48160801292</v>
      </c>
      <c r="G45" s="3">
        <f>TREND($C$18:$C$40,$A$18:$A$40^{1,2,3},$A45^{1,2,3})</f>
        <v>224146.36296116977</v>
      </c>
    </row>
    <row r="46" spans="1:9" x14ac:dyDescent="0.25">
      <c r="A46" s="2">
        <v>29</v>
      </c>
      <c r="B46" s="2" t="s">
        <v>167</v>
      </c>
      <c r="D46" s="3">
        <f t="shared" si="1"/>
        <v>246085.28508032582</v>
      </c>
      <c r="E46" s="3">
        <f t="shared" si="2"/>
        <v>240799.69209183572</v>
      </c>
      <c r="F46" s="3">
        <f t="shared" si="2"/>
        <v>253511.40372716897</v>
      </c>
      <c r="G46" s="3">
        <f>TREND($C$18:$C$40,$A$18:$A$40^{1,2,3},$A46^{1,2,3})</f>
        <v>246085.28508032582</v>
      </c>
    </row>
    <row r="47" spans="1:9" x14ac:dyDescent="0.25">
      <c r="A47" s="2">
        <v>30</v>
      </c>
      <c r="B47" s="2" t="s">
        <v>176</v>
      </c>
      <c r="D47" s="3">
        <f t="shared" si="1"/>
        <v>269817.73170728225</v>
      </c>
      <c r="E47" s="3">
        <f t="shared" si="2"/>
        <v>264532.13871879212</v>
      </c>
      <c r="F47" s="3">
        <f t="shared" si="2"/>
        <v>277243.85035412537</v>
      </c>
      <c r="G47" s="3">
        <f>TREND($C$18:$C$40,$A$18:$A$40^{1,2,3},$A47^{1,2,3})</f>
        <v>269817.73170728231</v>
      </c>
    </row>
    <row r="48" spans="1:9" x14ac:dyDescent="0.25">
      <c r="A48" s="2">
        <v>31</v>
      </c>
      <c r="B48" s="2" t="s">
        <v>177</v>
      </c>
      <c r="D48" s="3">
        <f t="shared" si="1"/>
        <v>295427.6268028745</v>
      </c>
      <c r="E48" s="3">
        <f t="shared" si="2"/>
        <v>290142.03381438437</v>
      </c>
      <c r="F48" s="3">
        <f t="shared" si="2"/>
        <v>302853.74544971762</v>
      </c>
      <c r="G48" s="3">
        <f>TREND($C$18:$C$40,$A$18:$A$40^{1,2,3},$A48^{1,2,3})</f>
        <v>295427.62680287444</v>
      </c>
    </row>
    <row r="49" spans="1:7" x14ac:dyDescent="0.25">
      <c r="A49" s="2">
        <v>32</v>
      </c>
      <c r="B49" s="2" t="s">
        <v>178</v>
      </c>
      <c r="D49" s="3">
        <f t="shared" si="1"/>
        <v>322998.89432793774</v>
      </c>
      <c r="E49" s="3">
        <f t="shared" si="2"/>
        <v>317713.30133944761</v>
      </c>
      <c r="F49" s="3">
        <f t="shared" si="2"/>
        <v>330425.01297478087</v>
      </c>
      <c r="G49" s="3">
        <f>TREND($C$18:$C$40,$A$18:$A$40^{1,2,3},$A49^{1,2,3})</f>
        <v>322998.8943279378</v>
      </c>
    </row>
    <row r="50" spans="1:7" x14ac:dyDescent="0.25">
      <c r="A50" s="2">
        <v>33</v>
      </c>
      <c r="B50" s="2" t="s">
        <v>179</v>
      </c>
      <c r="D50" s="3">
        <f t="shared" si="1"/>
        <v>352615.45824330754</v>
      </c>
      <c r="E50" s="3">
        <f t="shared" si="2"/>
        <v>347329.86525481741</v>
      </c>
      <c r="F50" s="3">
        <f t="shared" si="2"/>
        <v>360041.57689015067</v>
      </c>
      <c r="G50" s="3">
        <f>TREND($C$18:$C$40,$A$18:$A$40^{1,2,3},$A50^{1,2,3})</f>
        <v>352615.4582433076</v>
      </c>
    </row>
    <row r="51" spans="1:7" x14ac:dyDescent="0.25">
      <c r="A51" s="2">
        <v>34</v>
      </c>
      <c r="B51" s="2" t="s">
        <v>180</v>
      </c>
      <c r="D51" s="3">
        <f t="shared" si="1"/>
        <v>384361.2425098191</v>
      </c>
      <c r="E51" s="3">
        <f t="shared" si="2"/>
        <v>379075.64952132897</v>
      </c>
      <c r="F51" s="3">
        <f t="shared" si="2"/>
        <v>391787.36115666223</v>
      </c>
      <c r="G51" s="3">
        <f>TREND($C$18:$C$40,$A$18:$A$40^{1,2,3},$A51^{1,2,3})</f>
        <v>384361.24250981916</v>
      </c>
    </row>
  </sheetData>
  <mergeCells count="2">
    <mergeCell ref="E12:F12"/>
    <mergeCell ref="E16:F1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EB91B-4324-4995-978F-B1985D0DCE19}">
  <dimension ref="A1:H49"/>
  <sheetViews>
    <sheetView tabSelected="1" zoomScale="85" zoomScaleNormal="85" workbookViewId="0">
      <selection activeCell="W27" sqref="W27"/>
    </sheetView>
  </sheetViews>
  <sheetFormatPr defaultRowHeight="15" x14ac:dyDescent="0.25"/>
  <cols>
    <col min="1" max="1" width="9.42578125" customWidth="1"/>
    <col min="2" max="2" width="12.85546875" customWidth="1"/>
    <col min="3" max="4" width="20.28515625" customWidth="1"/>
    <col min="5" max="5" width="14.140625" customWidth="1"/>
    <col min="6" max="6" width="12.140625" customWidth="1"/>
    <col min="7" max="7" width="11.85546875" customWidth="1"/>
    <col min="8" max="8" width="13.28515625" customWidth="1"/>
    <col min="9" max="9" width="15" customWidth="1"/>
  </cols>
  <sheetData>
    <row r="1" spans="1:8" x14ac:dyDescent="0.25">
      <c r="A1" t="s">
        <v>181</v>
      </c>
    </row>
    <row r="2" spans="1:8" x14ac:dyDescent="0.25">
      <c r="B2" s="18" t="s">
        <v>182</v>
      </c>
      <c r="C2" s="17" t="s">
        <v>183</v>
      </c>
      <c r="D2" s="22" t="s">
        <v>215</v>
      </c>
    </row>
    <row r="3" spans="1:8" x14ac:dyDescent="0.25">
      <c r="B3" s="18" t="s">
        <v>184</v>
      </c>
      <c r="C3" s="17" t="s">
        <v>185</v>
      </c>
      <c r="D3" s="22" t="s">
        <v>241</v>
      </c>
      <c r="E3" s="24">
        <v>2009</v>
      </c>
    </row>
    <row r="4" spans="1:8" x14ac:dyDescent="0.25">
      <c r="B4" s="18" t="s">
        <v>186</v>
      </c>
      <c r="C4" t="s">
        <v>187</v>
      </c>
      <c r="D4" s="19">
        <f ca="1">INTERCEPT(OFFSET($C$15,$E$3-2001,0):$C$39,LN(OFFSET($A$15,$E$3-2001,0):$A$39))</f>
        <v>3158.9076865608245</v>
      </c>
    </row>
    <row r="5" spans="1:8" x14ac:dyDescent="0.25">
      <c r="C5" t="s">
        <v>188</v>
      </c>
      <c r="D5" s="19">
        <f ca="1">SLOPE(OFFSET($C$15,$E$3-2001,0):$C$39,LN(OFFSET($A$15,$E$3-2001,0):$A$39))</f>
        <v>494.38441954880352</v>
      </c>
    </row>
    <row r="6" spans="1:8" x14ac:dyDescent="0.25">
      <c r="B6" s="18" t="s">
        <v>194</v>
      </c>
      <c r="C6" s="17" t="s">
        <v>195</v>
      </c>
    </row>
    <row r="7" spans="1:8" x14ac:dyDescent="0.25">
      <c r="B7" s="18" t="s">
        <v>212</v>
      </c>
      <c r="C7" s="17" t="s">
        <v>213</v>
      </c>
    </row>
    <row r="8" spans="1:8" x14ac:dyDescent="0.25">
      <c r="B8" s="18" t="s">
        <v>197</v>
      </c>
      <c r="C8" s="17" t="s">
        <v>209</v>
      </c>
      <c r="D8" s="22" t="s">
        <v>210</v>
      </c>
      <c r="E8" s="24">
        <v>0</v>
      </c>
    </row>
    <row r="9" spans="1:8" x14ac:dyDescent="0.25">
      <c r="B9" s="18" t="s">
        <v>200</v>
      </c>
      <c r="C9" s="20">
        <v>1E-8</v>
      </c>
    </row>
    <row r="10" spans="1:8" x14ac:dyDescent="0.25">
      <c r="B10" s="18" t="s">
        <v>204</v>
      </c>
      <c r="C10" s="17" t="s">
        <v>242</v>
      </c>
      <c r="D10" s="22" t="s">
        <v>243</v>
      </c>
      <c r="E10" s="24">
        <v>0</v>
      </c>
    </row>
    <row r="11" spans="1:8" x14ac:dyDescent="0.25">
      <c r="B11" s="18" t="s">
        <v>207</v>
      </c>
      <c r="D11" s="17" t="s">
        <v>208</v>
      </c>
    </row>
    <row r="12" spans="1:8" x14ac:dyDescent="0.25">
      <c r="B12" s="18" t="s">
        <v>211</v>
      </c>
      <c r="C12" s="3">
        <f ca="1">IF(E8=0,    _xlfn.CONFIDENCE.NORM(C9,STDEVA(OFFSET($H$15,$E$3-2001,0):H38),A38), _xlfn.CONFIDENCE.T(C9,STDEVA(OFFSET($H$15,$E$3-2001,0):H38),A38) )</f>
        <v>591.23500710655787</v>
      </c>
    </row>
    <row r="13" spans="1:8" x14ac:dyDescent="0.25">
      <c r="B13" s="18"/>
    </row>
    <row r="14" spans="1:8" x14ac:dyDescent="0.25">
      <c r="A14" s="4" t="s">
        <v>20</v>
      </c>
      <c r="B14" s="4" t="s">
        <v>12</v>
      </c>
      <c r="C14" s="4" t="str">
        <f>'Данные для анализа'!G1</f>
        <v xml:space="preserve"> Численность</v>
      </c>
      <c r="D14" s="4" t="s">
        <v>191</v>
      </c>
      <c r="E14" s="42" t="s">
        <v>201</v>
      </c>
      <c r="F14" s="43"/>
      <c r="G14" s="4" t="s">
        <v>191</v>
      </c>
      <c r="H14" s="4" t="s">
        <v>193</v>
      </c>
    </row>
    <row r="15" spans="1:8" x14ac:dyDescent="0.25">
      <c r="A15" s="4" t="s">
        <v>189</v>
      </c>
      <c r="B15" s="4"/>
      <c r="C15" s="4" t="s">
        <v>160</v>
      </c>
      <c r="D15" s="4" t="s">
        <v>190</v>
      </c>
      <c r="E15" s="4" t="s">
        <v>202</v>
      </c>
      <c r="F15" s="4" t="s">
        <v>203</v>
      </c>
      <c r="G15" s="4" t="s">
        <v>192</v>
      </c>
      <c r="H15" s="4" t="s">
        <v>196</v>
      </c>
    </row>
    <row r="16" spans="1:8" x14ac:dyDescent="0.25">
      <c r="A16" s="40">
        <f t="shared" ref="A16:A49" si="0">B16-$E$3+1</f>
        <v>-6</v>
      </c>
      <c r="B16" s="2" t="s">
        <v>2</v>
      </c>
      <c r="C16" s="3">
        <f>'Данные для анализа'!G2</f>
        <v>3013.1797778016089</v>
      </c>
      <c r="D16" s="3" t="str">
        <f t="shared" ref="D16:D22" si="1">IF($A16&lt;1,"",$D$4+$D$5*LN(A16))</f>
        <v/>
      </c>
      <c r="E16" s="3" t="str">
        <f ca="1">IF($A16&lt;1,"",$D16 - $C$12*(   (1 + ($A16-$A$38/2)^2 / (STDEVA(OFFSET($A$15,$E$3-2001,0):$A$38))^2 )^0.5) ^$E$10 )</f>
        <v/>
      </c>
      <c r="F16" s="3" t="str">
        <f ca="1">IF($A16&lt;1,"",$D16 + $C$12*(   (1 + ($A16-$A$38/2)^2 / (STDEVA(OFFSET($A$15,$E$3-2001,0):$A$38))^2 )^0.5) ^$E$10 )</f>
        <v/>
      </c>
      <c r="G16" s="3" t="str">
        <f ca="1">IF($A16&lt;1,"",FORECAST(LN($A16),OFFSET($C$15,$E$3-2001,0):$C$39,LN(OFFSET($A$15,$E$3-2001,0):$A$39)))</f>
        <v/>
      </c>
      <c r="H16" s="3" t="str">
        <f t="shared" ref="H16:H21" si="2">IF($A16&lt;1,"",C16-D16)</f>
        <v/>
      </c>
    </row>
    <row r="17" spans="1:8" x14ac:dyDescent="0.25">
      <c r="A17" s="40">
        <f t="shared" si="0"/>
        <v>-5</v>
      </c>
      <c r="B17" s="2" t="s">
        <v>3</v>
      </c>
      <c r="C17" s="3">
        <f>'Данные для анализа'!G3</f>
        <v>3063.7503642895449</v>
      </c>
      <c r="D17" s="3" t="str">
        <f t="shared" si="1"/>
        <v/>
      </c>
      <c r="E17" s="3" t="str">
        <f ca="1">IF($A17&lt;1,"",$D17 - $C$12*(   (1 + ($A17-$A$38/2)^2 / (STDEVA(OFFSET($A$15,$E$3-2001,0):$A$38))^2 )^0.5) ^$E$10 )</f>
        <v/>
      </c>
      <c r="F17" s="3" t="str">
        <f ca="1">IF($A17&lt;1,"",$D17 + $C$12*(   (1 + ($A17-$A$38/2)^2 / (STDEVA(OFFSET($A$15,$E$3-2001,0):$A$38))^2 )^0.5) ^$E$10 )</f>
        <v/>
      </c>
      <c r="G17" s="3" t="str">
        <f ca="1">IF($A17&lt;1,"",FORECAST(LN($A17),OFFSET($C$15,$E$3-2001,0):$C$39,LN(OFFSET($A$15,$E$3-2001,0):$A$39)))</f>
        <v/>
      </c>
      <c r="H17" s="3" t="str">
        <f t="shared" si="2"/>
        <v/>
      </c>
    </row>
    <row r="18" spans="1:8" x14ac:dyDescent="0.25">
      <c r="A18" s="40">
        <f t="shared" si="0"/>
        <v>-4</v>
      </c>
      <c r="B18" s="2" t="s">
        <v>4</v>
      </c>
      <c r="C18" s="3">
        <f>'Данные для анализа'!G4</f>
        <v>3114.3209507774804</v>
      </c>
      <c r="D18" s="3" t="str">
        <f t="shared" si="1"/>
        <v/>
      </c>
      <c r="E18" s="3" t="str">
        <f ca="1">IF($A18&lt;1,"",$D18 - $C$12*(   (1 + ($A18-$A$38/2)^2 / (STDEVA(OFFSET($A$15,$E$3-2001,0):$A$38))^2 )^0.5) ^$E$10 )</f>
        <v/>
      </c>
      <c r="F18" s="3" t="str">
        <f ca="1">IF($A18&lt;1,"",$D18 + $C$12*(   (1 + ($A18-$A$38/2)^2 / (STDEVA(OFFSET($A$15,$E$3-2001,0):$A$38))^2 )^0.5) ^$E$10 )</f>
        <v/>
      </c>
      <c r="G18" s="3" t="str">
        <f ca="1">IF($A18&lt;1,"",FORECAST(LN($A18),OFFSET($C$15,$E$3-2001,0):$C$39,LN(OFFSET($A$15,$E$3-2001,0):$A$39)))</f>
        <v/>
      </c>
      <c r="H18" s="3" t="str">
        <f t="shared" si="2"/>
        <v/>
      </c>
    </row>
    <row r="19" spans="1:8" x14ac:dyDescent="0.25">
      <c r="A19" s="40">
        <f t="shared" si="0"/>
        <v>-3</v>
      </c>
      <c r="B19" s="2" t="s">
        <v>5</v>
      </c>
      <c r="C19" s="3">
        <f>'Данные для анализа'!G5</f>
        <v>3164.8915372654155</v>
      </c>
      <c r="D19" s="3" t="str">
        <f t="shared" si="1"/>
        <v/>
      </c>
      <c r="E19" s="3" t="str">
        <f ca="1">IF($A19&lt;1,"",$D19 - $C$12*(   (1 + ($A19-$A$38/2)^2 / (STDEVA(OFFSET($A$15,$E$3-2001,0):$A$38))^2 )^0.5) ^$E$10 )</f>
        <v/>
      </c>
      <c r="F19" s="3" t="str">
        <f ca="1">IF($A19&lt;1,"",$D19 + $C$12*(   (1 + ($A19-$A$38/2)^2 / (STDEVA(OFFSET($A$15,$E$3-2001,0):$A$38))^2 )^0.5) ^$E$10 )</f>
        <v/>
      </c>
      <c r="G19" s="3" t="str">
        <f ca="1">IF($A19&lt;1,"",FORECAST(LN($A19),OFFSET($C$15,$E$3-2001,0):$C$39,LN(OFFSET($A$15,$E$3-2001,0):$A$39)))</f>
        <v/>
      </c>
      <c r="H19" s="3" t="str">
        <f t="shared" si="2"/>
        <v/>
      </c>
    </row>
    <row r="20" spans="1:8" x14ac:dyDescent="0.25">
      <c r="A20" s="40">
        <f t="shared" si="0"/>
        <v>-2</v>
      </c>
      <c r="B20" s="2" t="s">
        <v>6</v>
      </c>
      <c r="C20" s="3">
        <f>'Данные для анализа'!G6</f>
        <v>3262.6488048257374</v>
      </c>
      <c r="D20" s="3" t="str">
        <f t="shared" si="1"/>
        <v/>
      </c>
      <c r="E20" s="3" t="str">
        <f ca="1">IF($A20&lt;1,"",$D20 - $C$12*(   (1 + ($A20-$A$38/2)^2 / (STDEVA(OFFSET($A$15,$E$3-2001,0):$A$38))^2 )^0.5) ^$E$10 )</f>
        <v/>
      </c>
      <c r="F20" s="3" t="str">
        <f ca="1">IF($A20&lt;1,"",$D20 + $C$12*(   (1 + ($A20-$A$38/2)^2 / (STDEVA(OFFSET($A$15,$E$3-2001,0):$A$38))^2 )^0.5) ^$E$10 )</f>
        <v/>
      </c>
      <c r="G20" s="3" t="str">
        <f ca="1">IF($A20&lt;1,"",FORECAST(LN($A20),OFFSET($C$15,$E$3-2001,0):$C$39,LN(OFFSET($A$15,$E$3-2001,0):$A$39)))</f>
        <v/>
      </c>
      <c r="H20" s="3" t="str">
        <f t="shared" si="2"/>
        <v/>
      </c>
    </row>
    <row r="21" spans="1:8" x14ac:dyDescent="0.25">
      <c r="A21" s="40">
        <f t="shared" si="0"/>
        <v>-1</v>
      </c>
      <c r="B21" s="2" t="s">
        <v>7</v>
      </c>
      <c r="C21" s="3">
        <f>'Данные для анализа'!G7</f>
        <v>3415.8645222520108</v>
      </c>
      <c r="D21" s="3" t="str">
        <f t="shared" si="1"/>
        <v/>
      </c>
      <c r="E21" s="3" t="str">
        <f ca="1">IF($A21&lt;1,"",$D21 - $C$12*(   (1 + ($A21-$A$38/2)^2 / (STDEVA(OFFSET($A$15,$E$3-2001,0):$A$38))^2 )^0.5) ^$E$10 )</f>
        <v/>
      </c>
      <c r="F21" s="3" t="str">
        <f ca="1">IF($A21&lt;1,"",$D21 + $C$12*(   (1 + ($A21-$A$38/2)^2 / (STDEVA(OFFSET($A$15,$E$3-2001,0):$A$38))^2 )^0.5) ^$E$10 )</f>
        <v/>
      </c>
      <c r="G21" s="3" t="str">
        <f ca="1">IF($A21&lt;1,"",FORECAST(LN($A21),OFFSET($C$15,$E$3-2001,0):$C$39,LN(OFFSET($A$15,$E$3-2001,0):$A$39)))</f>
        <v/>
      </c>
      <c r="H21" s="3" t="str">
        <f t="shared" si="2"/>
        <v/>
      </c>
    </row>
    <row r="22" spans="1:8" x14ac:dyDescent="0.25">
      <c r="A22" s="40">
        <f t="shared" si="0"/>
        <v>0</v>
      </c>
      <c r="B22" s="2" t="s">
        <v>8</v>
      </c>
      <c r="C22" s="3">
        <f>'Данные для анализа'!G8</f>
        <v>3564.3803710455763</v>
      </c>
      <c r="D22" s="3" t="str">
        <f t="shared" si="1"/>
        <v/>
      </c>
      <c r="E22" s="3" t="str">
        <f ca="1">IF($A22&lt;1,"",$D22 - $C$12*(   (1 + ($A22-$A$38/2)^2 / (STDEVA(OFFSET($A$15,$E$3-2001,0):$A$38))^2 )^0.5) ^$E$10 )</f>
        <v/>
      </c>
      <c r="F22" s="3" t="str">
        <f ca="1">IF($A22&lt;1,"",$D22 + $C$12*(   (1 + ($A22-$A$38/2)^2 / (STDEVA(OFFSET($A$15,$E$3-2001,0):$A$38))^2 )^0.5) ^$E$10 )</f>
        <v/>
      </c>
      <c r="G22" s="3" t="str">
        <f ca="1">IF($A22&lt;1,"",FORECAST(LN($A22),OFFSET($C$15,$E$3-2001,0):$C$39,LN(OFFSET($A$15,$E$3-2001,0):$A$39)))</f>
        <v/>
      </c>
      <c r="H22" s="3" t="str">
        <f>IF($A22&lt;1,"",C22-D22)</f>
        <v/>
      </c>
    </row>
    <row r="23" spans="1:8" x14ac:dyDescent="0.25">
      <c r="A23" s="40">
        <f t="shared" si="0"/>
        <v>1</v>
      </c>
      <c r="B23" s="2" t="s">
        <v>9</v>
      </c>
      <c r="C23" s="3">
        <f>'Данные для анализа'!G9</f>
        <v>3721.2849999999999</v>
      </c>
      <c r="D23" s="3">
        <f ca="1">IF($A23&lt;1,"",$D$4+$D$5*LN(A23))</f>
        <v>3158.9076865608245</v>
      </c>
      <c r="E23" s="3">
        <f ca="1">IF($A23&lt;1,"",$D23 - $C$12*(   (1 + ($A23-$A$38/2)^2 / (STDEVA(OFFSET($A$15,$E$3-2001,0):$A$38))^2 )^0.5) ^$E$10 )</f>
        <v>2567.6726794542665</v>
      </c>
      <c r="F23" s="3">
        <f ca="1">IF($A23&lt;1,"",$D23 + $C$12*(   (1 + ($A23-$A$38/2)^2 / (STDEVA(OFFSET($A$15,$E$3-2001,0):$A$38))^2 )^0.5) ^$E$10 )</f>
        <v>3750.1426936673824</v>
      </c>
      <c r="G23" s="3">
        <f ca="1">IF($A23&lt;1,"",FORECAST(LN($A23),OFFSET($C$15,$E$3-2001,0):$C$39,LN(OFFSET($A$15,$E$3-2001,0):$A$39)))</f>
        <v>3158.9076865608245</v>
      </c>
      <c r="H23" s="3">
        <f t="shared" ref="H23:H38" ca="1" si="3">IF($A23&lt;1,"",C23-D23)</f>
        <v>562.3773134391754</v>
      </c>
    </row>
    <row r="24" spans="1:8" x14ac:dyDescent="0.25">
      <c r="A24" s="40">
        <f t="shared" si="0"/>
        <v>2</v>
      </c>
      <c r="B24" s="2" t="s">
        <v>10</v>
      </c>
      <c r="C24" s="3">
        <f>'Данные для анализа'!G10</f>
        <v>3722.31</v>
      </c>
      <c r="D24" s="3">
        <f t="shared" ref="D24:D49" ca="1" si="4">IF($A24&lt;1,"",$D$4+$D$5*LN(A24))</f>
        <v>3501.5888530838429</v>
      </c>
      <c r="E24" s="3">
        <f ca="1">IF($A24&lt;1,"",$D24 - $C$12*(   (1 + ($A24-$A$38/2)^2 / (STDEVA(OFFSET($A$15,$E$3-2001,0):$A$38))^2 )^0.5) ^$E$10 )</f>
        <v>2910.3538459772849</v>
      </c>
      <c r="F24" s="3">
        <f ca="1">IF($A24&lt;1,"",$D24 + $C$12*(   (1 + ($A24-$A$38/2)^2 / (STDEVA(OFFSET($A$15,$E$3-2001,0):$A$38))^2 )^0.5) ^$E$10 )</f>
        <v>4092.8238601904009</v>
      </c>
      <c r="G24" s="3">
        <f ca="1">IF($A24&lt;1,"",FORECAST(LN($A24),OFFSET($C$15,$E$3-2001,0):$C$39,LN(OFFSET($A$15,$E$3-2001,0):$A$39)))</f>
        <v>3501.5888530838429</v>
      </c>
      <c r="H24" s="3">
        <f t="shared" ca="1" si="3"/>
        <v>220.72114691615707</v>
      </c>
    </row>
    <row r="25" spans="1:8" x14ac:dyDescent="0.25">
      <c r="A25" s="40">
        <f t="shared" si="0"/>
        <v>3</v>
      </c>
      <c r="B25" s="2" t="s">
        <v>11</v>
      </c>
      <c r="C25" s="3">
        <f>'Данные для анализа'!G11</f>
        <v>3588.8969999999999</v>
      </c>
      <c r="D25" s="3">
        <f t="shared" ca="1" si="4"/>
        <v>3702.0444852031906</v>
      </c>
      <c r="E25" s="3">
        <f ca="1">IF($A25&lt;1,"",$D25 - $C$12*(   (1 + ($A25-$A$38/2)^2 / (STDEVA(OFFSET($A$15,$E$3-2001,0):$A$38))^2 )^0.5) ^$E$10 )</f>
        <v>3110.8094780966326</v>
      </c>
      <c r="F25" s="3">
        <f ca="1">IF($A25&lt;1,"",$D25 + $C$12*(   (1 + ($A25-$A$38/2)^2 / (STDEVA(OFFSET($A$15,$E$3-2001,0):$A$38))^2 )^0.5) ^$E$10 )</f>
        <v>4293.2794923097481</v>
      </c>
      <c r="G25" s="3">
        <f ca="1">IF($A25&lt;1,"",FORECAST(LN($A25),OFFSET($C$15,$E$3-2001,0):$C$39,LN(OFFSET($A$15,$E$3-2001,0):$A$39)))</f>
        <v>3702.0444852031906</v>
      </c>
      <c r="H25" s="3">
        <f t="shared" ca="1" si="3"/>
        <v>-113.14748520319063</v>
      </c>
    </row>
    <row r="26" spans="1:8" x14ac:dyDescent="0.25">
      <c r="A26" s="40">
        <f t="shared" si="0"/>
        <v>4</v>
      </c>
      <c r="B26" s="2" t="s">
        <v>13</v>
      </c>
      <c r="C26" s="3">
        <f>'Данные для анализа'!G12</f>
        <v>3517.73</v>
      </c>
      <c r="D26" s="3">
        <f t="shared" ca="1" si="4"/>
        <v>3844.2700196068608</v>
      </c>
      <c r="E26" s="3">
        <f ca="1">IF($A26&lt;1,"",$D26 - $C$12*(   (1 + ($A26-$A$38/2)^2 / (STDEVA(OFFSET($A$15,$E$3-2001,0):$A$38))^2 )^0.5) ^$E$10 )</f>
        <v>3253.0350125003029</v>
      </c>
      <c r="F26" s="3">
        <f ca="1">IF($A26&lt;1,"",$D26 + $C$12*(   (1 + ($A26-$A$38/2)^2 / (STDEVA(OFFSET($A$15,$E$3-2001,0):$A$38))^2 )^0.5) ^$E$10 )</f>
        <v>4435.5050267134184</v>
      </c>
      <c r="G26" s="3">
        <f ca="1">IF($A26&lt;1,"",FORECAST(LN($A26),OFFSET($C$15,$E$3-2001,0):$C$39,LN(OFFSET($A$15,$E$3-2001,0):$A$39)))</f>
        <v>3844.2700196068608</v>
      </c>
      <c r="H26" s="3">
        <f t="shared" ca="1" si="3"/>
        <v>-326.54001960686082</v>
      </c>
    </row>
    <row r="27" spans="1:8" x14ac:dyDescent="0.25">
      <c r="A27" s="40">
        <f t="shared" si="0"/>
        <v>5</v>
      </c>
      <c r="B27" s="2" t="s">
        <v>14</v>
      </c>
      <c r="C27" s="3">
        <f>'Данные для анализа'!G13</f>
        <v>3511.3829999999998</v>
      </c>
      <c r="D27" s="3">
        <f t="shared" ca="1" si="4"/>
        <v>3954.588714699395</v>
      </c>
      <c r="E27" s="3">
        <f ca="1">IF($A27&lt;1,"",$D27 - $C$12*(   (1 + ($A27-$A$38/2)^2 / (STDEVA(OFFSET($A$15,$E$3-2001,0):$A$38))^2 )^0.5) ^$E$10 )</f>
        <v>3363.3537075928371</v>
      </c>
      <c r="F27" s="3">
        <f ca="1">IF($A27&lt;1,"",$D27 + $C$12*(   (1 + ($A27-$A$38/2)^2 / (STDEVA(OFFSET($A$15,$E$3-2001,0):$A$38))^2 )^0.5) ^$E$10 )</f>
        <v>4545.823721805953</v>
      </c>
      <c r="G27" s="3">
        <f ca="1">IF($A27&lt;1,"",FORECAST(LN($A27),OFFSET($C$15,$E$3-2001,0):$C$39,LN(OFFSET($A$15,$E$3-2001,0):$A$39)))</f>
        <v>3954.588714699395</v>
      </c>
      <c r="H27" s="3">
        <f t="shared" ca="1" si="3"/>
        <v>-443.20571469939523</v>
      </c>
    </row>
    <row r="28" spans="1:8" x14ac:dyDescent="0.25">
      <c r="A28" s="40">
        <f t="shared" si="0"/>
        <v>6</v>
      </c>
      <c r="B28" s="2" t="s">
        <v>15</v>
      </c>
      <c r="C28" s="3">
        <f>'Данные для анализа'!G14</f>
        <v>3511.895</v>
      </c>
      <c r="D28" s="3">
        <f t="shared" ca="1" si="4"/>
        <v>4044.7256517262085</v>
      </c>
      <c r="E28" s="3">
        <f ca="1">IF($A28&lt;1,"",$D28 - $C$12*(   (1 + ($A28-$A$38/2)^2 / (STDEVA(OFFSET($A$15,$E$3-2001,0):$A$38))^2 )^0.5) ^$E$10 )</f>
        <v>3453.4906446196505</v>
      </c>
      <c r="F28" s="3">
        <f ca="1">IF($A28&lt;1,"",$D28 + $C$12*(   (1 + ($A28-$A$38/2)^2 / (STDEVA(OFFSET($A$15,$E$3-2001,0):$A$38))^2 )^0.5) ^$E$10 )</f>
        <v>4635.9606588327661</v>
      </c>
      <c r="G28" s="3">
        <f ca="1">IF($A28&lt;1,"",FORECAST(LN($A28),OFFSET($C$15,$E$3-2001,0):$C$39,LN(OFFSET($A$15,$E$3-2001,0):$A$39)))</f>
        <v>4044.7256517262085</v>
      </c>
      <c r="H28" s="3">
        <f t="shared" ca="1" si="3"/>
        <v>-532.83065172620854</v>
      </c>
    </row>
    <row r="29" spans="1:8" x14ac:dyDescent="0.25">
      <c r="A29" s="40">
        <f t="shared" si="0"/>
        <v>7</v>
      </c>
      <c r="B29" s="2" t="s">
        <v>16</v>
      </c>
      <c r="C29" s="3">
        <f>'Данные для анализа'!G15</f>
        <v>3506.1019999999999</v>
      </c>
      <c r="D29" s="3">
        <f t="shared" ca="1" si="4"/>
        <v>4120.9353460956609</v>
      </c>
      <c r="E29" s="3">
        <f ca="1">IF($A29&lt;1,"",$D29 - $C$12*(   (1 + ($A29-$A$38/2)^2 / (STDEVA(OFFSET($A$15,$E$3-2001,0):$A$38))^2 )^0.5) ^$E$10 )</f>
        <v>3529.7003389891029</v>
      </c>
      <c r="F29" s="3">
        <f ca="1">IF($A29&lt;1,"",$D29 + $C$12*(   (1 + ($A29-$A$38/2)^2 / (STDEVA(OFFSET($A$15,$E$3-2001,0):$A$38))^2 )^0.5) ^$E$10 )</f>
        <v>4712.1703532022184</v>
      </c>
      <c r="G29" s="3">
        <f ca="1">IF($A29&lt;1,"",FORECAST(LN($A29),OFFSET($C$15,$E$3-2001,0):$C$39,LN(OFFSET($A$15,$E$3-2001,0):$A$39)))</f>
        <v>4120.9353460956609</v>
      </c>
      <c r="H29" s="3">
        <f t="shared" ca="1" si="3"/>
        <v>-614.833346095661</v>
      </c>
    </row>
    <row r="30" spans="1:8" x14ac:dyDescent="0.25">
      <c r="A30" s="40">
        <f t="shared" si="0"/>
        <v>8</v>
      </c>
      <c r="B30" s="2" t="s">
        <v>17</v>
      </c>
      <c r="C30" s="3">
        <f>'Данные для анализа'!G16</f>
        <v>3420.6927000000001</v>
      </c>
      <c r="D30" s="3">
        <f t="shared" ca="1" si="4"/>
        <v>4186.9511861298797</v>
      </c>
      <c r="E30" s="3">
        <f ca="1">IF($A30&lt;1,"",$D30 - $C$12*(   (1 + ($A30-$A$38/2)^2 / (STDEVA(OFFSET($A$15,$E$3-2001,0):$A$38))^2 )^0.5) ^$E$10 )</f>
        <v>3595.7161790233217</v>
      </c>
      <c r="F30" s="3">
        <f ca="1">IF($A30&lt;1,"",$D30 + $C$12*(   (1 + ($A30-$A$38/2)^2 / (STDEVA(OFFSET($A$15,$E$3-2001,0):$A$38))^2 )^0.5) ^$E$10 )</f>
        <v>4778.1861932364372</v>
      </c>
      <c r="G30" s="3">
        <f ca="1">IF($A30&lt;1,"",FORECAST(LN($A30),OFFSET($C$15,$E$3-2001,0):$C$39,LN(OFFSET($A$15,$E$3-2001,0):$A$39)))</f>
        <v>4186.9511861298797</v>
      </c>
      <c r="H30" s="3">
        <f t="shared" ca="1" si="3"/>
        <v>-766.25848612987966</v>
      </c>
    </row>
    <row r="31" spans="1:8" x14ac:dyDescent="0.25">
      <c r="A31" s="40">
        <f t="shared" si="0"/>
        <v>9</v>
      </c>
      <c r="B31" s="2" t="s">
        <v>18</v>
      </c>
      <c r="C31" s="3">
        <f>'Данные для анализа'!G17</f>
        <v>4608.7519299999994</v>
      </c>
      <c r="D31" s="3">
        <f t="shared" ca="1" si="4"/>
        <v>4245.1812838455562</v>
      </c>
      <c r="E31" s="3">
        <f ca="1">IF($A31&lt;1,"",$D31 - $C$12*(   (1 + ($A31-$A$38/2)^2 / (STDEVA(OFFSET($A$15,$E$3-2001,0):$A$38))^2 )^0.5) ^$E$10 )</f>
        <v>3653.9462767389982</v>
      </c>
      <c r="F31" s="3">
        <f ca="1">IF($A31&lt;1,"",$D31 + $C$12*(   (1 + ($A31-$A$38/2)^2 / (STDEVA(OFFSET($A$15,$E$3-2001,0):$A$38))^2 )^0.5) ^$E$10 )</f>
        <v>4836.4162909521137</v>
      </c>
      <c r="G31" s="3">
        <f ca="1">IF($A31&lt;1,"",FORECAST(LN($A31),OFFSET($C$15,$E$3-2001,0):$C$39,LN(OFFSET($A$15,$E$3-2001,0):$A$39)))</f>
        <v>4245.1812838455562</v>
      </c>
      <c r="H31" s="3">
        <f t="shared" ca="1" si="3"/>
        <v>363.57064615444324</v>
      </c>
    </row>
    <row r="32" spans="1:8" x14ac:dyDescent="0.25">
      <c r="A32" s="40">
        <f t="shared" si="0"/>
        <v>10</v>
      </c>
      <c r="B32" s="2" t="s">
        <v>19</v>
      </c>
      <c r="C32" s="3">
        <f>'Данные для анализа'!G18</f>
        <v>4690.2311</v>
      </c>
      <c r="D32" s="3">
        <f t="shared" ca="1" si="4"/>
        <v>4297.2698812224135</v>
      </c>
      <c r="E32" s="3">
        <f ca="1">IF($A32&lt;1,"",$D32 - $C$12*(   (1 + ($A32-$A$38/2)^2 / (STDEVA(OFFSET($A$15,$E$3-2001,0):$A$38))^2 )^0.5) ^$E$10 )</f>
        <v>3706.0348741158555</v>
      </c>
      <c r="F32" s="3">
        <f ca="1">IF($A32&lt;1,"",$D32 + $C$12*(   (1 + ($A32-$A$38/2)^2 / (STDEVA(OFFSET($A$15,$E$3-2001,0):$A$38))^2 )^0.5) ^$E$10 )</f>
        <v>4888.504888328971</v>
      </c>
      <c r="G32" s="3">
        <f ca="1">IF($A32&lt;1,"",FORECAST(LN($A32),OFFSET($C$15,$E$3-2001,0):$C$39,LN(OFFSET($A$15,$E$3-2001,0):$A$39)))</f>
        <v>4297.2698812224135</v>
      </c>
      <c r="H32" s="3">
        <f t="shared" ca="1" si="3"/>
        <v>392.96121877758651</v>
      </c>
    </row>
    <row r="33" spans="1:8" x14ac:dyDescent="0.25">
      <c r="A33" s="40">
        <f t="shared" si="0"/>
        <v>11</v>
      </c>
      <c r="B33" s="2" t="s">
        <v>34</v>
      </c>
      <c r="C33" s="3">
        <f>'Данные для анализа'!G19</f>
        <v>4692.8642</v>
      </c>
      <c r="D33" s="3">
        <f t="shared" ca="1" si="4"/>
        <v>4344.3897491420666</v>
      </c>
      <c r="E33" s="3">
        <f ca="1">IF($A33&lt;1,"",$D33 - $C$12*(   (1 + ($A33-$A$38/2)^2 / (STDEVA(OFFSET($A$15,$E$3-2001,0):$A$38))^2 )^0.5) ^$E$10 )</f>
        <v>3753.1547420355087</v>
      </c>
      <c r="F33" s="3">
        <f ca="1">IF($A33&lt;1,"",$D33 + $C$12*(   (1 + ($A33-$A$38/2)^2 / (STDEVA(OFFSET($A$15,$E$3-2001,0):$A$38))^2 )^0.5) ^$E$10 )</f>
        <v>4935.6247562486242</v>
      </c>
      <c r="G33" s="3">
        <f ca="1">IF($A33&lt;1,"",FORECAST(LN($A33),OFFSET($C$15,$E$3-2001,0):$C$39,LN(OFFSET($A$15,$E$3-2001,0):$A$39)))</f>
        <v>4344.3897491420666</v>
      </c>
      <c r="H33" s="3">
        <f t="shared" ca="1" si="3"/>
        <v>348.47445085793333</v>
      </c>
    </row>
    <row r="34" spans="1:8" x14ac:dyDescent="0.25">
      <c r="A34" s="40">
        <f t="shared" si="0"/>
        <v>12</v>
      </c>
      <c r="B34" s="2" t="s">
        <v>35</v>
      </c>
      <c r="C34" s="3">
        <f>'Данные для анализа'!G20</f>
        <v>4732.6019299999998</v>
      </c>
      <c r="D34" s="3">
        <f t="shared" ca="1" si="4"/>
        <v>4387.4068182492265</v>
      </c>
      <c r="E34" s="3">
        <f ca="1">IF($A34&lt;1,"",$D34 - $C$12*(   (1 + ($A34-$A$38/2)^2 / (STDEVA(OFFSET($A$15,$E$3-2001,0):$A$38))^2 )^0.5) ^$E$10 )</f>
        <v>3796.1718111426685</v>
      </c>
      <c r="F34" s="3">
        <f ca="1">IF($A34&lt;1,"",$D34 + $C$12*(   (1 + ($A34-$A$38/2)^2 / (STDEVA(OFFSET($A$15,$E$3-2001,0):$A$38))^2 )^0.5) ^$E$10 )</f>
        <v>4978.641825355784</v>
      </c>
      <c r="G34" s="3">
        <f ca="1">IF($A34&lt;1,"",FORECAST(LN($A34),OFFSET($C$15,$E$3-2001,0):$C$39,LN(OFFSET($A$15,$E$3-2001,0):$A$39)))</f>
        <v>4387.4068182492265</v>
      </c>
      <c r="H34" s="3">
        <f t="shared" ca="1" si="3"/>
        <v>345.19511175077332</v>
      </c>
    </row>
    <row r="35" spans="1:8" x14ac:dyDescent="0.25">
      <c r="A35" s="40">
        <f t="shared" si="0"/>
        <v>13</v>
      </c>
      <c r="B35" s="2" t="s">
        <v>45</v>
      </c>
      <c r="C35" s="3">
        <f>'Данные для анализа'!G21</f>
        <v>4651.6728800000001</v>
      </c>
      <c r="D35" s="3">
        <f t="shared" ca="1" si="4"/>
        <v>4426.978685821523</v>
      </c>
      <c r="E35" s="3">
        <f ca="1">IF($A35&lt;1,"",$D35 - $C$12*(   (1 + ($A35-$A$38/2)^2 / (STDEVA(OFFSET($A$15,$E$3-2001,0):$A$38))^2 )^0.5) ^$E$10 )</f>
        <v>3835.743678714965</v>
      </c>
      <c r="F35" s="3">
        <f ca="1">IF($A35&lt;1,"",$D35 + $C$12*(   (1 + ($A35-$A$38/2)^2 / (STDEVA(OFFSET($A$15,$E$3-2001,0):$A$38))^2 )^0.5) ^$E$10 )</f>
        <v>5018.2136929280805</v>
      </c>
      <c r="G35" s="3">
        <f ca="1">IF($A35&lt;1,"",FORECAST(LN($A35),OFFSET($C$15,$E$3-2001,0):$C$39,LN(OFFSET($A$15,$E$3-2001,0):$A$39)))</f>
        <v>4426.978685821523</v>
      </c>
      <c r="H35" s="3">
        <f t="shared" ca="1" si="3"/>
        <v>224.69419417847712</v>
      </c>
    </row>
    <row r="36" spans="1:8" x14ac:dyDescent="0.25">
      <c r="A36" s="40">
        <f t="shared" si="0"/>
        <v>14</v>
      </c>
      <c r="B36" s="2" t="s">
        <v>46</v>
      </c>
      <c r="C36" s="3">
        <f>'Данные для анализа'!G22</f>
        <v>4634.6379999999999</v>
      </c>
      <c r="D36" s="3">
        <f t="shared" ca="1" si="4"/>
        <v>4463.6165126186797</v>
      </c>
      <c r="E36" s="3">
        <f ca="1">IF($A36&lt;1,"",$D36 - $C$12*(   (1 + ($A36-$A$38/2)^2 / (STDEVA(OFFSET($A$15,$E$3-2001,0):$A$38))^2 )^0.5) ^$E$10 )</f>
        <v>3872.3815055121217</v>
      </c>
      <c r="F36" s="3">
        <f ca="1">IF($A36&lt;1,"",$D36 + $C$12*(   (1 + ($A36-$A$38/2)^2 / (STDEVA(OFFSET($A$15,$E$3-2001,0):$A$38))^2 )^0.5) ^$E$10 )</f>
        <v>5054.8515197252373</v>
      </c>
      <c r="G36" s="3">
        <f ca="1">IF($A36&lt;1,"",FORECAST(LN($A36),OFFSET($C$15,$E$3-2001,0):$C$39,LN(OFFSET($A$15,$E$3-2001,0):$A$39)))</f>
        <v>4463.6165126186797</v>
      </c>
      <c r="H36" s="3">
        <f t="shared" ca="1" si="3"/>
        <v>171.02148738132018</v>
      </c>
    </row>
    <row r="37" spans="1:8" x14ac:dyDescent="0.25">
      <c r="A37" s="40">
        <f t="shared" si="0"/>
        <v>15</v>
      </c>
      <c r="B37" s="2" t="s">
        <v>47</v>
      </c>
      <c r="C37" s="3">
        <f>'Данные для анализа'!G23</f>
        <v>4624.0249999999996</v>
      </c>
      <c r="D37" s="3">
        <f t="shared" ca="1" si="4"/>
        <v>4497.7255133417611</v>
      </c>
      <c r="E37" s="3">
        <f ca="1">IF($A37&lt;1,"",$D37 - $C$12*(   (1 + ($A37-$A$38/2)^2 / (STDEVA(OFFSET($A$15,$E$3-2001,0):$A$38))^2 )^0.5) ^$E$10 )</f>
        <v>3906.4905062352032</v>
      </c>
      <c r="F37" s="3">
        <f ca="1">IF($A37&lt;1,"",$D37 + $C$12*(   (1 + ($A37-$A$38/2)^2 / (STDEVA(OFFSET($A$15,$E$3-2001,0):$A$38))^2 )^0.5) ^$E$10 )</f>
        <v>5088.9605204483187</v>
      </c>
      <c r="G37" s="3">
        <f ca="1">IF($A37&lt;1,"",FORECAST(LN($A37),OFFSET($C$15,$E$3-2001,0):$C$39,LN(OFFSET($A$15,$E$3-2001,0):$A$39)))</f>
        <v>4497.7255133417611</v>
      </c>
      <c r="H37" s="3">
        <f t="shared" ca="1" si="3"/>
        <v>126.29948665823849</v>
      </c>
    </row>
    <row r="38" spans="1:8" x14ac:dyDescent="0.25">
      <c r="A38" s="40">
        <f t="shared" si="0"/>
        <v>16</v>
      </c>
      <c r="B38" s="2" t="s">
        <v>48</v>
      </c>
      <c r="C38" s="3">
        <f>'Данные для анализа'!G24</f>
        <v>4571.1329999999998</v>
      </c>
      <c r="D38" s="3">
        <f t="shared" ca="1" si="4"/>
        <v>4529.6323526528977</v>
      </c>
      <c r="E38" s="3">
        <f ca="1">IF($A38&lt;1,"",$D38 - $C$12*(   (1 + ($A38-$A$38/2)^2 / (STDEVA(OFFSET($A$15,$E$3-2001,0):$A$38))^2 )^0.5) ^$E$10 )</f>
        <v>3938.3973455463397</v>
      </c>
      <c r="F38" s="3">
        <f ca="1">IF($A38&lt;1,"",$D38 + $C$12*(   (1 + ($A38-$A$38/2)^2 / (STDEVA(OFFSET($A$15,$E$3-2001,0):$A$38))^2 )^0.5) ^$E$10 )</f>
        <v>5120.8673597594552</v>
      </c>
      <c r="G38" s="3">
        <f ca="1">IF($A38&lt;1,"",FORECAST(LN($A38),OFFSET($C$15,$E$3-2001,0):$C$39,LN(OFFSET($A$15,$E$3-2001,0):$A$39)))</f>
        <v>4529.6323526528977</v>
      </c>
      <c r="H38" s="3">
        <f t="shared" ca="1" si="3"/>
        <v>41.500647347102131</v>
      </c>
    </row>
    <row r="39" spans="1:8" x14ac:dyDescent="0.25">
      <c r="A39" s="40">
        <f t="shared" si="0"/>
        <v>17</v>
      </c>
      <c r="B39" s="2" t="s">
        <v>49</v>
      </c>
      <c r="D39" s="3">
        <f t="shared" ca="1" si="4"/>
        <v>4559.604221119982</v>
      </c>
      <c r="E39" s="3">
        <f ca="1">IF($A39&lt;1,"",$D39 - $C$12*(   (1 + ($A39-$A$38/2)^2 / (STDEVA(OFFSET($A$15,$E$3-2001,0):$A$38))^2 )^0.5) ^$E$10 )</f>
        <v>3968.369214013424</v>
      </c>
      <c r="F39" s="3">
        <f ca="1">IF($A39&lt;1,"",$D39 + $C$12*(   (1 + ($A39-$A$38/2)^2 / (STDEVA(OFFSET($A$15,$E$3-2001,0):$A$38))^2 )^0.5) ^$E$10 )</f>
        <v>5150.8392282265395</v>
      </c>
      <c r="G39" s="3">
        <f ca="1">IF($A39&lt;1,"",FORECAST(LN($A39),OFFSET($C$15,$E$3-2001,0):$C$39,LN(OFFSET($A$15,$E$3-2001,0):$A$39)))</f>
        <v>4559.604221119982</v>
      </c>
    </row>
    <row r="40" spans="1:8" x14ac:dyDescent="0.25">
      <c r="A40" s="40">
        <f t="shared" si="0"/>
        <v>18</v>
      </c>
      <c r="B40" s="2" t="s">
        <v>159</v>
      </c>
      <c r="D40" s="3">
        <f t="shared" ca="1" si="4"/>
        <v>4587.8624503685751</v>
      </c>
      <c r="E40" s="3">
        <f ca="1">IF($A40&lt;1,"",$D40 - $C$12*(   (1 + ($A40-$A$38/2)^2 / (STDEVA(OFFSET($A$15,$E$3-2001,0):$A$38))^2 )^0.5) ^$E$10 )</f>
        <v>3996.6274432620171</v>
      </c>
      <c r="F40" s="3">
        <f ca="1">IF($A40&lt;1,"",$D40 + $C$12*(   (1 + ($A40-$A$38/2)^2 / (STDEVA(OFFSET($A$15,$E$3-2001,0):$A$38))^2 )^0.5) ^$E$10 )</f>
        <v>5179.0974574751326</v>
      </c>
      <c r="G40" s="3">
        <f ca="1">IF($A40&lt;1,"",FORECAST(LN($A40),OFFSET($C$15,$E$3-2001,0):$C$39,LN(OFFSET($A$15,$E$3-2001,0):$A$39)))</f>
        <v>4587.8624503685751</v>
      </c>
    </row>
    <row r="41" spans="1:8" x14ac:dyDescent="0.25">
      <c r="A41" s="40">
        <f t="shared" si="0"/>
        <v>19</v>
      </c>
      <c r="B41" s="2" t="s">
        <v>164</v>
      </c>
      <c r="D41" s="3">
        <f t="shared" ca="1" si="4"/>
        <v>4614.5924421728969</v>
      </c>
      <c r="E41" s="3">
        <f ca="1">IF($A41&lt;1,"",$D41 - $C$12*(   (1 + ($A41-$A$38/2)^2 / (STDEVA(OFFSET($A$15,$E$3-2001,0):$A$38))^2 )^0.5) ^$E$10 )</f>
        <v>4023.3574350663389</v>
      </c>
      <c r="F41" s="3">
        <f ca="1">IF($A41&lt;1,"",$D41 + $C$12*(   (1 + ($A41-$A$38/2)^2 / (STDEVA(OFFSET($A$15,$E$3-2001,0):$A$38))^2 )^0.5) ^$E$10 )</f>
        <v>5205.8274492794544</v>
      </c>
      <c r="G41" s="3">
        <f ca="1">IF($A41&lt;1,"",FORECAST(LN($A41),OFFSET($C$15,$E$3-2001,0):$C$39,LN(OFFSET($A$15,$E$3-2001,0):$A$39)))</f>
        <v>4614.5924421728969</v>
      </c>
    </row>
    <row r="42" spans="1:8" x14ac:dyDescent="0.25">
      <c r="A42" s="40">
        <f t="shared" si="0"/>
        <v>20</v>
      </c>
      <c r="B42" s="2" t="s">
        <v>165</v>
      </c>
      <c r="D42" s="3">
        <f t="shared" ca="1" si="4"/>
        <v>4639.9510477454314</v>
      </c>
      <c r="E42" s="3">
        <f ca="1">IF($A42&lt;1,"",$D42 - $C$12*(   (1 + ($A42-$A$38/2)^2 / (STDEVA(OFFSET($A$15,$E$3-2001,0):$A$38))^2 )^0.5) ^$E$10 )</f>
        <v>4048.7160406388734</v>
      </c>
      <c r="F42" s="3">
        <f ca="1">IF($A42&lt;1,"",$D42 + $C$12*(   (1 + ($A42-$A$38/2)^2 / (STDEVA(OFFSET($A$15,$E$3-2001,0):$A$38))^2 )^0.5) ^$E$10 )</f>
        <v>5231.186054851989</v>
      </c>
      <c r="G42" s="3">
        <f ca="1">IF($A42&lt;1,"",FORECAST(LN($A42),OFFSET($C$15,$E$3-2001,0):$C$39,LN(OFFSET($A$15,$E$3-2001,0):$A$39)))</f>
        <v>4639.9510477454314</v>
      </c>
    </row>
    <row r="43" spans="1:8" x14ac:dyDescent="0.25">
      <c r="A43" s="40">
        <f t="shared" si="0"/>
        <v>21</v>
      </c>
      <c r="B43" s="2" t="s">
        <v>166</v>
      </c>
      <c r="D43" s="3">
        <f t="shared" ca="1" si="4"/>
        <v>4664.0721447380274</v>
      </c>
      <c r="E43" s="3">
        <f ca="1">IF($A43&lt;1,"",$D43 - $C$12*(   (1 + ($A43-$A$38/2)^2 / (STDEVA(OFFSET($A$15,$E$3-2001,0):$A$38))^2 )^0.5) ^$E$10 )</f>
        <v>4072.8371376314694</v>
      </c>
      <c r="F43" s="3">
        <f ca="1">IF($A43&lt;1,"",$D43 + $C$12*(   (1 + ($A43-$A$38/2)^2 / (STDEVA(OFFSET($A$15,$E$3-2001,0):$A$38))^2 )^0.5) ^$E$10 )</f>
        <v>5255.307151844585</v>
      </c>
      <c r="G43" s="3">
        <f ca="1">IF($A43&lt;1,"",FORECAST(LN($A43),OFFSET($C$15,$E$3-2001,0):$C$39,LN(OFFSET($A$15,$E$3-2001,0):$A$39)))</f>
        <v>4664.0721447380274</v>
      </c>
    </row>
    <row r="44" spans="1:8" x14ac:dyDescent="0.25">
      <c r="A44" s="40">
        <f t="shared" si="0"/>
        <v>22</v>
      </c>
      <c r="B44" s="2" t="s">
        <v>167</v>
      </c>
      <c r="D44" s="3">
        <f t="shared" ca="1" si="4"/>
        <v>4687.0709156650846</v>
      </c>
      <c r="E44" s="3">
        <f ca="1">IF($A44&lt;1,"",$D44 - $C$12*(   (1 + ($A44-$A$38/2)^2 / (STDEVA(OFFSET($A$15,$E$3-2001,0):$A$38))^2 )^0.5) ^$E$10 )</f>
        <v>4095.8359085585266</v>
      </c>
      <c r="F44" s="3">
        <f ca="1">IF($A44&lt;1,"",$D44 + $C$12*(   (1 + ($A44-$A$38/2)^2 / (STDEVA(OFFSET($A$15,$E$3-2001,0):$A$38))^2 )^0.5) ^$E$10 )</f>
        <v>5278.3059227716421</v>
      </c>
      <c r="G44" s="3">
        <f ca="1">IF($A44&lt;1,"",FORECAST(LN($A44),OFFSET($C$15,$E$3-2001,0):$C$39,LN(OFFSET($A$15,$E$3-2001,0):$A$39)))</f>
        <v>4687.0709156650846</v>
      </c>
    </row>
    <row r="45" spans="1:8" x14ac:dyDescent="0.25">
      <c r="A45" s="40">
        <f t="shared" si="0"/>
        <v>23</v>
      </c>
      <c r="B45" s="2" t="s">
        <v>176</v>
      </c>
      <c r="D45" s="3">
        <f t="shared" ca="1" si="4"/>
        <v>4709.0471745015875</v>
      </c>
      <c r="E45" s="3">
        <f ca="1">IF($A45&lt;1,"",$D45 - $C$12*(   (1 + ($A45-$A$38/2)^2 / (STDEVA(OFFSET($A$15,$E$3-2001,0):$A$38))^2 )^0.5) ^$E$10 )</f>
        <v>4117.81216739503</v>
      </c>
      <c r="F45" s="3">
        <f ca="1">IF($A45&lt;1,"",$D45 + $C$12*(   (1 + ($A45-$A$38/2)^2 / (STDEVA(OFFSET($A$15,$E$3-2001,0):$A$38))^2 )^0.5) ^$E$10 )</f>
        <v>5300.282181608145</v>
      </c>
      <c r="G45" s="3">
        <f ca="1">IF($A45&lt;1,"",FORECAST(LN($A45),OFFSET($C$15,$E$3-2001,0):$C$39,LN(OFFSET($A$15,$E$3-2001,0):$A$39)))</f>
        <v>4709.0471745015875</v>
      </c>
    </row>
    <row r="46" spans="1:8" x14ac:dyDescent="0.25">
      <c r="A46" s="40">
        <f t="shared" si="0"/>
        <v>24</v>
      </c>
      <c r="B46" s="2" t="s">
        <v>177</v>
      </c>
      <c r="D46" s="3">
        <f t="shared" ca="1" si="4"/>
        <v>4730.0879847722454</v>
      </c>
      <c r="E46" s="3">
        <f ca="1">IF($A46&lt;1,"",$D46 - $C$12*(   (1 + ($A46-$A$38/2)^2 / (STDEVA(OFFSET($A$15,$E$3-2001,0):$A$38))^2 )^0.5) ^$E$10 )</f>
        <v>4138.8529776656878</v>
      </c>
      <c r="F46" s="3">
        <f ca="1">IF($A46&lt;1,"",$D46 + $C$12*(   (1 + ($A46-$A$38/2)^2 / (STDEVA(OFFSET($A$15,$E$3-2001,0):$A$38))^2 )^0.5) ^$E$10 )</f>
        <v>5321.3229918788029</v>
      </c>
      <c r="G46" s="3">
        <f ca="1">IF($A46&lt;1,"",FORECAST(LN($A46),OFFSET($C$15,$E$3-2001,0):$C$39,LN(OFFSET($A$15,$E$3-2001,0):$A$39)))</f>
        <v>4730.0879847722454</v>
      </c>
    </row>
    <row r="47" spans="1:8" x14ac:dyDescent="0.25">
      <c r="A47" s="40">
        <f t="shared" si="0"/>
        <v>25</v>
      </c>
      <c r="B47" s="2" t="s">
        <v>178</v>
      </c>
      <c r="D47" s="3">
        <f t="shared" ca="1" si="4"/>
        <v>4750.2697428379661</v>
      </c>
      <c r="E47" s="3">
        <f ca="1">IF($A47&lt;1,"",$D47 - $C$12*(   (1 + ($A47-$A$38/2)^2 / (STDEVA(OFFSET($A$15,$E$3-2001,0):$A$38))^2 )^0.5) ^$E$10 )</f>
        <v>4159.0347357314085</v>
      </c>
      <c r="F47" s="3">
        <f ca="1">IF($A47&lt;1,"",$D47 + $C$12*(   (1 + ($A47-$A$38/2)^2 / (STDEVA(OFFSET($A$15,$E$3-2001,0):$A$38))^2 )^0.5) ^$E$10 )</f>
        <v>5341.5047499445236</v>
      </c>
      <c r="G47" s="3">
        <f ca="1">IF($A47&lt;1,"",FORECAST(LN($A47),OFFSET($C$15,$E$3-2001,0):$C$39,LN(OFFSET($A$15,$E$3-2001,0):$A$39)))</f>
        <v>4750.2697428379661</v>
      </c>
    </row>
    <row r="48" spans="1:8" x14ac:dyDescent="0.25">
      <c r="A48" s="40">
        <f t="shared" si="0"/>
        <v>26</v>
      </c>
      <c r="B48" s="2" t="s">
        <v>179</v>
      </c>
      <c r="D48" s="3">
        <f t="shared" ca="1" si="4"/>
        <v>4769.6598523445409</v>
      </c>
      <c r="E48" s="3">
        <f ca="1">IF($A48&lt;1,"",$D48 - $C$12*(   (1 + ($A48-$A$38/2)^2 / (STDEVA(OFFSET($A$15,$E$3-2001,0):$A$38))^2 )^0.5) ^$E$10 )</f>
        <v>4178.4248452379834</v>
      </c>
      <c r="F48" s="3">
        <f ca="1">IF($A48&lt;1,"",$D48 + $C$12*(   (1 + ($A48-$A$38/2)^2 / (STDEVA(OFFSET($A$15,$E$3-2001,0):$A$38))^2 )^0.5) ^$E$10 )</f>
        <v>5360.8948594510985</v>
      </c>
      <c r="G48" s="3">
        <f ca="1">IF($A48&lt;1,"",FORECAST(LN($A48),OFFSET($C$15,$E$3-2001,0):$C$39,LN(OFFSET($A$15,$E$3-2001,0):$A$39)))</f>
        <v>4769.6598523445409</v>
      </c>
    </row>
    <row r="49" spans="1:7" x14ac:dyDescent="0.25">
      <c r="A49" s="40">
        <f t="shared" si="0"/>
        <v>27</v>
      </c>
      <c r="B49" s="2" t="s">
        <v>180</v>
      </c>
      <c r="D49" s="3">
        <f t="shared" ca="1" si="4"/>
        <v>4788.3180824879228</v>
      </c>
      <c r="E49" s="3">
        <f ca="1">IF($A49&lt;1,"",$D49 - $C$12*(   (1 + ($A49-$A$38/2)^2 / (STDEVA(OFFSET($A$15,$E$3-2001,0):$A$38))^2 )^0.5) ^$E$10 )</f>
        <v>4197.0830753813652</v>
      </c>
      <c r="F49" s="3">
        <f ca="1">IF($A49&lt;1,"",$D49 + $C$12*(   (1 + ($A49-$A$38/2)^2 / (STDEVA(OFFSET($A$15,$E$3-2001,0):$A$38))^2 )^0.5) ^$E$10 )</f>
        <v>5379.5530895944803</v>
      </c>
      <c r="G49" s="3">
        <f ca="1">IF($A49&lt;1,"",FORECAST(LN($A49),OFFSET($C$15,$E$3-2001,0):$C$39,LN(OFFSET($A$15,$E$3-2001,0):$A$39)))</f>
        <v>4788.3180824879228</v>
      </c>
    </row>
  </sheetData>
  <mergeCells count="1">
    <mergeCell ref="E14:F14"/>
  </mergeCells>
  <conditionalFormatting sqref="A16:A49">
    <cfRule type="expression" dxfId="0" priority="1">
      <formula>(A16&gt;0)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Spinner 1">
              <controlPr defaultSize="0" autoPict="0">
                <anchor moveWithCells="1" sizeWithCells="1">
                  <from>
                    <xdr:col>5</xdr:col>
                    <xdr:colOff>47625</xdr:colOff>
                    <xdr:row>1</xdr:row>
                    <xdr:rowOff>85725</xdr:rowOff>
                  </from>
                  <to>
                    <xdr:col>5</xdr:col>
                    <xdr:colOff>238125</xdr:colOff>
                    <xdr:row>3</xdr:row>
                    <xdr:rowOff>104775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1"/>
  <sheetViews>
    <sheetView zoomScale="70" zoomScaleNormal="70" workbookViewId="0">
      <selection activeCell="AC20" sqref="AC20"/>
    </sheetView>
  </sheetViews>
  <sheetFormatPr defaultRowHeight="15" x14ac:dyDescent="0.25"/>
  <cols>
    <col min="1" max="1" width="3.140625" bestFit="1" customWidth="1"/>
    <col min="2" max="2" width="5.42578125" bestFit="1" customWidth="1"/>
    <col min="3" max="3" width="12.140625" bestFit="1" customWidth="1"/>
    <col min="4" max="4" width="16.140625" bestFit="1" customWidth="1"/>
    <col min="5" max="5" width="13.85546875" customWidth="1"/>
    <col min="6" max="6" width="12" customWidth="1"/>
    <col min="7" max="7" width="12.140625" bestFit="1" customWidth="1"/>
    <col min="8" max="8" width="16.5703125" customWidth="1"/>
    <col min="9" max="10" width="12.140625" customWidth="1"/>
    <col min="11" max="14" width="11.7109375" customWidth="1"/>
    <col min="15" max="18" width="11.5703125" customWidth="1"/>
    <col min="19" max="22" width="12.5703125" customWidth="1"/>
  </cols>
  <sheetData>
    <row r="1" spans="1:22" s="7" customFormat="1" ht="30" x14ac:dyDescent="0.25">
      <c r="A1" s="4" t="s">
        <v>20</v>
      </c>
      <c r="B1" s="4" t="s">
        <v>12</v>
      </c>
      <c r="C1" s="4" t="s">
        <v>21</v>
      </c>
      <c r="D1" s="15" t="s">
        <v>64</v>
      </c>
      <c r="E1" s="15" t="s">
        <v>66</v>
      </c>
      <c r="F1" s="15" t="s">
        <v>67</v>
      </c>
      <c r="G1" s="4" t="s">
        <v>22</v>
      </c>
      <c r="H1" s="4" t="s">
        <v>64</v>
      </c>
      <c r="I1" s="4" t="s">
        <v>66</v>
      </c>
      <c r="J1" s="4" t="s">
        <v>67</v>
      </c>
      <c r="K1" s="4" t="s">
        <v>32</v>
      </c>
      <c r="L1" s="4" t="s">
        <v>64</v>
      </c>
      <c r="M1" s="4" t="s">
        <v>66</v>
      </c>
      <c r="N1" s="4" t="s">
        <v>67</v>
      </c>
      <c r="O1" s="4" t="s">
        <v>155</v>
      </c>
      <c r="P1" s="4" t="s">
        <v>64</v>
      </c>
      <c r="Q1" s="4" t="s">
        <v>66</v>
      </c>
      <c r="R1" s="4" t="s">
        <v>67</v>
      </c>
      <c r="S1" s="4" t="s">
        <v>129</v>
      </c>
      <c r="T1" s="4" t="s">
        <v>64</v>
      </c>
      <c r="U1" s="4" t="s">
        <v>66</v>
      </c>
      <c r="V1" s="4" t="s">
        <v>67</v>
      </c>
    </row>
    <row r="2" spans="1:22" s="7" customFormat="1" x14ac:dyDescent="0.25">
      <c r="A2" s="4"/>
      <c r="B2" s="4"/>
      <c r="C2" s="4" t="s">
        <v>160</v>
      </c>
      <c r="D2" s="15" t="s">
        <v>161</v>
      </c>
      <c r="E2" s="15" t="s">
        <v>162</v>
      </c>
      <c r="F2" s="15" t="s">
        <v>163</v>
      </c>
      <c r="G2" s="4" t="s">
        <v>160</v>
      </c>
      <c r="H2" s="15" t="s">
        <v>161</v>
      </c>
      <c r="I2" s="15" t="s">
        <v>162</v>
      </c>
      <c r="J2" s="15" t="s">
        <v>163</v>
      </c>
      <c r="K2" s="4" t="s">
        <v>160</v>
      </c>
      <c r="L2" s="15" t="s">
        <v>161</v>
      </c>
      <c r="M2" s="15" t="s">
        <v>162</v>
      </c>
      <c r="N2" s="15" t="s">
        <v>163</v>
      </c>
      <c r="O2" s="4" t="s">
        <v>160</v>
      </c>
      <c r="P2" s="15" t="s">
        <v>161</v>
      </c>
      <c r="Q2" s="15" t="s">
        <v>162</v>
      </c>
      <c r="R2" s="15" t="s">
        <v>163</v>
      </c>
      <c r="S2" s="4" t="s">
        <v>160</v>
      </c>
      <c r="T2" s="15" t="s">
        <v>161</v>
      </c>
      <c r="U2" s="15" t="s">
        <v>162</v>
      </c>
      <c r="V2" s="15" t="s">
        <v>163</v>
      </c>
    </row>
    <row r="3" spans="1:22" x14ac:dyDescent="0.25">
      <c r="A3" s="2">
        <v>1</v>
      </c>
      <c r="B3" s="2" t="s">
        <v>2</v>
      </c>
      <c r="C3" s="3">
        <v>1523670.1312683504</v>
      </c>
      <c r="D3" s="3">
        <f>NPV!J16</f>
        <v>891869.81511473912</v>
      </c>
      <c r="E3" s="3">
        <f>NPV!L16</f>
        <v>3739941.0803154707</v>
      </c>
      <c r="F3" s="3">
        <f>NPV!K16</f>
        <v>-1956201.4500859925</v>
      </c>
      <c r="G3" s="3">
        <f>ВДС!C16</f>
        <v>854871.14703622425</v>
      </c>
      <c r="H3" s="3">
        <f>ВДС!D16</f>
        <v>-1508010.3443235662</v>
      </c>
      <c r="I3" s="14">
        <f>ВДС!F16</f>
        <v>3660719.4612882091</v>
      </c>
      <c r="J3" s="3">
        <f>ВДС!E16</f>
        <v>-6676740.1499353414</v>
      </c>
      <c r="K3" s="3">
        <f>ОФ!C17</f>
        <v>663998.76369988162</v>
      </c>
      <c r="L3" s="3">
        <f>ОФ!D17</f>
        <v>934014.84084255784</v>
      </c>
      <c r="M3" s="3">
        <f>ОФ!F17</f>
        <v>4030547.5098293144</v>
      </c>
      <c r="N3" s="3">
        <f>ОФ!E17</f>
        <v>-1344680.3288637942</v>
      </c>
      <c r="O3" s="3">
        <f>ЗП!C18</f>
        <v>7124.9668564346994</v>
      </c>
      <c r="P3" s="3">
        <f>ЗП!D18</f>
        <v>3089.5768000632215</v>
      </c>
      <c r="Q3" s="14">
        <f>ЗП!F18</f>
        <v>10515.695446906377</v>
      </c>
      <c r="R3" s="3">
        <f>ЗП!E18</f>
        <v>-2196.0161884268764</v>
      </c>
      <c r="S3" s="3">
        <f>ССЧ!C16</f>
        <v>3013.1797778016089</v>
      </c>
      <c r="T3" s="3" t="str">
        <f>ССЧ!D16</f>
        <v/>
      </c>
      <c r="U3" s="14" t="str">
        <f ca="1">ССЧ!F16</f>
        <v/>
      </c>
      <c r="V3" s="3" t="str">
        <f ca="1">ССЧ!E16</f>
        <v/>
      </c>
    </row>
    <row r="4" spans="1:22" x14ac:dyDescent="0.25">
      <c r="A4" s="2">
        <v>2</v>
      </c>
      <c r="B4" s="2" t="s">
        <v>3</v>
      </c>
      <c r="C4" s="3">
        <v>1899714.2822209885</v>
      </c>
      <c r="D4" s="3">
        <f>NPV!J17</f>
        <v>1463084.8104772549</v>
      </c>
      <c r="E4" s="3">
        <f>NPV!L17</f>
        <v>4213046.8077561511</v>
      </c>
      <c r="F4" s="3">
        <f>NPV!K17</f>
        <v>-1286877.1868016412</v>
      </c>
      <c r="G4" s="3">
        <f>ВДС!C17</f>
        <v>1139219.2493035407</v>
      </c>
      <c r="H4" s="3">
        <f>ВДС!D17</f>
        <v>-706204.01285895263</v>
      </c>
      <c r="I4" s="14">
        <f>ВДС!F17</f>
        <v>4134754.9869764438</v>
      </c>
      <c r="J4" s="3">
        <f>ВДС!E17</f>
        <v>-5547163.0126943486</v>
      </c>
      <c r="K4" s="3">
        <f>ОФ!C18</f>
        <v>884858.70150511106</v>
      </c>
      <c r="L4" s="3">
        <f>ОФ!D18</f>
        <v>1046221.4532003703</v>
      </c>
      <c r="M4" s="3">
        <f>ОФ!F18</f>
        <v>4142754.1221871264</v>
      </c>
      <c r="N4" s="3">
        <f>ОФ!E18</f>
        <v>-1232473.7165059817</v>
      </c>
      <c r="O4" s="3">
        <f>ЗП!C19</f>
        <v>9472.4628590143511</v>
      </c>
      <c r="P4" s="3">
        <f>ЗП!D19</f>
        <v>8326.5944043780619</v>
      </c>
      <c r="Q4" s="14">
        <f>ЗП!F19</f>
        <v>15752.713051221217</v>
      </c>
      <c r="R4" s="3">
        <f>ЗП!E19</f>
        <v>3041.001415887964</v>
      </c>
      <c r="S4" s="3">
        <f>ССЧ!C17</f>
        <v>3063.7503642895449</v>
      </c>
      <c r="T4" s="3" t="str">
        <f>ССЧ!D17</f>
        <v/>
      </c>
      <c r="U4" s="14" t="str">
        <f ca="1">ССЧ!F17</f>
        <v/>
      </c>
      <c r="V4" s="3" t="str">
        <f ca="1">ССЧ!E17</f>
        <v/>
      </c>
    </row>
    <row r="5" spans="1:22" x14ac:dyDescent="0.25">
      <c r="A5" s="2">
        <v>3</v>
      </c>
      <c r="B5" s="2" t="s">
        <v>4</v>
      </c>
      <c r="C5" s="3">
        <v>2271976.8034374709</v>
      </c>
      <c r="D5" s="3">
        <f>NPV!J18</f>
        <v>2068779.5910416998</v>
      </c>
      <c r="E5" s="3">
        <f>NPV!L18</f>
        <v>4718163.99984763</v>
      </c>
      <c r="F5" s="3">
        <f>NPV!K18</f>
        <v>-580604.81776423042</v>
      </c>
      <c r="G5" s="3">
        <f>ВДС!C18</f>
        <v>1403738.508618192</v>
      </c>
      <c r="H5" s="3">
        <f>ВДС!D18</f>
        <v>95602.318605660927</v>
      </c>
      <c r="I5" s="14">
        <f>ВДС!F18</f>
        <v>4619590.0941487085</v>
      </c>
      <c r="J5" s="3">
        <f>ВДС!E18</f>
        <v>-4428385.4569373857</v>
      </c>
      <c r="K5" s="3">
        <f>ОФ!C19</f>
        <v>1090317.1051120984</v>
      </c>
      <c r="L5" s="3">
        <f>ОФ!D19</f>
        <v>1218031.7742954073</v>
      </c>
      <c r="M5" s="3">
        <f>ОФ!F19</f>
        <v>4314564.4432821637</v>
      </c>
      <c r="N5" s="3">
        <f>ОФ!E19</f>
        <v>-1060663.3954109447</v>
      </c>
      <c r="O5" s="3">
        <f>ЗП!C20</f>
        <v>10821.718177877687</v>
      </c>
      <c r="P5" s="3">
        <f>ЗП!D20</f>
        <v>13091.189573938369</v>
      </c>
      <c r="Q5" s="14">
        <f>ЗП!F20</f>
        <v>20517.308220781524</v>
      </c>
      <c r="R5" s="3">
        <f>ЗП!E20</f>
        <v>7805.5965854482711</v>
      </c>
      <c r="S5" s="3">
        <f>ССЧ!C18</f>
        <v>3114.3209507774804</v>
      </c>
      <c r="T5" s="3" t="str">
        <f>ССЧ!D18</f>
        <v/>
      </c>
      <c r="U5" s="14" t="str">
        <f ca="1">ССЧ!F18</f>
        <v/>
      </c>
      <c r="V5" s="3" t="str">
        <f ca="1">ССЧ!E18</f>
        <v/>
      </c>
    </row>
    <row r="6" spans="1:22" x14ac:dyDescent="0.25">
      <c r="A6" s="2">
        <v>4</v>
      </c>
      <c r="B6" s="2" t="s">
        <v>5</v>
      </c>
      <c r="C6" s="3">
        <v>2745199.6299384595</v>
      </c>
      <c r="D6" s="3">
        <f>NPV!J19</f>
        <v>2710540.5421868879</v>
      </c>
      <c r="E6" s="3">
        <f>NPV!L19</f>
        <v>5258485.370482346</v>
      </c>
      <c r="F6" s="3">
        <f>NPV!K19</f>
        <v>162595.71389143006</v>
      </c>
      <c r="G6" s="3">
        <f>ВДС!C19</f>
        <v>1677617.7878271635</v>
      </c>
      <c r="H6" s="3">
        <f>ВДС!D19</f>
        <v>897408.65007027471</v>
      </c>
      <c r="I6" s="14">
        <f>ВДС!F19</f>
        <v>5117658.8640915193</v>
      </c>
      <c r="J6" s="3">
        <f>ВДС!E19</f>
        <v>-3322841.5639509703</v>
      </c>
      <c r="K6" s="3">
        <f>ОФ!C20</f>
        <v>1303045.6589160857</v>
      </c>
      <c r="L6" s="3">
        <f>ОФ!D20</f>
        <v>1449445.8041276685</v>
      </c>
      <c r="M6" s="3">
        <f>ОФ!F20</f>
        <v>4545978.4731144253</v>
      </c>
      <c r="N6" s="3">
        <f>ОФ!E20</f>
        <v>-829249.36557868356</v>
      </c>
      <c r="O6" s="3">
        <f>ЗП!C21</f>
        <v>15014.027631766721</v>
      </c>
      <c r="P6" s="3">
        <f>ЗП!D21</f>
        <v>17467.286269579512</v>
      </c>
      <c r="Q6" s="14">
        <f>ЗП!F21</f>
        <v>24893.404916422667</v>
      </c>
      <c r="R6" s="3">
        <f>ЗП!E21</f>
        <v>12181.693281089414</v>
      </c>
      <c r="S6" s="3">
        <f>ССЧ!C19</f>
        <v>3164.8915372654155</v>
      </c>
      <c r="T6" s="3" t="str">
        <f>ССЧ!D19</f>
        <v/>
      </c>
      <c r="U6" s="14" t="str">
        <f ca="1">ССЧ!F19</f>
        <v/>
      </c>
      <c r="V6" s="3" t="str">
        <f ca="1">ССЧ!E19</f>
        <v/>
      </c>
    </row>
    <row r="7" spans="1:22" x14ac:dyDescent="0.25">
      <c r="A7" s="2">
        <v>5</v>
      </c>
      <c r="B7" s="2" t="s">
        <v>6</v>
      </c>
      <c r="C7" s="3">
        <v>3476075.5445336094</v>
      </c>
      <c r="D7" s="3">
        <f>NPV!J20</f>
        <v>3390019.1952395183</v>
      </c>
      <c r="E7" s="3">
        <f>NPV!L20</f>
        <v>5837861.6182303559</v>
      </c>
      <c r="F7" s="3">
        <f>NPV!K20</f>
        <v>942176.77224868082</v>
      </c>
      <c r="G7" s="3">
        <f>ВДС!C20</f>
        <v>2080056.4881224297</v>
      </c>
      <c r="H7" s="3">
        <f>ВДС!D20</f>
        <v>1699214.9815348885</v>
      </c>
      <c r="I7" s="14">
        <f>ВДС!F20</f>
        <v>5632028.6645279732</v>
      </c>
      <c r="J7" s="3">
        <f>ВДС!E20</f>
        <v>-2233598.7014581966</v>
      </c>
      <c r="K7" s="3">
        <f>ОФ!C21</f>
        <v>1615629.3744707303</v>
      </c>
      <c r="L7" s="3">
        <f>ОФ!D21</f>
        <v>1740463.542697154</v>
      </c>
      <c r="M7" s="3">
        <f>ОФ!F21</f>
        <v>4836996.2116839103</v>
      </c>
      <c r="N7" s="3">
        <f>ОФ!E21</f>
        <v>-538231.62700919807</v>
      </c>
      <c r="O7" s="3">
        <f>ЗП!C22</f>
        <v>18464.986503774206</v>
      </c>
      <c r="P7" s="3">
        <f>ЗП!D22</f>
        <v>21538.808452136851</v>
      </c>
      <c r="Q7" s="14">
        <f>ЗП!F22</f>
        <v>28964.927098980006</v>
      </c>
      <c r="R7" s="3">
        <f>ЗП!E22</f>
        <v>16253.215463646753</v>
      </c>
      <c r="S7" s="3">
        <f>ССЧ!C20</f>
        <v>3262.6488048257374</v>
      </c>
      <c r="T7" s="3" t="str">
        <f>ССЧ!D20</f>
        <v/>
      </c>
      <c r="U7" s="14" t="str">
        <f ca="1">ССЧ!F20</f>
        <v/>
      </c>
      <c r="V7" s="3" t="str">
        <f ca="1">ССЧ!E20</f>
        <v/>
      </c>
    </row>
    <row r="8" spans="1:22" x14ac:dyDescent="0.25">
      <c r="A8" s="2">
        <v>6</v>
      </c>
      <c r="B8" s="2" t="s">
        <v>7</v>
      </c>
      <c r="C8" s="3">
        <v>4183589.0473623835</v>
      </c>
      <c r="D8" s="3">
        <f>NPV!J21</f>
        <v>4108934.7396936733</v>
      </c>
      <c r="E8" s="3">
        <f>NPV!L21</f>
        <v>6460967.4171804525</v>
      </c>
      <c r="F8" s="3">
        <f>NPV!K21</f>
        <v>1756902.0622068932</v>
      </c>
      <c r="G8" s="3">
        <f>ВДС!C21</f>
        <v>2564917.6229515877</v>
      </c>
      <c r="H8" s="3">
        <f>ВДС!D21</f>
        <v>2501021.3129995018</v>
      </c>
      <c r="I8" s="14">
        <f>ВДС!F21</f>
        <v>6166536.3084451258</v>
      </c>
      <c r="J8" s="3">
        <f>ВДС!E21</f>
        <v>-1164493.6824461222</v>
      </c>
      <c r="K8" s="3">
        <f>ОФ!C22</f>
        <v>1992232.5563758044</v>
      </c>
      <c r="L8" s="3">
        <f>ОФ!D22</f>
        <v>2091084.9900038638</v>
      </c>
      <c r="M8" s="3">
        <f>ОФ!F22</f>
        <v>5187617.6589906197</v>
      </c>
      <c r="N8" s="3">
        <f>ОФ!E22</f>
        <v>-187610.17970248824</v>
      </c>
      <c r="O8" s="3">
        <f>ЗП!C23</f>
        <v>23149.291880697179</v>
      </c>
      <c r="P8" s="3">
        <f>ЗП!D23</f>
        <v>25389.68008244575</v>
      </c>
      <c r="Q8" s="14">
        <f>ЗП!F23</f>
        <v>32815.798729288901</v>
      </c>
      <c r="R8" s="3">
        <f>ЗП!E23</f>
        <v>20104.087093955652</v>
      </c>
      <c r="S8" s="3">
        <f>ССЧ!C21</f>
        <v>3415.8645222520108</v>
      </c>
      <c r="T8" s="3" t="str">
        <f>ССЧ!D21</f>
        <v/>
      </c>
      <c r="U8" s="14" t="str">
        <f ca="1">ССЧ!F21</f>
        <v/>
      </c>
      <c r="V8" s="3" t="str">
        <f ca="1">ССЧ!E21</f>
        <v/>
      </c>
    </row>
    <row r="9" spans="1:22" x14ac:dyDescent="0.25">
      <c r="A9" s="2">
        <v>7</v>
      </c>
      <c r="B9" s="2" t="s">
        <v>8</v>
      </c>
      <c r="C9" s="3">
        <v>5380452.4239379605</v>
      </c>
      <c r="D9" s="3">
        <f>NPV!J22</f>
        <v>4869076.6285112211</v>
      </c>
      <c r="E9" s="3">
        <f>NPV!L22</f>
        <v>7133475.9862706047</v>
      </c>
      <c r="F9" s="3">
        <f>NPV!K22</f>
        <v>2604677.2707518386</v>
      </c>
      <c r="G9" s="3">
        <f>ВДС!C22</f>
        <v>3296150.8327038502</v>
      </c>
      <c r="H9" s="3">
        <f>ВДС!D22</f>
        <v>3302827.6444641156</v>
      </c>
      <c r="I9" s="14">
        <f>ВДС!F22</f>
        <v>6725902.5806937711</v>
      </c>
      <c r="J9" s="3">
        <f>ВДС!E22</f>
        <v>-120247.29176553991</v>
      </c>
      <c r="K9" s="3">
        <f>ОФ!C23</f>
        <v>2560198.7919133157</v>
      </c>
      <c r="L9" s="3">
        <f>ОФ!D23</f>
        <v>2501310.146047798</v>
      </c>
      <c r="M9" s="3">
        <f>ОФ!F23</f>
        <v>5597842.8150345543</v>
      </c>
      <c r="N9" s="3">
        <f>ОФ!E23</f>
        <v>222614.97634144593</v>
      </c>
      <c r="O9" s="3">
        <f>ЗП!C24</f>
        <v>29243.136120380714</v>
      </c>
      <c r="P9" s="3">
        <f>ЗП!D24</f>
        <v>29103.82512134159</v>
      </c>
      <c r="Q9" s="14">
        <f>ЗП!F24</f>
        <v>36529.943768184748</v>
      </c>
      <c r="R9" s="3">
        <f>ЗП!E24</f>
        <v>23818.232132851492</v>
      </c>
      <c r="S9" s="3">
        <f>ССЧ!C22</f>
        <v>3564.3803710455763</v>
      </c>
      <c r="T9" s="3" t="str">
        <f>ССЧ!D22</f>
        <v/>
      </c>
      <c r="U9" s="14" t="str">
        <f ca="1">ССЧ!F22</f>
        <v/>
      </c>
      <c r="V9" s="3" t="str">
        <f ca="1">ССЧ!E22</f>
        <v/>
      </c>
    </row>
    <row r="10" spans="1:22" x14ac:dyDescent="0.25">
      <c r="A10" s="2">
        <v>8</v>
      </c>
      <c r="B10" s="2" t="s">
        <v>9</v>
      </c>
      <c r="C10" s="3">
        <v>5857652.2365358304</v>
      </c>
      <c r="D10" s="3">
        <f>NPV!J23</f>
        <v>5672307.2798576858</v>
      </c>
      <c r="E10" s="3">
        <f>NPV!L23</f>
        <v>7862198.9157687509</v>
      </c>
      <c r="F10" s="3">
        <f>NPV!K23</f>
        <v>3482415.6439466206</v>
      </c>
      <c r="G10" s="3">
        <f>ВДС!C23</f>
        <v>3853809.5568073275</v>
      </c>
      <c r="H10" s="3">
        <f>ВДС!D23</f>
        <v>4104633.9759287294</v>
      </c>
      <c r="I10" s="14">
        <f>ВДС!F23</f>
        <v>7315762.9015183616</v>
      </c>
      <c r="J10" s="3">
        <f>ВДС!E23</f>
        <v>893505.05033909762</v>
      </c>
      <c r="K10" s="3">
        <f>ОФ!C24</f>
        <v>2993345.5938084461</v>
      </c>
      <c r="L10" s="3">
        <f>ОФ!D24</f>
        <v>2971139.010828956</v>
      </c>
      <c r="M10" s="3">
        <f>ОФ!F24</f>
        <v>6067671.6798157124</v>
      </c>
      <c r="N10" s="3">
        <f>ОФ!E24</f>
        <v>692443.84112260398</v>
      </c>
      <c r="O10" s="3">
        <f>ЗП!C25</f>
        <v>32827.12981312503</v>
      </c>
      <c r="P10" s="3">
        <f>ЗП!D25</f>
        <v>32765.167529659724</v>
      </c>
      <c r="Q10" s="14">
        <f>ЗП!F25</f>
        <v>40191.286176502879</v>
      </c>
      <c r="R10" s="3">
        <f>ЗП!E25</f>
        <v>27479.574541169626</v>
      </c>
      <c r="S10" s="3">
        <f>ССЧ!C23</f>
        <v>3721.2849999999999</v>
      </c>
      <c r="T10" s="3">
        <f ca="1">ССЧ!D23</f>
        <v>3158.9076865608245</v>
      </c>
      <c r="U10" s="14">
        <f ca="1">ССЧ!F23</f>
        <v>3750.1426936673824</v>
      </c>
      <c r="V10" s="3">
        <f ca="1">ССЧ!E23</f>
        <v>2567.6726794542665</v>
      </c>
    </row>
    <row r="11" spans="1:22" x14ac:dyDescent="0.25">
      <c r="A11" s="2">
        <v>9</v>
      </c>
      <c r="B11" s="2" t="s">
        <v>10</v>
      </c>
      <c r="C11" s="3">
        <v>6511019.5831007604</v>
      </c>
      <c r="D11" s="3">
        <f>NPV!J24</f>
        <v>6520564.8787466129</v>
      </c>
      <c r="E11" s="3">
        <f>NPV!L24</f>
        <v>8655107.9800591394</v>
      </c>
      <c r="F11" s="3">
        <f>NPV!K24</f>
        <v>4386021.7774340864</v>
      </c>
      <c r="G11" s="3">
        <f>ВДС!C24</f>
        <v>4239214.9484877475</v>
      </c>
      <c r="H11" s="3">
        <f>ВДС!D24</f>
        <v>4906440.3073933432</v>
      </c>
      <c r="I11" s="14">
        <f>ВДС!F24</f>
        <v>7942510.3090535514</v>
      </c>
      <c r="J11" s="3">
        <f>ВДС!E24</f>
        <v>1870370.3057331354</v>
      </c>
      <c r="K11" s="3">
        <f>ОФ!C25</f>
        <v>3292699.1332117636</v>
      </c>
      <c r="L11" s="3">
        <f>ОФ!D25</f>
        <v>3500571.5843473389</v>
      </c>
      <c r="M11" s="3">
        <f>ОФ!F25</f>
        <v>6597104.2533340957</v>
      </c>
      <c r="N11" s="3">
        <f>ОФ!E25</f>
        <v>1221876.4146409868</v>
      </c>
      <c r="O11" s="3">
        <f>ЗП!C26</f>
        <v>34417.519307577262</v>
      </c>
      <c r="P11" s="3">
        <f>ЗП!D26</f>
        <v>36457.63126823552</v>
      </c>
      <c r="Q11" s="14">
        <f>ЗП!F26</f>
        <v>43883.749915078675</v>
      </c>
      <c r="R11" s="3">
        <f>ЗП!E26</f>
        <v>31172.038279745422</v>
      </c>
      <c r="S11" s="3">
        <f>ССЧ!C24</f>
        <v>3722.31</v>
      </c>
      <c r="T11" s="3">
        <f ca="1">ССЧ!D24</f>
        <v>3501.5888530838429</v>
      </c>
      <c r="U11" s="14">
        <f ca="1">ССЧ!F24</f>
        <v>4092.8238601904009</v>
      </c>
      <c r="V11" s="3">
        <f ca="1">ССЧ!E24</f>
        <v>2910.3538459772849</v>
      </c>
    </row>
    <row r="12" spans="1:22" x14ac:dyDescent="0.25">
      <c r="A12" s="2">
        <v>10</v>
      </c>
      <c r="B12" s="2" t="s">
        <v>11</v>
      </c>
      <c r="C12" s="3">
        <v>7448243.4494492188</v>
      </c>
      <c r="D12" s="3">
        <f>NPV!J25</f>
        <v>7415866.2821880588</v>
      </c>
      <c r="E12" s="3">
        <f>NPV!L25</f>
        <v>9521118.1844831277</v>
      </c>
      <c r="F12" s="3">
        <f>NPV!K25</f>
        <v>5310614.37989299</v>
      </c>
      <c r="G12" s="3">
        <f>ВДС!C25</f>
        <v>4675803.1769923167</v>
      </c>
      <c r="H12" s="3">
        <f>ВДС!D25</f>
        <v>5708246.638857957</v>
      </c>
      <c r="I12" s="14">
        <f>ВДС!F25</f>
        <v>8612822.0387591943</v>
      </c>
      <c r="J12" s="3">
        <f>ВДС!E25</f>
        <v>2803671.2389567187</v>
      </c>
      <c r="K12" s="3">
        <f>ОФ!C26</f>
        <v>3631807.6</v>
      </c>
      <c r="L12" s="3">
        <f>ОФ!D26</f>
        <v>4089607.8666029461</v>
      </c>
      <c r="M12" s="3">
        <f>ОФ!F26</f>
        <v>7186140.5355897024</v>
      </c>
      <c r="N12" s="3">
        <f>ОФ!E26</f>
        <v>1810912.696896594</v>
      </c>
      <c r="O12" s="3">
        <f>ЗП!C27</f>
        <v>38027.270514532211</v>
      </c>
      <c r="P12" s="3">
        <f>ЗП!D27</f>
        <v>40265.140297904356</v>
      </c>
      <c r="Q12" s="14">
        <f>ЗП!F27</f>
        <v>47691.258944747511</v>
      </c>
      <c r="R12" s="3">
        <f>ЗП!E27</f>
        <v>34979.547309414258</v>
      </c>
      <c r="S12" s="3">
        <f>ССЧ!C25</f>
        <v>3588.8969999999999</v>
      </c>
      <c r="T12" s="3">
        <f ca="1">ССЧ!D25</f>
        <v>3702.0444852031906</v>
      </c>
      <c r="U12" s="14">
        <f ca="1">ССЧ!F25</f>
        <v>4293.2794923097481</v>
      </c>
      <c r="V12" s="3">
        <f ca="1">ССЧ!E25</f>
        <v>3110.8094780966326</v>
      </c>
    </row>
    <row r="13" spans="1:22" x14ac:dyDescent="0.25">
      <c r="A13" s="2">
        <v>11</v>
      </c>
      <c r="B13" s="2" t="s">
        <v>13</v>
      </c>
      <c r="C13" s="3">
        <v>8915955.3337932099</v>
      </c>
      <c r="D13" s="3">
        <f>NPV!J26</f>
        <v>8360310.0315636313</v>
      </c>
      <c r="E13" s="3">
        <f>NPV!L26</f>
        <v>10469523.531359868</v>
      </c>
      <c r="F13" s="3">
        <f>NPV!K26</f>
        <v>6251096.5317673925</v>
      </c>
      <c r="G13" s="3">
        <f>ВДС!C26</f>
        <v>5864573.2429680433</v>
      </c>
      <c r="H13" s="3">
        <f>ВДС!D26</f>
        <v>6510052.9703225708</v>
      </c>
      <c r="I13" s="14">
        <f>ВДС!F26</f>
        <v>9332792.8756184317</v>
      </c>
      <c r="J13" s="3">
        <f>ВДС!E26</f>
        <v>3687313.0650267089</v>
      </c>
      <c r="K13" s="3">
        <f>ОФ!C27</f>
        <v>6188755.7403909471</v>
      </c>
      <c r="L13" s="3">
        <f>ОФ!D27</f>
        <v>4738247.8575957771</v>
      </c>
      <c r="M13" s="3">
        <f>ОФ!F27</f>
        <v>7834780.5265825335</v>
      </c>
      <c r="N13" s="3">
        <f>ОФ!E27</f>
        <v>2459552.6878894251</v>
      </c>
      <c r="O13" s="3">
        <f>ЗП!C28</f>
        <v>48913.793502099419</v>
      </c>
      <c r="P13" s="3">
        <f>ЗП!D28</f>
        <v>44271.618579501592</v>
      </c>
      <c r="Q13" s="14">
        <f>ЗП!F28</f>
        <v>51697.737226344747</v>
      </c>
      <c r="R13" s="3">
        <f>ЗП!E28</f>
        <v>38986.025591011494</v>
      </c>
      <c r="S13" s="3">
        <f>ССЧ!C26</f>
        <v>3517.73</v>
      </c>
      <c r="T13" s="3">
        <f ca="1">ССЧ!D26</f>
        <v>3844.2700196068608</v>
      </c>
      <c r="U13" s="14">
        <f ca="1">ССЧ!F26</f>
        <v>4435.5050267134184</v>
      </c>
      <c r="V13" s="3">
        <f ca="1">ССЧ!E26</f>
        <v>3253.0350125003029</v>
      </c>
    </row>
    <row r="14" spans="1:22" x14ac:dyDescent="0.25">
      <c r="A14" s="2">
        <v>12</v>
      </c>
      <c r="B14" s="2" t="s">
        <v>14</v>
      </c>
      <c r="C14" s="3">
        <v>10017461.84195617</v>
      </c>
      <c r="D14" s="3">
        <f>NPV!J27</f>
        <v>9356079.4760818202</v>
      </c>
      <c r="E14" s="3">
        <f>NPV!L27</f>
        <v>11509102.738387467</v>
      </c>
      <c r="F14" s="3">
        <f>NPV!K27</f>
        <v>7203056.213776174</v>
      </c>
      <c r="G14" s="3">
        <f>ВДС!C27</f>
        <v>6696500.3734088941</v>
      </c>
      <c r="H14" s="3">
        <f>ВДС!D27</f>
        <v>7311859.3017871836</v>
      </c>
      <c r="I14" s="14">
        <f>ВДС!F27</f>
        <v>10106788.283478092</v>
      </c>
      <c r="J14" s="3">
        <f>ВДС!E27</f>
        <v>4516930.3200962758</v>
      </c>
      <c r="K14" s="3">
        <f>ОФ!C28</f>
        <v>7066670.2263727253</v>
      </c>
      <c r="L14" s="3">
        <f>ОФ!D28</f>
        <v>5446491.5573258325</v>
      </c>
      <c r="M14" s="3">
        <f>ОФ!F28</f>
        <v>8543024.2263125889</v>
      </c>
      <c r="N14" s="3">
        <f>ОФ!E28</f>
        <v>3167796.3876194805</v>
      </c>
      <c r="O14" s="3">
        <f>ЗП!C29</f>
        <v>55417.97686444701</v>
      </c>
      <c r="P14" s="3">
        <f>ЗП!D29</f>
        <v>48560.990073862573</v>
      </c>
      <c r="Q14" s="14">
        <f>ЗП!F29</f>
        <v>55987.108720705728</v>
      </c>
      <c r="R14" s="3">
        <f>ЗП!E29</f>
        <v>43275.397085372475</v>
      </c>
      <c r="S14" s="3">
        <f>ССЧ!C27</f>
        <v>3511.3829999999998</v>
      </c>
      <c r="T14" s="3">
        <f ca="1">ССЧ!D27</f>
        <v>3954.588714699395</v>
      </c>
      <c r="U14" s="14">
        <f ca="1">ССЧ!F27</f>
        <v>4545.823721805953</v>
      </c>
      <c r="V14" s="3">
        <f ca="1">ССЧ!E27</f>
        <v>3363.3537075928371</v>
      </c>
    </row>
    <row r="15" spans="1:22" x14ac:dyDescent="0.25">
      <c r="A15" s="2">
        <v>13</v>
      </c>
      <c r="B15" s="2" t="s">
        <v>15</v>
      </c>
      <c r="C15" s="3">
        <v>9925208.0999999996</v>
      </c>
      <c r="D15" s="3">
        <f>NPV!J28</f>
        <v>10405446.011303117</v>
      </c>
      <c r="E15" s="3">
        <f>NPV!L28</f>
        <v>12647143.853577789</v>
      </c>
      <c r="F15" s="3">
        <f>NPV!K28</f>
        <v>8163748.1690284451</v>
      </c>
      <c r="G15" s="3">
        <f>ВДС!C28</f>
        <v>6933386.9000000004</v>
      </c>
      <c r="H15" s="3">
        <f>ВДС!D28</f>
        <v>8113665.6332517983</v>
      </c>
      <c r="I15" s="14">
        <f>ВДС!F28</f>
        <v>10936405.538547661</v>
      </c>
      <c r="J15" s="3">
        <f>ВДС!E28</f>
        <v>5290925.7279559365</v>
      </c>
      <c r="K15" s="3">
        <f>ОФ!C29</f>
        <v>7517411.2509606024</v>
      </c>
      <c r="L15" s="3">
        <f>ОФ!D29</f>
        <v>6214338.9657931123</v>
      </c>
      <c r="M15" s="3">
        <f>ОФ!F29</f>
        <v>9310871.6347798686</v>
      </c>
      <c r="N15" s="3">
        <f>ОФ!E29</f>
        <v>3935643.7960867602</v>
      </c>
      <c r="O15" s="3">
        <f>ЗП!C30</f>
        <v>58446.402896956672</v>
      </c>
      <c r="P15" s="3">
        <f>ЗП!D30</f>
        <v>53217.178741822703</v>
      </c>
      <c r="Q15" s="14">
        <f>ЗП!F30</f>
        <v>60643.297388665858</v>
      </c>
      <c r="R15" s="3">
        <f>ЗП!E30</f>
        <v>47931.585753332605</v>
      </c>
      <c r="S15" s="3">
        <f>ССЧ!C28</f>
        <v>3511.895</v>
      </c>
      <c r="T15" s="3">
        <f ca="1">ССЧ!D28</f>
        <v>4044.7256517262085</v>
      </c>
      <c r="U15" s="14">
        <f ca="1">ССЧ!F28</f>
        <v>4635.9606588327661</v>
      </c>
      <c r="V15" s="3">
        <f ca="1">ССЧ!E28</f>
        <v>3453.4906446196505</v>
      </c>
    </row>
    <row r="16" spans="1:22" x14ac:dyDescent="0.25">
      <c r="A16" s="2">
        <v>14</v>
      </c>
      <c r="B16" s="2" t="s">
        <v>16</v>
      </c>
      <c r="C16" s="3">
        <v>10706582.1</v>
      </c>
      <c r="D16" s="3">
        <f>NPV!J29</f>
        <v>11510772.436864944</v>
      </c>
      <c r="E16" s="3">
        <f>NPV!L29</f>
        <v>13888801.353981158</v>
      </c>
      <c r="F16" s="3">
        <f>NPV!K29</f>
        <v>9132743.5197487306</v>
      </c>
      <c r="G16" s="3">
        <f>ВДС!C29</f>
        <v>7504676.2999999998</v>
      </c>
      <c r="H16" s="3">
        <f>ВДС!D29</f>
        <v>8915471.9647164121</v>
      </c>
      <c r="I16" s="14">
        <f>ВДС!F29</f>
        <v>11820047.364617649</v>
      </c>
      <c r="J16" s="3">
        <f>ВДС!E29</f>
        <v>6010896.5648151739</v>
      </c>
      <c r="K16" s="3">
        <f>ОФ!C30</f>
        <v>7806214.914021723</v>
      </c>
      <c r="L16" s="3">
        <f>ОФ!D30</f>
        <v>7041790.0829976164</v>
      </c>
      <c r="M16" s="3">
        <f>ОФ!F30</f>
        <v>10138322.751984373</v>
      </c>
      <c r="N16" s="3">
        <f>ОФ!E30</f>
        <v>4763094.9132912643</v>
      </c>
      <c r="O16" s="3">
        <f>ЗП!C31</f>
        <v>57428.570061473758</v>
      </c>
      <c r="P16" s="3">
        <f>ЗП!D31</f>
        <v>58324.108544217343</v>
      </c>
      <c r="Q16" s="14">
        <f>ЗП!F31</f>
        <v>65750.22719106049</v>
      </c>
      <c r="R16" s="3">
        <f>ЗП!E31</f>
        <v>53038.515555727245</v>
      </c>
      <c r="S16" s="3">
        <f>ССЧ!C29</f>
        <v>3506.1019999999999</v>
      </c>
      <c r="T16" s="3">
        <f ca="1">ССЧ!D29</f>
        <v>4120.9353460956609</v>
      </c>
      <c r="U16" s="14">
        <f ca="1">ССЧ!F29</f>
        <v>4712.1703532022184</v>
      </c>
      <c r="V16" s="3">
        <f ca="1">ССЧ!E29</f>
        <v>3529.7003389891029</v>
      </c>
    </row>
    <row r="17" spans="1:22" x14ac:dyDescent="0.25">
      <c r="A17" s="2">
        <v>15</v>
      </c>
      <c r="B17" s="2" t="s">
        <v>17</v>
      </c>
      <c r="C17" s="3">
        <v>11852881.700000001</v>
      </c>
      <c r="D17" s="3">
        <f>NPV!J30</f>
        <v>12674516.437681872</v>
      </c>
      <c r="E17" s="3">
        <f>NPV!L30</f>
        <v>15237079.271344533</v>
      </c>
      <c r="F17" s="3">
        <f>NPV!K30</f>
        <v>10111953.60401921</v>
      </c>
      <c r="G17" s="3">
        <f>ВДС!C30</f>
        <v>8005749.4000000004</v>
      </c>
      <c r="H17" s="3">
        <f>ВДС!D30</f>
        <v>9717278.2961810268</v>
      </c>
      <c r="I17" s="14">
        <f>ВДС!F30</f>
        <v>12753348.297841234</v>
      </c>
      <c r="J17" s="3">
        <f>ВДС!E30</f>
        <v>6681208.2945208196</v>
      </c>
      <c r="K17" s="3">
        <f>ОФ!C31</f>
        <v>8342022.5787704289</v>
      </c>
      <c r="L17" s="3">
        <f>ОФ!D31</f>
        <v>7928844.9089393457</v>
      </c>
      <c r="M17" s="3">
        <f>ОФ!F31</f>
        <v>11025377.577926103</v>
      </c>
      <c r="N17" s="3">
        <f>ОФ!E31</f>
        <v>5650149.7392329937</v>
      </c>
      <c r="O17" s="3">
        <f>ЗП!C32</f>
        <v>59750.30854984279</v>
      </c>
      <c r="P17" s="3">
        <f>ЗП!D32</f>
        <v>63965.703441881815</v>
      </c>
      <c r="Q17" s="14">
        <f>ЗП!F32</f>
        <v>71391.822088724963</v>
      </c>
      <c r="R17" s="3">
        <f>ЗП!E32</f>
        <v>58680.110453391717</v>
      </c>
      <c r="S17" s="3">
        <f>ССЧ!C30</f>
        <v>3420.6927000000001</v>
      </c>
      <c r="T17" s="3">
        <f ca="1">ССЧ!D30</f>
        <v>4186.9511861298797</v>
      </c>
      <c r="U17" s="14">
        <f ca="1">ССЧ!F30</f>
        <v>4778.1861932364372</v>
      </c>
      <c r="V17" s="3">
        <f ca="1">ССЧ!E30</f>
        <v>3595.7161790233217</v>
      </c>
    </row>
    <row r="18" spans="1:22" x14ac:dyDescent="0.25">
      <c r="A18" s="2">
        <v>16</v>
      </c>
      <c r="B18" s="2" t="s">
        <v>18</v>
      </c>
      <c r="C18" s="3">
        <v>12766002.800000001</v>
      </c>
      <c r="D18" s="3">
        <f>NPV!J31</f>
        <v>13899234.193046965</v>
      </c>
      <c r="E18" s="3">
        <f>NPV!L31</f>
        <v>16693377.976902718</v>
      </c>
      <c r="F18" s="3">
        <f>NPV!K31</f>
        <v>11105090.40919121</v>
      </c>
      <c r="G18" s="3">
        <f>ВДС!C31</f>
        <v>8435287.0999999996</v>
      </c>
      <c r="H18" s="3">
        <f>ВДС!D31</f>
        <v>10519084.627645638</v>
      </c>
      <c r="I18" s="14">
        <f>ВДС!F31</f>
        <v>13730213.55323527</v>
      </c>
      <c r="J18" s="3">
        <f>ВДС!E31</f>
        <v>7307955.7020560056</v>
      </c>
      <c r="K18" s="3">
        <f>ОФ!C32</f>
        <v>8435287.0999999996</v>
      </c>
      <c r="L18" s="3">
        <f>ОФ!D32</f>
        <v>8875503.4436182976</v>
      </c>
      <c r="M18" s="3">
        <f>ОФ!F32</f>
        <v>11972036.112605054</v>
      </c>
      <c r="N18" s="3">
        <f>ОФ!E32</f>
        <v>6596808.2739119455</v>
      </c>
      <c r="O18" s="3">
        <f>ЗП!C33</f>
        <v>71121.2</v>
      </c>
      <c r="P18" s="3">
        <f>ЗП!D33</f>
        <v>70225.887395651545</v>
      </c>
      <c r="Q18" s="14">
        <f>ЗП!F33</f>
        <v>77652.006042494701</v>
      </c>
      <c r="R18" s="3">
        <f>ЗП!E33</f>
        <v>64940.294407161447</v>
      </c>
      <c r="S18" s="3">
        <f>ССЧ!C31</f>
        <v>4608.7519299999994</v>
      </c>
      <c r="T18" s="3">
        <f ca="1">ССЧ!D31</f>
        <v>4245.1812838455562</v>
      </c>
      <c r="U18" s="14">
        <f ca="1">ССЧ!F31</f>
        <v>4836.4162909521137</v>
      </c>
      <c r="V18" s="3">
        <f ca="1">ССЧ!E31</f>
        <v>3653.9462767389982</v>
      </c>
    </row>
    <row r="19" spans="1:22" x14ac:dyDescent="0.25">
      <c r="A19" s="2">
        <v>17</v>
      </c>
      <c r="B19" s="2" t="s">
        <v>19</v>
      </c>
      <c r="C19" s="3">
        <v>13515794</v>
      </c>
      <c r="D19" s="3">
        <f>NPV!J32</f>
        <v>15187584.118215792</v>
      </c>
      <c r="E19" s="3">
        <f>NPV!L32</f>
        <v>18258272.037383951</v>
      </c>
      <c r="F19" s="3">
        <f>NPV!K32</f>
        <v>12116896.199047633</v>
      </c>
      <c r="G19" s="3">
        <f>ВДС!C32</f>
        <v>8889867.7000000011</v>
      </c>
      <c r="H19" s="3">
        <f>ВДС!D32</f>
        <v>11320890.959110253</v>
      </c>
      <c r="I19" s="14">
        <f>ВДС!F32</f>
        <v>14743965.895339908</v>
      </c>
      <c r="J19" s="3">
        <f>ВДС!E32</f>
        <v>7897816.022880597</v>
      </c>
      <c r="K19" s="3">
        <f>ОФ!C33</f>
        <v>8889867.7000000011</v>
      </c>
      <c r="L19" s="3">
        <f>ОФ!D33</f>
        <v>9881765.6870344765</v>
      </c>
      <c r="M19" s="3">
        <f>ОФ!F33</f>
        <v>12978298.356021233</v>
      </c>
      <c r="N19" s="3">
        <f>ОФ!E33</f>
        <v>7603070.5173281245</v>
      </c>
      <c r="O19" s="3">
        <f>ЗП!C34</f>
        <v>79509</v>
      </c>
      <c r="P19" s="3">
        <f>ЗП!D34</f>
        <v>77188.584366361873</v>
      </c>
      <c r="Q19" s="14">
        <f>ЗП!F34</f>
        <v>84614.703013205028</v>
      </c>
      <c r="R19" s="3">
        <f>ЗП!E34</f>
        <v>71902.991377871775</v>
      </c>
      <c r="S19" s="3">
        <f>ССЧ!C32</f>
        <v>4690.2311</v>
      </c>
      <c r="T19" s="3">
        <f ca="1">ССЧ!D32</f>
        <v>4297.2698812224135</v>
      </c>
      <c r="U19" s="14">
        <f ca="1">ССЧ!F32</f>
        <v>4888.504888328971</v>
      </c>
      <c r="V19" s="3">
        <f ca="1">ССЧ!E32</f>
        <v>3706.0348741158555</v>
      </c>
    </row>
    <row r="20" spans="1:22" x14ac:dyDescent="0.25">
      <c r="A20" s="2">
        <v>18</v>
      </c>
      <c r="B20" s="2" t="s">
        <v>34</v>
      </c>
      <c r="C20" s="3">
        <v>13615271.9</v>
      </c>
      <c r="D20" s="3">
        <f>NPV!J33</f>
        <v>16542330.743215716</v>
      </c>
      <c r="E20" s="3">
        <f>NPV!L33</f>
        <v>19932196.813244045</v>
      </c>
      <c r="F20" s="3">
        <f>NPV!K33</f>
        <v>13152464.67318739</v>
      </c>
      <c r="G20" s="3">
        <f>ВДС!C33</f>
        <v>9318440.1999999993</v>
      </c>
      <c r="H20" s="3">
        <f>ВДС!D33</f>
        <v>12122697.290574867</v>
      </c>
      <c r="I20" s="14">
        <f>ВДС!F33</f>
        <v>15788212.286020491</v>
      </c>
      <c r="J20" s="3">
        <f>ВДС!E33</f>
        <v>8457182.2951292433</v>
      </c>
      <c r="K20" s="3">
        <f>ОФ!C34</f>
        <v>9438926.0500000007</v>
      </c>
      <c r="L20" s="3">
        <f>ОФ!D34</f>
        <v>10947631.639187876</v>
      </c>
      <c r="M20" s="3">
        <f>ОФ!F34</f>
        <v>14044164.308174632</v>
      </c>
      <c r="N20" s="3">
        <f>ОФ!E34</f>
        <v>8668936.4694815241</v>
      </c>
      <c r="O20" s="3">
        <f>ЗП!C35</f>
        <v>84992.9</v>
      </c>
      <c r="P20" s="3">
        <f>ЗП!D35</f>
        <v>84937.718314848142</v>
      </c>
      <c r="Q20" s="14">
        <f>ЗП!F35</f>
        <v>92363.836961691297</v>
      </c>
      <c r="R20" s="3">
        <f>ЗП!E35</f>
        <v>79652.125326358044</v>
      </c>
      <c r="S20" s="3">
        <f>ССЧ!C33</f>
        <v>4692.8642</v>
      </c>
      <c r="T20" s="3">
        <f ca="1">ССЧ!D33</f>
        <v>4344.3897491420666</v>
      </c>
      <c r="U20" s="14">
        <f ca="1">ССЧ!F33</f>
        <v>4935.6247562486242</v>
      </c>
      <c r="V20" s="3">
        <f ca="1">ССЧ!E33</f>
        <v>3753.1547420355087</v>
      </c>
    </row>
    <row r="21" spans="1:22" x14ac:dyDescent="0.25">
      <c r="A21" s="2">
        <v>19</v>
      </c>
      <c r="B21" s="2" t="s">
        <v>35</v>
      </c>
      <c r="C21" s="3">
        <v>14544325.699999999</v>
      </c>
      <c r="D21" s="3">
        <f>NPV!J34</f>
        <v>17966348.733789671</v>
      </c>
      <c r="E21" s="3">
        <f>NPV!L34</f>
        <v>21715898.977094799</v>
      </c>
      <c r="F21" s="3">
        <f>NPV!K34</f>
        <v>14216798.490484538</v>
      </c>
      <c r="G21" s="3">
        <f>ВДС!C34</f>
        <v>9987984.4000000004</v>
      </c>
      <c r="H21" s="3">
        <f>ВДС!D34</f>
        <v>12924503.622039478</v>
      </c>
      <c r="I21" s="14">
        <f>ВДС!F34</f>
        <v>16857317.305032562</v>
      </c>
      <c r="J21" s="3">
        <f>ВДС!E34</f>
        <v>8991689.9390463941</v>
      </c>
      <c r="K21" s="3">
        <f>ОФ!C35</f>
        <v>9987984.4000000004</v>
      </c>
      <c r="L21" s="3">
        <f>ОФ!D35</f>
        <v>12073101.300078502</v>
      </c>
      <c r="M21" s="3">
        <f>ОФ!F35</f>
        <v>15169633.969065258</v>
      </c>
      <c r="N21" s="3">
        <f>ОФ!E35</f>
        <v>9794406.1303721499</v>
      </c>
      <c r="O21" s="3">
        <f>ЗП!C36</f>
        <v>91586</v>
      </c>
      <c r="P21" s="3">
        <f>ЗП!D36</f>
        <v>93557.213201945764</v>
      </c>
      <c r="Q21" s="14">
        <f>ЗП!F36</f>
        <v>100983.33184878892</v>
      </c>
      <c r="R21" s="3">
        <f>ЗП!E36</f>
        <v>88271.620213455666</v>
      </c>
      <c r="S21" s="3">
        <f>ССЧ!C34</f>
        <v>4732.6019299999998</v>
      </c>
      <c r="T21" s="3">
        <f ca="1">ССЧ!D34</f>
        <v>4387.4068182492265</v>
      </c>
      <c r="U21" s="14">
        <f ca="1">ССЧ!F34</f>
        <v>4978.641825355784</v>
      </c>
      <c r="V21" s="3">
        <f ca="1">ССЧ!E34</f>
        <v>3796.1718111426685</v>
      </c>
    </row>
    <row r="22" spans="1:22" x14ac:dyDescent="0.25">
      <c r="A22" s="2">
        <v>20</v>
      </c>
      <c r="B22" s="2" t="s">
        <v>45</v>
      </c>
      <c r="C22" s="3">
        <v>16406490.399999999</v>
      </c>
      <c r="D22" s="3">
        <f>NPV!J35</f>
        <v>19462627.059556011</v>
      </c>
      <c r="E22" s="3">
        <f>NPV!L35</f>
        <v>23610660.716225568</v>
      </c>
      <c r="F22" s="3">
        <f>NPV!K35</f>
        <v>15314593.402886452</v>
      </c>
      <c r="G22" s="3">
        <f>ВДС!C35</f>
        <v>12989466.85</v>
      </c>
      <c r="H22" s="3">
        <f>ВДС!D35</f>
        <v>13726309.953504093</v>
      </c>
      <c r="I22" s="14">
        <f>ВДС!F35</f>
        <v>17946560.167525336</v>
      </c>
      <c r="J22" s="3">
        <f>ВДС!E35</f>
        <v>9506059.739482848</v>
      </c>
      <c r="K22" s="3">
        <f>ОФ!C36</f>
        <v>10979479.5</v>
      </c>
      <c r="L22" s="3">
        <f>ОФ!D36</f>
        <v>13258174.669706352</v>
      </c>
      <c r="M22" s="3">
        <f>ОФ!F36</f>
        <v>16354707.338693108</v>
      </c>
      <c r="N22" s="3">
        <f>ОФ!E36</f>
        <v>10979479.5</v>
      </c>
      <c r="O22" s="3">
        <f>ЗП!C37</f>
        <v>97845.4</v>
      </c>
      <c r="P22" s="3">
        <f>ЗП!D37</f>
        <v>103130.99298849009</v>
      </c>
      <c r="Q22" s="14">
        <f>ЗП!F37</f>
        <v>110557.11163533325</v>
      </c>
      <c r="R22" s="3">
        <f>ЗП!E37</f>
        <v>97845.4</v>
      </c>
      <c r="S22" s="3">
        <f>ССЧ!C35</f>
        <v>4651.6728800000001</v>
      </c>
      <c r="T22" s="3">
        <f ca="1">ССЧ!D35</f>
        <v>4426.978685821523</v>
      </c>
      <c r="U22" s="14">
        <f ca="1">ССЧ!F35</f>
        <v>5018.2136929280805</v>
      </c>
      <c r="V22" s="3">
        <f ca="1">ССЧ!E35</f>
        <v>3835.743678714965</v>
      </c>
    </row>
    <row r="23" spans="1:22" x14ac:dyDescent="0.25">
      <c r="A23" s="2">
        <v>21</v>
      </c>
      <c r="B23" s="2" t="s">
        <v>46</v>
      </c>
      <c r="C23" s="3">
        <v>19738622.600000001</v>
      </c>
      <c r="D23" s="3">
        <f>NPV!J36</f>
        <v>21034273.314644471</v>
      </c>
      <c r="E23" s="3">
        <f>NPV!L36</f>
        <v>25618369.899447113</v>
      </c>
      <c r="F23" s="3">
        <f>NPV!K36</f>
        <v>16450176.729841826</v>
      </c>
      <c r="G23" s="3">
        <f>ВДС!C36</f>
        <v>15127767.050000001</v>
      </c>
      <c r="H23" s="3">
        <f>ВДС!D36</f>
        <v>14528116.284968708</v>
      </c>
      <c r="I23" s="14">
        <f>ВДС!F36</f>
        <v>19052104.060511753</v>
      </c>
      <c r="J23" s="3">
        <f>ВДС!E36</f>
        <v>10004128.509425661</v>
      </c>
      <c r="K23" s="3">
        <f>ОФ!C37</f>
        <v>13819986.5</v>
      </c>
      <c r="L23" s="3">
        <f>ОФ!D37</f>
        <v>14502851.748071427</v>
      </c>
      <c r="M23" s="3">
        <f>ОФ!F37</f>
        <v>17599384.417058185</v>
      </c>
      <c r="N23" s="3">
        <f>ОФ!E37</f>
        <v>12224156.578365074</v>
      </c>
      <c r="O23" s="3">
        <f>ЗП!C38</f>
        <v>108572.5</v>
      </c>
      <c r="P23" s="3">
        <f>ЗП!D38</f>
        <v>113742.98163531646</v>
      </c>
      <c r="Q23" s="14">
        <f>ЗП!F38</f>
        <v>121169.10028215962</v>
      </c>
      <c r="R23" s="3">
        <f>ЗП!E38</f>
        <v>108457.38864682637</v>
      </c>
      <c r="S23" s="3">
        <f>ССЧ!C36</f>
        <v>4634.6379999999999</v>
      </c>
      <c r="T23" s="3">
        <f ca="1">ССЧ!D36</f>
        <v>4463.6165126186797</v>
      </c>
      <c r="U23" s="14">
        <f ca="1">ССЧ!F36</f>
        <v>5054.8515197252373</v>
      </c>
      <c r="V23" s="3">
        <f ca="1">ССЧ!E36</f>
        <v>3872.3815055121217</v>
      </c>
    </row>
    <row r="24" spans="1:22" x14ac:dyDescent="0.25">
      <c r="A24" s="2">
        <v>22</v>
      </c>
      <c r="B24" s="2" t="s">
        <v>47</v>
      </c>
      <c r="C24" s="3">
        <v>24340433.200000003</v>
      </c>
      <c r="D24" s="3">
        <f>NPV!J37</f>
        <v>22684518.196252804</v>
      </c>
      <c r="E24" s="3">
        <f>NPV!L37</f>
        <v>27741507.172045324</v>
      </c>
      <c r="F24" s="3">
        <f>NPV!K37</f>
        <v>17627529.220460288</v>
      </c>
      <c r="G24" s="3">
        <f>ВДС!C37</f>
        <v>16660493.5</v>
      </c>
      <c r="H24" s="3">
        <f>ВДС!D37</f>
        <v>15329922.616433322</v>
      </c>
      <c r="I24" s="14">
        <f>ВДС!F37</f>
        <v>20170881.616268717</v>
      </c>
      <c r="J24" s="3">
        <f>ВДС!E37</f>
        <v>10488963.616597926</v>
      </c>
      <c r="K24" s="3">
        <f>ОФ!C38</f>
        <v>16660493.5</v>
      </c>
      <c r="L24" s="3">
        <f>ОФ!D38</f>
        <v>15807132.535173723</v>
      </c>
      <c r="M24" s="3">
        <f>ОФ!F38</f>
        <v>18903665.204160482</v>
      </c>
      <c r="N24" s="3">
        <f>ОФ!E38</f>
        <v>13528437.365467371</v>
      </c>
      <c r="O24" s="3">
        <f>ЗП!C39</f>
        <v>124522.3</v>
      </c>
      <c r="P24" s="3">
        <f>ЗП!D39</f>
        <v>125477.10310326028</v>
      </c>
      <c r="Q24" s="14">
        <f>ЗП!F39</f>
        <v>132903.22175010343</v>
      </c>
      <c r="R24" s="3">
        <f>ЗП!E39</f>
        <v>120191.51011477018</v>
      </c>
      <c r="S24" s="3">
        <f>ССЧ!C37</f>
        <v>4624.0249999999996</v>
      </c>
      <c r="T24" s="3">
        <f ca="1">ССЧ!D37</f>
        <v>4497.7255133417611</v>
      </c>
      <c r="U24" s="14">
        <f ca="1">ССЧ!F37</f>
        <v>5088.9605204483187</v>
      </c>
      <c r="V24" s="3">
        <f ca="1">ССЧ!E37</f>
        <v>3906.4905062352032</v>
      </c>
    </row>
    <row r="25" spans="1:22" x14ac:dyDescent="0.25">
      <c r="A25" s="2">
        <v>23</v>
      </c>
      <c r="B25" s="2" t="s">
        <v>48</v>
      </c>
      <c r="C25" s="3">
        <v>29177253.5</v>
      </c>
      <c r="D25" s="3">
        <f>NPV!J38</f>
        <v>24416720.146759458</v>
      </c>
      <c r="E25" s="3">
        <f>NPV!L38</f>
        <v>29983098.189460117</v>
      </c>
      <c r="F25" s="3">
        <f>NPV!K38</f>
        <v>18850342.104058798</v>
      </c>
      <c r="G25" s="3">
        <f>ВДС!C38</f>
        <v>20267549.700000003</v>
      </c>
      <c r="H25" s="3">
        <f>ВДС!D38</f>
        <v>16131728.947897937</v>
      </c>
      <c r="I25" s="14">
        <f>ВДС!F38</f>
        <v>21300458.753509711</v>
      </c>
      <c r="J25" s="3">
        <f>ВДС!E38</f>
        <v>10962999.142286163</v>
      </c>
      <c r="K25" s="3">
        <f>ОФ!C39</f>
        <v>20267549.700000003</v>
      </c>
      <c r="L25" s="3">
        <f>ОФ!D39</f>
        <v>17171017.031013247</v>
      </c>
      <c r="M25" s="3">
        <f>ОФ!F39</f>
        <v>20267549.700000003</v>
      </c>
      <c r="N25" s="3">
        <f>ОФ!E39</f>
        <v>14892321.861306895</v>
      </c>
      <c r="O25" s="3">
        <f>ЗП!C40</f>
        <v>145843.40000000002</v>
      </c>
      <c r="P25" s="3">
        <f>ЗП!D40</f>
        <v>138417.28135315687</v>
      </c>
      <c r="Q25" s="14">
        <f>ЗП!F40</f>
        <v>145843.40000000002</v>
      </c>
      <c r="R25" s="3">
        <f>ЗП!E40</f>
        <v>133131.68836466677</v>
      </c>
      <c r="S25" s="3">
        <f>ССЧ!C38</f>
        <v>4571.1329999999998</v>
      </c>
      <c r="T25" s="3">
        <f ca="1">ССЧ!D38</f>
        <v>4529.6323526528977</v>
      </c>
      <c r="U25" s="14">
        <f ca="1">ССЧ!F38</f>
        <v>5120.8673597594552</v>
      </c>
      <c r="V25" s="3">
        <f ca="1">ССЧ!E38</f>
        <v>3938.3973455463397</v>
      </c>
    </row>
    <row r="26" spans="1:22" x14ac:dyDescent="0.25">
      <c r="A26" s="2">
        <v>24</v>
      </c>
      <c r="B26" s="2" t="s">
        <v>49</v>
      </c>
      <c r="C26" s="3">
        <v>32463740.899999999</v>
      </c>
      <c r="D26" s="3">
        <f>NPV!J39</f>
        <v>26234370.165225357</v>
      </c>
      <c r="E26" s="3">
        <f>NPV!L39</f>
        <v>32346657.666376326</v>
      </c>
      <c r="F26" s="3">
        <f>NPV!K39</f>
        <v>20122082.664074387</v>
      </c>
      <c r="G26" s="3">
        <f>ВДС!C39</f>
        <v>22639157.185240481</v>
      </c>
      <c r="H26" s="3">
        <f>ВДС!D39</f>
        <v>16933535.279362548</v>
      </c>
      <c r="I26" s="14">
        <f>ВДС!F39</f>
        <v>22438906.900721055</v>
      </c>
      <c r="J26" s="3">
        <f>ВДС!E39</f>
        <v>11428163.658004042</v>
      </c>
      <c r="L26" s="3">
        <f>ОФ!D40</f>
        <v>18594505.235589996</v>
      </c>
      <c r="M26" s="3">
        <f>ОФ!F40</f>
        <v>21691037.904576752</v>
      </c>
      <c r="N26" s="3">
        <f>ОФ!E40</f>
        <v>16315810.065883644</v>
      </c>
      <c r="P26" s="3">
        <f>ЗП!D41</f>
        <v>152647.44034584163</v>
      </c>
      <c r="Q26" s="14">
        <f>ЗП!F41</f>
        <v>160073.55899268479</v>
      </c>
      <c r="R26" s="3">
        <f>ЗП!E41</f>
        <v>147361.84735735154</v>
      </c>
      <c r="T26" s="3">
        <f ca="1">ССЧ!D39</f>
        <v>4559.604221119982</v>
      </c>
      <c r="U26" s="14">
        <f ca="1">ССЧ!F39</f>
        <v>5150.8392282265395</v>
      </c>
      <c r="V26" s="3">
        <f ca="1">ССЧ!E39</f>
        <v>3968.369214013424</v>
      </c>
    </row>
    <row r="27" spans="1:22" x14ac:dyDescent="0.25">
      <c r="A27" s="2">
        <v>25</v>
      </c>
      <c r="B27" s="2" t="s">
        <v>159</v>
      </c>
      <c r="D27" s="3">
        <f>NPV!J40</f>
        <v>28141096.794322181</v>
      </c>
      <c r="E27" s="3">
        <f>NPV!L40</f>
        <v>34836137.655886173</v>
      </c>
      <c r="F27" s="3">
        <f>NPV!K40</f>
        <v>21446055.93275819</v>
      </c>
      <c r="H27" s="3">
        <f>ВДС!D40</f>
        <v>17735341.610827163</v>
      </c>
      <c r="I27" s="14">
        <f>ВДС!F40</f>
        <v>23584694.625956912</v>
      </c>
      <c r="J27" s="3">
        <f>ВДС!E40</f>
        <v>11885988.595697414</v>
      </c>
      <c r="L27" s="3">
        <f>ОФ!D41</f>
        <v>20077597.148903966</v>
      </c>
      <c r="M27" s="3">
        <f>ОФ!F41</f>
        <v>23174129.817890722</v>
      </c>
      <c r="N27" s="3">
        <f>ОФ!E41</f>
        <v>17798901.979197614</v>
      </c>
      <c r="P27" s="3">
        <f>ЗП!D42</f>
        <v>168251.50404214996</v>
      </c>
      <c r="Q27" s="14">
        <f>ЗП!F42</f>
        <v>175677.62268899311</v>
      </c>
      <c r="R27" s="3">
        <f>ЗП!E42</f>
        <v>162965.91105365986</v>
      </c>
      <c r="T27" s="3">
        <f ca="1">ССЧ!D40</f>
        <v>4587.8624503685751</v>
      </c>
      <c r="U27" s="14">
        <f ca="1">ССЧ!F40</f>
        <v>5179.0974574751326</v>
      </c>
      <c r="V27" s="3">
        <f ca="1">ССЧ!E40</f>
        <v>3996.6274432620171</v>
      </c>
    </row>
    <row r="28" spans="1:22" x14ac:dyDescent="0.25">
      <c r="A28" s="2">
        <v>26</v>
      </c>
      <c r="B28" s="2" t="s">
        <v>164</v>
      </c>
      <c r="D28" s="3">
        <f>NPV!J41</f>
        <v>30140671.288935777</v>
      </c>
      <c r="E28" s="3">
        <f>NPV!L41</f>
        <v>37455884.586404614</v>
      </c>
      <c r="F28" s="3">
        <f>NPV!K41</f>
        <v>22825457.991466932</v>
      </c>
      <c r="H28" s="3">
        <f>ВДС!D41</f>
        <v>18537147.942291778</v>
      </c>
      <c r="I28" s="14">
        <f>ВДС!F41</f>
        <v>24736600.323144719</v>
      </c>
      <c r="J28" s="3">
        <f>ВДС!E41</f>
        <v>12337695.561438836</v>
      </c>
      <c r="L28" s="3">
        <f>ОФ!D42</f>
        <v>21620292.77095516</v>
      </c>
      <c r="M28" s="3">
        <f>ОФ!F42</f>
        <v>24716825.439941917</v>
      </c>
      <c r="N28" s="3">
        <f>ОФ!E42</f>
        <v>19341597.601248808</v>
      </c>
      <c r="P28" s="3">
        <f>ЗП!D43</f>
        <v>185313.39640291716</v>
      </c>
      <c r="Q28" s="14">
        <f>ЗП!F43</f>
        <v>192739.51504976032</v>
      </c>
      <c r="R28" s="3">
        <f>ЗП!E43</f>
        <v>180027.80341442706</v>
      </c>
      <c r="T28" s="3">
        <f ca="1">ССЧ!D41</f>
        <v>4614.5924421728969</v>
      </c>
      <c r="U28" s="14">
        <f ca="1">ССЧ!F41</f>
        <v>5205.8274492794544</v>
      </c>
      <c r="V28" s="3">
        <f ca="1">ССЧ!E41</f>
        <v>4023.3574350663389</v>
      </c>
    </row>
    <row r="29" spans="1:22" x14ac:dyDescent="0.25">
      <c r="A29" s="2">
        <v>27</v>
      </c>
      <c r="B29" s="2" t="s">
        <v>165</v>
      </c>
      <c r="D29" s="3">
        <f>NPV!J42</f>
        <v>32237012.972912345</v>
      </c>
      <c r="E29" s="3">
        <f>NPV!L42</f>
        <v>40210605.769911781</v>
      </c>
      <c r="F29" s="3">
        <f>NPV!K42</f>
        <v>24263420.175912913</v>
      </c>
      <c r="H29" s="3">
        <f>ВДС!D42</f>
        <v>19338954.273756389</v>
      </c>
      <c r="I29" s="14">
        <f>ВДС!F42</f>
        <v>25893643.74541153</v>
      </c>
      <c r="J29" s="3">
        <f>ВДС!E42</f>
        <v>12784264.802101247</v>
      </c>
      <c r="L29" s="3">
        <f>ОФ!D43</f>
        <v>23222592.101743583</v>
      </c>
      <c r="M29" s="3">
        <f>ОФ!F43</f>
        <v>26319124.770730339</v>
      </c>
      <c r="N29" s="3">
        <f>ОФ!E43</f>
        <v>20943896.932037231</v>
      </c>
      <c r="P29" s="3">
        <f>ЗП!D44</f>
        <v>203917.04138897866</v>
      </c>
      <c r="Q29" s="14">
        <f>ЗП!F44</f>
        <v>211343.16003582181</v>
      </c>
      <c r="R29" s="3">
        <f>ЗП!E44</f>
        <v>198631.44840048856</v>
      </c>
      <c r="T29" s="3">
        <f ca="1">ССЧ!D42</f>
        <v>4639.9510477454314</v>
      </c>
      <c r="U29" s="14">
        <f ca="1">ССЧ!F42</f>
        <v>5231.186054851989</v>
      </c>
      <c r="V29" s="3">
        <f ca="1">ССЧ!E42</f>
        <v>4048.7160406388734</v>
      </c>
    </row>
    <row r="30" spans="1:22" x14ac:dyDescent="0.25">
      <c r="A30" s="2">
        <v>28</v>
      </c>
      <c r="B30" s="2" t="s">
        <v>166</v>
      </c>
      <c r="D30" s="3">
        <f>NPV!J43</f>
        <v>34434194.790641062</v>
      </c>
      <c r="E30" s="3">
        <f>NPV!L43</f>
        <v>43105344.510163926</v>
      </c>
      <c r="F30" s="3">
        <f>NPV!K43</f>
        <v>25763045.071118195</v>
      </c>
      <c r="H30" s="3">
        <f>ВДС!D43</f>
        <v>20140760.605221003</v>
      </c>
      <c r="I30" s="14">
        <f>ВДС!F43</f>
        <v>27055033.049787976</v>
      </c>
      <c r="J30" s="3">
        <f>ВДС!E43</f>
        <v>13226488.160654031</v>
      </c>
      <c r="L30" s="3">
        <f>ОФ!D44</f>
        <v>24884495.141269226</v>
      </c>
      <c r="M30" s="3">
        <f>ОФ!F44</f>
        <v>27981027.810255982</v>
      </c>
      <c r="N30" s="3">
        <f>ОФ!E44</f>
        <v>22605799.971562874</v>
      </c>
      <c r="P30" s="3">
        <f>ЗП!D45</f>
        <v>224146.36296116977</v>
      </c>
      <c r="Q30" s="14">
        <f>ЗП!F45</f>
        <v>231572.48160801292</v>
      </c>
      <c r="R30" s="3">
        <f>ЗП!E45</f>
        <v>218860.76997267967</v>
      </c>
      <c r="T30" s="3">
        <f ca="1">ССЧ!D43</f>
        <v>4664.0721447380274</v>
      </c>
      <c r="U30" s="14">
        <f ca="1">ССЧ!F43</f>
        <v>5255.307151844585</v>
      </c>
      <c r="V30" s="3">
        <f ca="1">ССЧ!E43</f>
        <v>4072.8371376314694</v>
      </c>
    </row>
    <row r="31" spans="1:22" x14ac:dyDescent="0.25">
      <c r="A31" s="2">
        <v>29</v>
      </c>
      <c r="B31" s="2" t="s">
        <v>167</v>
      </c>
      <c r="D31" s="3">
        <f>NPV!J44</f>
        <v>36736449.060401015</v>
      </c>
      <c r="E31" s="3">
        <f>NPV!L44</f>
        <v>46145462.450511649</v>
      </c>
      <c r="F31" s="3">
        <f>NPV!K44</f>
        <v>27327435.670290373</v>
      </c>
      <c r="H31" s="3">
        <f>ВДС!D44</f>
        <v>20942566.936685618</v>
      </c>
      <c r="I31" s="14">
        <f>ВДС!F44</f>
        <v>28220124.076693337</v>
      </c>
      <c r="J31" s="3">
        <f>ВДС!E44</f>
        <v>13665009.796677899</v>
      </c>
      <c r="L31" s="3">
        <f>ОФ!D45</f>
        <v>26606001.889532093</v>
      </c>
      <c r="M31" s="3">
        <f>ОФ!F45</f>
        <v>29702534.558518849</v>
      </c>
      <c r="N31" s="3">
        <f>ОФ!E45</f>
        <v>24327306.719825741</v>
      </c>
      <c r="P31" s="3">
        <f>ЗП!D46</f>
        <v>246085.28508032582</v>
      </c>
      <c r="Q31" s="14">
        <f>ЗП!F46</f>
        <v>253511.40372716897</v>
      </c>
      <c r="R31" s="3">
        <f>ЗП!E46</f>
        <v>240799.69209183572</v>
      </c>
      <c r="T31" s="3">
        <f ca="1">ССЧ!D44</f>
        <v>4687.0709156650846</v>
      </c>
      <c r="U31" s="14">
        <f ca="1">ССЧ!F44</f>
        <v>5278.3059227716421</v>
      </c>
      <c r="V31" s="3">
        <f ca="1">ССЧ!E44</f>
        <v>4095.8359085585266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1023"/>
  <sheetViews>
    <sheetView zoomScale="55" zoomScaleNormal="55" workbookViewId="0">
      <selection activeCell="Y32" sqref="Y32"/>
    </sheetView>
  </sheetViews>
  <sheetFormatPr defaultRowHeight="15" x14ac:dyDescent="0.25"/>
  <cols>
    <col min="31" max="31" width="11.140625" customWidth="1"/>
  </cols>
  <sheetData>
    <row r="1" spans="1:1" x14ac:dyDescent="0.25">
      <c r="A1" s="48">
        <v>1</v>
      </c>
    </row>
    <row r="2" spans="1:1" x14ac:dyDescent="0.25">
      <c r="A2" s="48"/>
    </row>
    <row r="3" spans="1:1" x14ac:dyDescent="0.25">
      <c r="A3" s="48"/>
    </row>
    <row r="36" spans="1:1" x14ac:dyDescent="0.25">
      <c r="A36" s="48">
        <v>2</v>
      </c>
    </row>
    <row r="37" spans="1:1" x14ac:dyDescent="0.25">
      <c r="A37" s="48"/>
    </row>
    <row r="38" spans="1:1" x14ac:dyDescent="0.25">
      <c r="A38" s="48"/>
    </row>
    <row r="75" spans="1:1" x14ac:dyDescent="0.25">
      <c r="A75" s="48">
        <v>3</v>
      </c>
    </row>
    <row r="76" spans="1:1" x14ac:dyDescent="0.25">
      <c r="A76" s="48"/>
    </row>
    <row r="77" spans="1:1" x14ac:dyDescent="0.25">
      <c r="A77" s="48"/>
    </row>
    <row r="81" spans="20:20" x14ac:dyDescent="0.25">
      <c r="T81" s="48">
        <v>3.1</v>
      </c>
    </row>
    <row r="82" spans="20:20" x14ac:dyDescent="0.25">
      <c r="T82" s="48"/>
    </row>
    <row r="83" spans="20:20" x14ac:dyDescent="0.25">
      <c r="T83" s="48"/>
    </row>
    <row r="112" spans="1:1" x14ac:dyDescent="0.25">
      <c r="A112" s="48">
        <v>4</v>
      </c>
    </row>
    <row r="113" spans="1:1" x14ac:dyDescent="0.25">
      <c r="A113" s="48"/>
    </row>
    <row r="114" spans="1:1" x14ac:dyDescent="0.25">
      <c r="A114" s="48"/>
    </row>
    <row r="151" spans="1:1" x14ac:dyDescent="0.25">
      <c r="A151" s="48">
        <v>5</v>
      </c>
    </row>
    <row r="152" spans="1:1" x14ac:dyDescent="0.25">
      <c r="A152" s="48"/>
    </row>
    <row r="153" spans="1:1" x14ac:dyDescent="0.25">
      <c r="A153" s="48"/>
    </row>
    <row r="178" spans="1:1" x14ac:dyDescent="0.25">
      <c r="A178" s="48">
        <v>6</v>
      </c>
    </row>
    <row r="179" spans="1:1" x14ac:dyDescent="0.25">
      <c r="A179" s="48"/>
    </row>
    <row r="180" spans="1:1" x14ac:dyDescent="0.25">
      <c r="A180" s="48"/>
    </row>
    <row r="209" spans="1:1" x14ac:dyDescent="0.25">
      <c r="A209" s="48">
        <v>7</v>
      </c>
    </row>
    <row r="210" spans="1:1" x14ac:dyDescent="0.25">
      <c r="A210" s="48"/>
    </row>
    <row r="211" spans="1:1" x14ac:dyDescent="0.25">
      <c r="A211" s="48"/>
    </row>
    <row r="245" spans="1:1" x14ac:dyDescent="0.25">
      <c r="A245" s="48">
        <v>8</v>
      </c>
    </row>
    <row r="246" spans="1:1" x14ac:dyDescent="0.25">
      <c r="A246" s="48"/>
    </row>
    <row r="247" spans="1:1" x14ac:dyDescent="0.25">
      <c r="A247" s="48"/>
    </row>
    <row r="282" spans="1:1" x14ac:dyDescent="0.25">
      <c r="A282" s="48">
        <v>9</v>
      </c>
    </row>
    <row r="283" spans="1:1" x14ac:dyDescent="0.25">
      <c r="A283" s="48"/>
    </row>
    <row r="284" spans="1:1" x14ac:dyDescent="0.25">
      <c r="A284" s="48"/>
    </row>
    <row r="323" spans="1:1" x14ac:dyDescent="0.25">
      <c r="A323" s="48">
        <v>10</v>
      </c>
    </row>
    <row r="324" spans="1:1" x14ac:dyDescent="0.25">
      <c r="A324" s="48"/>
    </row>
    <row r="325" spans="1:1" x14ac:dyDescent="0.25">
      <c r="A325" s="48"/>
    </row>
    <row r="338" spans="1:1" x14ac:dyDescent="0.25">
      <c r="A338" s="48">
        <v>11</v>
      </c>
    </row>
    <row r="339" spans="1:1" x14ac:dyDescent="0.25">
      <c r="A339" s="48"/>
    </row>
    <row r="340" spans="1:1" x14ac:dyDescent="0.25">
      <c r="A340" s="48"/>
    </row>
    <row r="355" spans="8:31" x14ac:dyDescent="0.25">
      <c r="H355" s="48">
        <v>12</v>
      </c>
      <c r="AE355" s="48">
        <v>12.1</v>
      </c>
    </row>
    <row r="356" spans="8:31" x14ac:dyDescent="0.25">
      <c r="H356" s="48"/>
      <c r="AE356" s="48"/>
    </row>
    <row r="357" spans="8:31" x14ac:dyDescent="0.25">
      <c r="H357" s="48"/>
      <c r="AE357" s="48"/>
    </row>
    <row r="396" spans="1:1" x14ac:dyDescent="0.25">
      <c r="A396" s="48">
        <v>13</v>
      </c>
    </row>
    <row r="397" spans="1:1" x14ac:dyDescent="0.25">
      <c r="A397" s="48"/>
    </row>
    <row r="398" spans="1:1" x14ac:dyDescent="0.25">
      <c r="A398" s="48"/>
    </row>
    <row r="412" spans="1:1" x14ac:dyDescent="0.25">
      <c r="A412" s="48">
        <v>14</v>
      </c>
    </row>
    <row r="413" spans="1:1" x14ac:dyDescent="0.25">
      <c r="A413" s="48"/>
    </row>
    <row r="414" spans="1:1" x14ac:dyDescent="0.25">
      <c r="A414" s="48"/>
    </row>
    <row r="429" spans="1:1" x14ac:dyDescent="0.25">
      <c r="A429" s="48">
        <v>15</v>
      </c>
    </row>
    <row r="430" spans="1:1" x14ac:dyDescent="0.25">
      <c r="A430" s="48"/>
    </row>
    <row r="431" spans="1:1" x14ac:dyDescent="0.25">
      <c r="A431" s="48"/>
    </row>
    <row r="471" spans="1:20" x14ac:dyDescent="0.25">
      <c r="A471" s="48">
        <v>16</v>
      </c>
      <c r="T471" s="49">
        <v>16.100000000000001</v>
      </c>
    </row>
    <row r="472" spans="1:20" x14ac:dyDescent="0.25">
      <c r="A472" s="48"/>
      <c r="T472" s="49"/>
    </row>
    <row r="473" spans="1:20" x14ac:dyDescent="0.25">
      <c r="A473" s="48"/>
      <c r="T473" s="49"/>
    </row>
    <row r="503" spans="20:20" x14ac:dyDescent="0.25">
      <c r="T503" s="49">
        <v>16.2</v>
      </c>
    </row>
    <row r="504" spans="20:20" x14ac:dyDescent="0.25">
      <c r="T504" s="49"/>
    </row>
    <row r="505" spans="20:20" x14ac:dyDescent="0.25">
      <c r="T505" s="49"/>
    </row>
    <row r="524" spans="1:1" x14ac:dyDescent="0.25">
      <c r="A524" s="48">
        <v>17</v>
      </c>
    </row>
    <row r="525" spans="1:1" x14ac:dyDescent="0.25">
      <c r="A525" s="48"/>
    </row>
    <row r="526" spans="1:1" x14ac:dyDescent="0.25">
      <c r="A526" s="48"/>
    </row>
    <row r="553" spans="1:1" x14ac:dyDescent="0.25">
      <c r="A553" s="48">
        <v>18</v>
      </c>
    </row>
    <row r="554" spans="1:1" x14ac:dyDescent="0.25">
      <c r="A554" s="48"/>
    </row>
    <row r="555" spans="1:1" x14ac:dyDescent="0.25">
      <c r="A555" s="48"/>
    </row>
    <row r="594" spans="1:1" x14ac:dyDescent="0.25">
      <c r="A594" s="48">
        <v>19</v>
      </c>
    </row>
    <row r="595" spans="1:1" x14ac:dyDescent="0.25">
      <c r="A595" s="48"/>
    </row>
    <row r="596" spans="1:1" x14ac:dyDescent="0.25">
      <c r="A596" s="48"/>
    </row>
    <row r="613" spans="1:1" x14ac:dyDescent="0.25">
      <c r="A613" s="48">
        <v>20</v>
      </c>
    </row>
    <row r="614" spans="1:1" x14ac:dyDescent="0.25">
      <c r="A614" s="48"/>
    </row>
    <row r="615" spans="1:1" x14ac:dyDescent="0.25">
      <c r="A615" s="48"/>
    </row>
    <row r="632" spans="1:1" x14ac:dyDescent="0.25">
      <c r="A632" s="48">
        <v>21</v>
      </c>
    </row>
    <row r="633" spans="1:1" x14ac:dyDescent="0.25">
      <c r="A633" s="48"/>
    </row>
    <row r="634" spans="1:1" x14ac:dyDescent="0.25">
      <c r="A634" s="48"/>
    </row>
    <row r="674" spans="1:1" x14ac:dyDescent="0.25">
      <c r="A674" s="48">
        <v>22</v>
      </c>
    </row>
    <row r="675" spans="1:1" x14ac:dyDescent="0.25">
      <c r="A675" s="48"/>
    </row>
    <row r="676" spans="1:1" x14ac:dyDescent="0.25">
      <c r="A676" s="48"/>
    </row>
    <row r="692" spans="1:1" x14ac:dyDescent="0.25">
      <c r="A692" s="48">
        <v>23</v>
      </c>
    </row>
    <row r="693" spans="1:1" x14ac:dyDescent="0.25">
      <c r="A693" s="48"/>
    </row>
    <row r="694" spans="1:1" x14ac:dyDescent="0.25">
      <c r="A694" s="48"/>
    </row>
    <row r="710" spans="1:1" x14ac:dyDescent="0.25">
      <c r="A710" s="48">
        <v>24</v>
      </c>
    </row>
    <row r="711" spans="1:1" x14ac:dyDescent="0.25">
      <c r="A711" s="48"/>
    </row>
    <row r="712" spans="1:1" x14ac:dyDescent="0.25">
      <c r="A712" s="48"/>
    </row>
    <row r="753" spans="1:1" x14ac:dyDescent="0.25">
      <c r="A753" s="48">
        <v>25</v>
      </c>
    </row>
    <row r="754" spans="1:1" x14ac:dyDescent="0.25">
      <c r="A754" s="48"/>
    </row>
    <row r="755" spans="1:1" x14ac:dyDescent="0.25">
      <c r="A755" s="48"/>
    </row>
    <row r="784" spans="1:1" x14ac:dyDescent="0.25">
      <c r="A784" s="48">
        <v>26</v>
      </c>
    </row>
    <row r="785" spans="1:1" x14ac:dyDescent="0.25">
      <c r="A785" s="48"/>
    </row>
    <row r="786" spans="1:1" x14ac:dyDescent="0.25">
      <c r="A786" s="48"/>
    </row>
    <row r="811" spans="1:29" x14ac:dyDescent="0.25">
      <c r="A811" s="48">
        <v>27</v>
      </c>
      <c r="O811" s="48">
        <v>29</v>
      </c>
      <c r="AC811" s="48">
        <v>30</v>
      </c>
    </row>
    <row r="812" spans="1:29" x14ac:dyDescent="0.25">
      <c r="A812" s="48"/>
      <c r="O812" s="48"/>
      <c r="AC812" s="48"/>
    </row>
    <row r="813" spans="1:29" x14ac:dyDescent="0.25">
      <c r="A813" s="48"/>
      <c r="O813" s="48"/>
      <c r="AC813" s="48"/>
    </row>
    <row r="838" spans="1:1" x14ac:dyDescent="0.25">
      <c r="A838" s="48">
        <v>28</v>
      </c>
    </row>
    <row r="839" spans="1:1" x14ac:dyDescent="0.25">
      <c r="A839" s="48"/>
    </row>
    <row r="840" spans="1:1" x14ac:dyDescent="0.25">
      <c r="A840" s="48"/>
    </row>
    <row r="848" spans="1:1" x14ac:dyDescent="0.25">
      <c r="A848" s="48">
        <v>31</v>
      </c>
    </row>
    <row r="849" spans="1:1" x14ac:dyDescent="0.25">
      <c r="A849" s="48"/>
    </row>
    <row r="850" spans="1:1" x14ac:dyDescent="0.25">
      <c r="A850" s="48"/>
    </row>
    <row r="867" spans="29:29" ht="18.75" x14ac:dyDescent="0.3">
      <c r="AC867" s="16"/>
    </row>
    <row r="890" spans="1:1" x14ac:dyDescent="0.25">
      <c r="A890" s="48">
        <v>32</v>
      </c>
    </row>
    <row r="891" spans="1:1" x14ac:dyDescent="0.25">
      <c r="A891" s="48"/>
    </row>
    <row r="892" spans="1:1" x14ac:dyDescent="0.25">
      <c r="A892" s="48"/>
    </row>
    <row r="906" spans="1:1" x14ac:dyDescent="0.25">
      <c r="A906" s="48">
        <v>33</v>
      </c>
    </row>
    <row r="907" spans="1:1" x14ac:dyDescent="0.25">
      <c r="A907" s="48"/>
    </row>
    <row r="908" spans="1:1" x14ac:dyDescent="0.25">
      <c r="A908" s="48"/>
    </row>
    <row r="917" spans="1:1" x14ac:dyDescent="0.25">
      <c r="A917" s="48">
        <v>34</v>
      </c>
    </row>
    <row r="918" spans="1:1" x14ac:dyDescent="0.25">
      <c r="A918" s="48"/>
    </row>
    <row r="919" spans="1:1" x14ac:dyDescent="0.25">
      <c r="A919" s="48"/>
    </row>
    <row r="945" spans="1:1" x14ac:dyDescent="0.25">
      <c r="A945" s="48">
        <v>35</v>
      </c>
    </row>
    <row r="946" spans="1:1" x14ac:dyDescent="0.25">
      <c r="A946" s="48"/>
    </row>
    <row r="947" spans="1:1" x14ac:dyDescent="0.25">
      <c r="A947" s="48"/>
    </row>
    <row r="978" spans="1:1" x14ac:dyDescent="0.25">
      <c r="A978" s="48">
        <v>36</v>
      </c>
    </row>
    <row r="979" spans="1:1" x14ac:dyDescent="0.25">
      <c r="A979" s="48"/>
    </row>
    <row r="980" spans="1:1" x14ac:dyDescent="0.25">
      <c r="A980" s="48"/>
    </row>
    <row r="1021" spans="1:1" x14ac:dyDescent="0.25">
      <c r="A1021" s="48">
        <v>37</v>
      </c>
    </row>
    <row r="1022" spans="1:1" x14ac:dyDescent="0.25">
      <c r="A1022" s="48"/>
    </row>
    <row r="1023" spans="1:1" x14ac:dyDescent="0.25">
      <c r="A1023" s="48"/>
    </row>
  </sheetData>
  <mergeCells count="41">
    <mergeCell ref="A978:A980"/>
    <mergeCell ref="A1021:A1023"/>
    <mergeCell ref="A848:A850"/>
    <mergeCell ref="A890:A892"/>
    <mergeCell ref="A906:A908"/>
    <mergeCell ref="A917:A919"/>
    <mergeCell ref="A945:A947"/>
    <mergeCell ref="A784:A786"/>
    <mergeCell ref="A811:A813"/>
    <mergeCell ref="A838:A840"/>
    <mergeCell ref="O811:O813"/>
    <mergeCell ref="AC811:AC813"/>
    <mergeCell ref="A1:A3"/>
    <mergeCell ref="A36:A38"/>
    <mergeCell ref="A75:A77"/>
    <mergeCell ref="A112:A114"/>
    <mergeCell ref="A151:A153"/>
    <mergeCell ref="T81:T83"/>
    <mergeCell ref="A323:A325"/>
    <mergeCell ref="A338:A340"/>
    <mergeCell ref="H355:H357"/>
    <mergeCell ref="AE355:AE357"/>
    <mergeCell ref="A209:A211"/>
    <mergeCell ref="A245:A247"/>
    <mergeCell ref="A282:A284"/>
    <mergeCell ref="A178:A180"/>
    <mergeCell ref="A396:A398"/>
    <mergeCell ref="A412:A414"/>
    <mergeCell ref="A429:A431"/>
    <mergeCell ref="A471:A473"/>
    <mergeCell ref="T471:T473"/>
    <mergeCell ref="T503:T505"/>
    <mergeCell ref="A524:A526"/>
    <mergeCell ref="A553:A555"/>
    <mergeCell ref="A594:A596"/>
    <mergeCell ref="A613:A615"/>
    <mergeCell ref="A632:A634"/>
    <mergeCell ref="A674:A676"/>
    <mergeCell ref="A692:A694"/>
    <mergeCell ref="A710:A712"/>
    <mergeCell ref="A753:A755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Титул</vt:lpstr>
      <vt:lpstr>Данные для анализа</vt:lpstr>
      <vt:lpstr>База</vt:lpstr>
      <vt:lpstr>Ошибки</vt:lpstr>
      <vt:lpstr>NPV</vt:lpstr>
      <vt:lpstr>ВДС</vt:lpstr>
      <vt:lpstr>ОФ</vt:lpstr>
      <vt:lpstr>ЗП</vt:lpstr>
      <vt:lpstr>ССЧ</vt:lpstr>
      <vt:lpstr>ИТОГ</vt:lpstr>
      <vt:lpstr>Рисунки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Д.С. Баклановский</dc:creator>
  <cp:lastModifiedBy>HokoriDynasty</cp:lastModifiedBy>
  <dcterms:created xsi:type="dcterms:W3CDTF">2020-02-20T15:41:15Z</dcterms:created>
  <dcterms:modified xsi:type="dcterms:W3CDTF">2026-02-22T16:17:48Z</dcterms:modified>
</cp:coreProperties>
</file>