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/>
  <mc:AlternateContent xmlns:mc="http://schemas.openxmlformats.org/markup-compatibility/2006">
    <mc:Choice Requires="x15">
      <x15ac:absPath xmlns:x15ac="http://schemas.microsoft.com/office/spreadsheetml/2010/11/ac" url="/Users/sergio-mireles/Dropbox (Datoz)/Datoz/Reportes de Mercado Mensuales/2018/5.Mayo/"/>
    </mc:Choice>
  </mc:AlternateContent>
  <xr:revisionPtr revIDLastSave="0" documentId="13_ncr:1_{48D7E308-DB83-2F47-92BB-727F156C6A17}" xr6:coauthVersionLast="33" xr6:coauthVersionMax="33" xr10:uidLastSave="{00000000-0000-0000-0000-000000000000}"/>
  <bookViews>
    <workbookView xWindow="0" yWindow="460" windowWidth="28800" windowHeight="16780" xr2:uid="{00000000-000D-0000-FFFF-FFFF00000000}"/>
  </bookViews>
  <sheets>
    <sheet name="Estadísticas Generales" sheetId="1" r:id="rId1"/>
    <sheet name="Absorción Acumulada del Año" sheetId="2" r:id="rId2"/>
    <sheet name="Absorción Trimestral" sheetId="3" r:id="rId3"/>
    <sheet name="Disponibilidad" sheetId="4" r:id="rId4"/>
    <sheet name="Operaciones en Renta" sheetId="5" r:id="rId5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9" i="5" l="1" a="1"/>
  <c r="K19" i="5" s="1"/>
  <c r="J19" i="5" a="1"/>
  <c r="J19" i="5"/>
  <c r="I19" i="5" a="1"/>
  <c r="I19" i="5" s="1"/>
  <c r="H19" i="5" a="1"/>
  <c r="H19" i="5"/>
  <c r="G19" i="5" a="1"/>
  <c r="G19" i="5" s="1"/>
  <c r="K33" i="4" a="1"/>
  <c r="K33" i="4"/>
  <c r="J33" i="4" a="1"/>
  <c r="J33" i="4" s="1"/>
  <c r="H33" i="4" a="1"/>
  <c r="H33" i="4"/>
  <c r="G33" i="4" a="1"/>
  <c r="G33" i="4" s="1"/>
  <c r="F33" i="4" a="1"/>
  <c r="F33" i="4"/>
  <c r="G59" i="3" a="1"/>
  <c r="G59" i="3" s="1"/>
  <c r="F59" i="3" a="1"/>
  <c r="F59" i="3"/>
  <c r="E59" i="3" a="1"/>
  <c r="E59" i="3" s="1"/>
  <c r="D59" i="3" a="1"/>
  <c r="D59" i="3"/>
  <c r="C59" i="3" a="1"/>
  <c r="C59" i="3" s="1"/>
  <c r="B59" i="3" a="1"/>
  <c r="B59" i="3"/>
  <c r="G47" i="3" a="1"/>
  <c r="G47" i="3" s="1"/>
  <c r="F47" i="3" a="1"/>
  <c r="F47" i="3"/>
  <c r="E47" i="3" a="1"/>
  <c r="E47" i="3" s="1"/>
  <c r="D47" i="3" a="1"/>
  <c r="D47" i="3"/>
  <c r="C47" i="3" a="1"/>
  <c r="C47" i="3" s="1"/>
  <c r="B47" i="3" a="1"/>
  <c r="B47" i="3"/>
  <c r="G35" i="3" a="1"/>
  <c r="G35" i="3" s="1"/>
  <c r="F35" i="3" a="1"/>
  <c r="F35" i="3"/>
  <c r="E35" i="3" a="1"/>
  <c r="E35" i="3" s="1"/>
  <c r="D35" i="3" a="1"/>
  <c r="D35" i="3"/>
  <c r="C35" i="3" a="1"/>
  <c r="C35" i="3" s="1"/>
  <c r="B35" i="3" a="1"/>
  <c r="B35" i="3"/>
  <c r="G23" i="3" a="1"/>
  <c r="G23" i="3" s="1"/>
  <c r="F23" i="3" a="1"/>
  <c r="F23" i="3"/>
  <c r="E23" i="3" a="1"/>
  <c r="E23" i="3" s="1"/>
  <c r="D23" i="3" a="1"/>
  <c r="D23" i="3"/>
  <c r="C23" i="3" a="1"/>
  <c r="C23" i="3" s="1"/>
  <c r="B23" i="3" a="1"/>
  <c r="B23" i="3"/>
  <c r="G11" i="3" a="1"/>
  <c r="G11" i="3" s="1"/>
  <c r="F11" i="3" a="1"/>
  <c r="F11" i="3"/>
  <c r="E11" i="3" a="1"/>
  <c r="E11" i="3" s="1"/>
  <c r="D11" i="3" a="1"/>
  <c r="D11" i="3"/>
  <c r="C11" i="3" a="1"/>
  <c r="C11" i="3" s="1"/>
  <c r="B11" i="3" a="1"/>
  <c r="B11" i="3"/>
  <c r="G59" i="2" a="1"/>
  <c r="G59" i="2" s="1"/>
  <c r="F59" i="2" a="1"/>
  <c r="F59" i="2"/>
  <c r="E59" i="2" a="1"/>
  <c r="E59" i="2" s="1"/>
  <c r="D59" i="2" a="1"/>
  <c r="D59" i="2"/>
  <c r="C59" i="2" a="1"/>
  <c r="C59" i="2" s="1"/>
  <c r="B59" i="2" a="1"/>
  <c r="B59" i="2"/>
  <c r="G47" i="2" a="1"/>
  <c r="G47" i="2" s="1"/>
  <c r="F47" i="2" a="1"/>
  <c r="F47" i="2"/>
  <c r="E47" i="2" a="1"/>
  <c r="E47" i="2" s="1"/>
  <c r="D47" i="2" a="1"/>
  <c r="D47" i="2"/>
  <c r="C47" i="2" a="1"/>
  <c r="C47" i="2" s="1"/>
  <c r="B47" i="2" a="1"/>
  <c r="B47" i="2"/>
  <c r="G35" i="2" a="1"/>
  <c r="G35" i="2" s="1"/>
  <c r="F35" i="2" a="1"/>
  <c r="F35" i="2"/>
  <c r="E35" i="2" a="1"/>
  <c r="E35" i="2" s="1"/>
  <c r="D35" i="2" a="1"/>
  <c r="D35" i="2"/>
  <c r="C35" i="2" a="1"/>
  <c r="C35" i="2" s="1"/>
  <c r="B35" i="2" a="1"/>
  <c r="B35" i="2"/>
  <c r="G23" i="2" a="1"/>
  <c r="G23" i="2" s="1"/>
  <c r="F23" i="2" a="1"/>
  <c r="F23" i="2"/>
  <c r="E23" i="2" a="1"/>
  <c r="E23" i="2" s="1"/>
  <c r="D23" i="2" a="1"/>
  <c r="D23" i="2"/>
  <c r="C23" i="2" a="1"/>
  <c r="C23" i="2" s="1"/>
  <c r="B23" i="2" a="1"/>
  <c r="B23" i="2"/>
  <c r="G11" i="2" a="1"/>
  <c r="G11" i="2" s="1"/>
  <c r="F11" i="2" a="1"/>
  <c r="F11" i="2"/>
  <c r="E11" i="2" a="1"/>
  <c r="E11" i="2" s="1"/>
  <c r="D11" i="2" a="1"/>
  <c r="D11" i="2"/>
  <c r="C11" i="2" a="1"/>
  <c r="C11" i="2" s="1"/>
  <c r="B11" i="2" a="1"/>
  <c r="B11" i="2"/>
  <c r="J64" i="1" a="1"/>
  <c r="J64" i="1" s="1"/>
  <c r="I64" i="1" a="1"/>
  <c r="I64" i="1"/>
  <c r="C64" i="1" a="1"/>
  <c r="C64" i="1" s="1"/>
  <c r="H64" i="1" s="1" a="1"/>
  <c r="H64" i="1" s="1"/>
  <c r="G64" i="1" a="1"/>
  <c r="G64" i="1"/>
  <c r="F64" i="1" a="1"/>
  <c r="F64" i="1"/>
  <c r="E64" i="1" a="1"/>
  <c r="E64" i="1" s="1"/>
  <c r="D64" i="1" a="1"/>
  <c r="D64" i="1"/>
  <c r="B64" i="1" a="1"/>
  <c r="B64" i="1" s="1"/>
  <c r="J51" i="1" a="1"/>
  <c r="J51" i="1"/>
  <c r="I51" i="1" a="1"/>
  <c r="I51" i="1" s="1"/>
  <c r="C51" i="1" a="1"/>
  <c r="C51" i="1"/>
  <c r="G51" i="1" a="1"/>
  <c r="G51" i="1" s="1"/>
  <c r="F51" i="1" a="1"/>
  <c r="F51" i="1" s="1"/>
  <c r="E51" i="1" a="1"/>
  <c r="E51" i="1"/>
  <c r="D51" i="1" a="1"/>
  <c r="D51" i="1" s="1"/>
  <c r="B51" i="1" a="1"/>
  <c r="B51" i="1"/>
  <c r="J38" i="1" a="1"/>
  <c r="J38" i="1" s="1"/>
  <c r="I38" i="1" a="1"/>
  <c r="I38" i="1"/>
  <c r="C38" i="1" a="1"/>
  <c r="C38" i="1" s="1"/>
  <c r="H38" i="1" s="1" a="1"/>
  <c r="H38" i="1" s="1"/>
  <c r="G38" i="1" a="1"/>
  <c r="G38" i="1"/>
  <c r="F38" i="1" a="1"/>
  <c r="F38" i="1"/>
  <c r="E38" i="1" a="1"/>
  <c r="E38" i="1" s="1"/>
  <c r="D38" i="1" a="1"/>
  <c r="D38" i="1"/>
  <c r="B38" i="1" a="1"/>
  <c r="B38" i="1" s="1"/>
  <c r="J25" i="1" a="1"/>
  <c r="J25" i="1"/>
  <c r="I25" i="1" a="1"/>
  <c r="I25" i="1" s="1"/>
  <c r="C25" i="1" a="1"/>
  <c r="C25" i="1"/>
  <c r="G25" i="1" a="1"/>
  <c r="G25" i="1" s="1"/>
  <c r="F25" i="1" a="1"/>
  <c r="F25" i="1" s="1"/>
  <c r="E25" i="1" a="1"/>
  <c r="E25" i="1"/>
  <c r="D25" i="1" a="1"/>
  <c r="D25" i="1" s="1"/>
  <c r="B25" i="1" a="1"/>
  <c r="B25" i="1"/>
  <c r="J12" i="1" a="1"/>
  <c r="J12" i="1" s="1"/>
  <c r="I12" i="1" a="1"/>
  <c r="I12" i="1"/>
  <c r="C12" i="1" a="1"/>
  <c r="C12" i="1" s="1"/>
  <c r="H12" i="1" s="1" a="1"/>
  <c r="H12" i="1" s="1"/>
  <c r="G12" i="1" a="1"/>
  <c r="G12" i="1"/>
  <c r="F12" i="1" a="1"/>
  <c r="F12" i="1"/>
  <c r="E12" i="1" a="1"/>
  <c r="E12" i="1" s="1"/>
  <c r="D12" i="1" a="1"/>
  <c r="D12" i="1"/>
  <c r="B12" i="1" a="1"/>
  <c r="B12" i="1" s="1"/>
  <c r="H25" i="1" l="1" a="1"/>
  <c r="H25" i="1" s="1"/>
  <c r="H51" i="1" a="1"/>
  <c r="H51" i="1" s="1"/>
</calcChain>
</file>

<file path=xl/sharedStrings.xml><?xml version="1.0" encoding="utf-8"?>
<sst xmlns="http://schemas.openxmlformats.org/spreadsheetml/2006/main" count="818" uniqueCount="201">
  <si>
    <t>Tijuana, Mercado Total</t>
  </si>
  <si>
    <t>Inventario Existente</t>
  </si>
  <si>
    <t>Disponibilidad</t>
  </si>
  <si>
    <t>Sub-mercado</t>
  </si>
  <si>
    <t>Edificios</t>
  </si>
  <si>
    <t>ft²</t>
  </si>
  <si>
    <t>Inventario Nuevo</t>
  </si>
  <si>
    <t>Previamente Ocupado</t>
  </si>
  <si>
    <t>Sub-arrendamiento</t>
  </si>
  <si>
    <t>Total</t>
  </si>
  <si>
    <t>%</t>
  </si>
  <si>
    <t>Bajo Construcción</t>
  </si>
  <si>
    <t>Rentas de Salida (USD/ft²/Mes)</t>
  </si>
  <si>
    <t>Central / El Lago (Tijuana)</t>
  </si>
  <si>
    <t>Florido/Blvd 2000 (Tijauna)</t>
  </si>
  <si>
    <t>La Mesa (Tijuana)</t>
  </si>
  <si>
    <t>Libramiento (Tijuana)</t>
  </si>
  <si>
    <t>Otay (Tijuana)</t>
  </si>
  <si>
    <t>Rosarito (Tijuana)</t>
  </si>
  <si>
    <t>Tecate</t>
  </si>
  <si>
    <t>West / Playas (Tijuana)</t>
  </si>
  <si>
    <t>Tijuana, Mercado Clase A</t>
  </si>
  <si>
    <t>Tijuana, Mercado Clase B</t>
  </si>
  <si>
    <t>Tijuana, Mercado Clase C</t>
  </si>
  <si>
    <t>Tijuana, Mercado Clase N/D</t>
  </si>
  <si>
    <t>Reubicaciones Totales</t>
  </si>
  <si>
    <t>Crecimiento por Reubicaciones</t>
  </si>
  <si>
    <t>Expansiones</t>
  </si>
  <si>
    <t>Operaciones Nuevas</t>
  </si>
  <si>
    <t>Absorción Bruta</t>
  </si>
  <si>
    <t>Absorción Neta</t>
  </si>
  <si>
    <t>Disponibilidad Tijuana</t>
  </si>
  <si>
    <t>Edificio</t>
  </si>
  <si>
    <t>Parque Industrial</t>
  </si>
  <si>
    <t>Propietario</t>
  </si>
  <si>
    <t>Desarrollador</t>
  </si>
  <si>
    <t>Área Neta Rentable</t>
  </si>
  <si>
    <t>Espacio Disponible m</t>
  </si>
  <si>
    <t>Espacio Disponible ft</t>
  </si>
  <si>
    <t>Tipo de Transacción</t>
  </si>
  <si>
    <t>Precio de Renta (USD/ft²/Mes)</t>
  </si>
  <si>
    <t>Precio de Renta (USD/m²/Mes)</t>
  </si>
  <si>
    <t>Disponible en</t>
  </si>
  <si>
    <t>Clase</t>
  </si>
  <si>
    <t>Estatus de Construcción</t>
  </si>
  <si>
    <t>Año de Construcción</t>
  </si>
  <si>
    <t>Historial del Espacio</t>
  </si>
  <si>
    <t>Comentarios</t>
  </si>
  <si>
    <t xml:space="preserve">Frisa - Bajamaq Insurgentes </t>
  </si>
  <si>
    <t>Insurgentes</t>
  </si>
  <si>
    <t>Frisa</t>
  </si>
  <si>
    <t>Renta</t>
  </si>
  <si>
    <t>C</t>
  </si>
  <si>
    <t>Entregado</t>
  </si>
  <si>
    <t>N/D</t>
  </si>
  <si>
    <t>Iamsa - Shelter Spec</t>
  </si>
  <si>
    <t>Valle Bonito</t>
  </si>
  <si>
    <t>Iamsa Development Group</t>
  </si>
  <si>
    <t>A</t>
  </si>
  <si>
    <t>Thomas Alva Edison - Spec 1</t>
  </si>
  <si>
    <t>Thomas Alva Edison</t>
  </si>
  <si>
    <t>Thomas Alva Edison - Spec 2</t>
  </si>
  <si>
    <t>Seshin  Facility</t>
  </si>
  <si>
    <t>Florido</t>
  </si>
  <si>
    <t>Particular</t>
  </si>
  <si>
    <t>B</t>
  </si>
  <si>
    <t>Finsa - Alamar II</t>
  </si>
  <si>
    <t>Finsa Alamar</t>
  </si>
  <si>
    <t>Finsa</t>
  </si>
  <si>
    <t>Nuevo</t>
  </si>
  <si>
    <t xml:space="preserve">Araico - Scripto Tocay </t>
  </si>
  <si>
    <t>Stand Alone ( El Rubi)</t>
  </si>
  <si>
    <t>Vesta Park I</t>
  </si>
  <si>
    <t>Vesta</t>
  </si>
  <si>
    <t>Fimher - Nave 12</t>
  </si>
  <si>
    <t>El Girasol</t>
  </si>
  <si>
    <t>Fimher</t>
  </si>
  <si>
    <t>Nai Listing  Roca Desarrollos - Iventario T01</t>
  </si>
  <si>
    <t>Ciudad Industrial</t>
  </si>
  <si>
    <t>Roca Desarrollos</t>
  </si>
  <si>
    <t xml:space="preserve">Prologis - Pacifico 16 </t>
  </si>
  <si>
    <t>Pacifico</t>
  </si>
  <si>
    <t>Prologis</t>
  </si>
  <si>
    <t>Vesta - Morelos IV</t>
  </si>
  <si>
    <t>Parque Industrial Morelos</t>
  </si>
  <si>
    <t>Atisa Industrial</t>
  </si>
  <si>
    <t>Finsa - Otay II</t>
  </si>
  <si>
    <t xml:space="preserve">NAI - Falcon I </t>
  </si>
  <si>
    <t>La Encantada</t>
  </si>
  <si>
    <t>El Florido</t>
  </si>
  <si>
    <t>En Construcción</t>
  </si>
  <si>
    <t xml:space="preserve">CBRE - Kyocera Building </t>
  </si>
  <si>
    <t>Internacional Tijuana</t>
  </si>
  <si>
    <t xml:space="preserve">Inmobiliaria Diroma - Edificio I </t>
  </si>
  <si>
    <t>Stand Alone (Florido/Blvd 2000)</t>
  </si>
  <si>
    <t>Inmobiliaria Diroma</t>
  </si>
  <si>
    <t xml:space="preserve">Atisa - Diamante </t>
  </si>
  <si>
    <t xml:space="preserve">Iamsa - Aqua </t>
  </si>
  <si>
    <t xml:space="preserve">Vie Verte Tijuana </t>
  </si>
  <si>
    <t xml:space="preserve">Maquila Properties - MCR Otay </t>
  </si>
  <si>
    <t xml:space="preserve">Vesta - Lagoeste I </t>
  </si>
  <si>
    <t xml:space="preserve">Lagoeste </t>
  </si>
  <si>
    <t xml:space="preserve">Vesta - Lagoeste II </t>
  </si>
  <si>
    <t>Grupo Bustamante - Truper Building</t>
  </si>
  <si>
    <t xml:space="preserve">NAI - Realito 1 </t>
  </si>
  <si>
    <t xml:space="preserve">Maquila Properties - Snapple Bld </t>
  </si>
  <si>
    <t xml:space="preserve">Stand Alone </t>
  </si>
  <si>
    <t>Maquila Properties - MCR Gateway</t>
  </si>
  <si>
    <t xml:space="preserve">Iamsa - Shiraz </t>
  </si>
  <si>
    <t xml:space="preserve">El Bajio </t>
  </si>
  <si>
    <t>Iamsa - Zinfandel</t>
  </si>
  <si>
    <t xml:space="preserve">Iamsa - Nebbiolo </t>
  </si>
  <si>
    <t xml:space="preserve">Atisa - Coral </t>
  </si>
  <si>
    <t xml:space="preserve">Araico - Hisense Rosarito I </t>
  </si>
  <si>
    <t xml:space="preserve">Hisense Industrial Park </t>
  </si>
  <si>
    <t>Operaciones en Renta Tijuana</t>
  </si>
  <si>
    <t>Fecha de Operación</t>
  </si>
  <si>
    <t>Inquilino</t>
  </si>
  <si>
    <t>Área Neta Rentable (ft²)</t>
  </si>
  <si>
    <t>Espacio Disponible (ft²)</t>
  </si>
  <si>
    <t>Espacio Arrendado (m²)</t>
  </si>
  <si>
    <t>Espacio Arrendado (ft²)</t>
  </si>
  <si>
    <t>Precio de Renta (ft²/Mes)</t>
  </si>
  <si>
    <t>Tipo de Moneda (cierre)</t>
  </si>
  <si>
    <t>Broker del Usuario</t>
  </si>
  <si>
    <t>Broker del Propietario</t>
  </si>
  <si>
    <t>Origen del Edificio</t>
  </si>
  <si>
    <t>Naturaleza de la Operación</t>
  </si>
  <si>
    <t>Giro</t>
  </si>
  <si>
    <t>Actividad</t>
  </si>
  <si>
    <t xml:space="preserve">CBRE - Delta Bld </t>
  </si>
  <si>
    <t>Mesa De Otay</t>
  </si>
  <si>
    <t>Smurfit Kappa</t>
  </si>
  <si>
    <t>USD</t>
  </si>
  <si>
    <t>C B R E</t>
  </si>
  <si>
    <t>Bts 2da Gen.</t>
  </si>
  <si>
    <t>Expansión</t>
  </si>
  <si>
    <t>Papel Y Articulos De Escritorio</t>
  </si>
  <si>
    <t>Logistica</t>
  </si>
  <si>
    <t xml:space="preserve">Duo Inmobiliara - Nave Otay </t>
  </si>
  <si>
    <t>Prime Wheel</t>
  </si>
  <si>
    <t xml:space="preserve">Duo Inmobiliaria </t>
  </si>
  <si>
    <t>Especulativo 2da Gen.</t>
  </si>
  <si>
    <t>Automotriz</t>
  </si>
  <si>
    <t>Manufactura</t>
  </si>
  <si>
    <t xml:space="preserve">Thomas Alva Edison - Spec 6 </t>
  </si>
  <si>
    <t>Markwins</t>
  </si>
  <si>
    <t>Directo</t>
  </si>
  <si>
    <t>Especulativo Nuevo</t>
  </si>
  <si>
    <t>Reubicación</t>
  </si>
  <si>
    <t>Belleza Y Salud</t>
  </si>
  <si>
    <t>Nai Listing - Realito II</t>
  </si>
  <si>
    <t>Tecma</t>
  </si>
  <si>
    <t>N A I</t>
  </si>
  <si>
    <t>Shelter</t>
  </si>
  <si>
    <t>Servicios</t>
  </si>
  <si>
    <t xml:space="preserve">BTS - Finsa - Tecma </t>
  </si>
  <si>
    <t>Bts</t>
  </si>
  <si>
    <t>Vesta Park II</t>
  </si>
  <si>
    <t>Opa</t>
  </si>
  <si>
    <t>Metalmecánica</t>
  </si>
  <si>
    <t xml:space="preserve">Fimher - Nave AB </t>
  </si>
  <si>
    <t>El Aguila</t>
  </si>
  <si>
    <t xml:space="preserve">Box In Time </t>
  </si>
  <si>
    <t>Nueva Operación</t>
  </si>
  <si>
    <t>Almacen Y Logística</t>
  </si>
  <si>
    <t xml:space="preserve">Vesta - Cafe II </t>
  </si>
  <si>
    <t>Avery</t>
  </si>
  <si>
    <t xml:space="preserve">Araico - Las Misiones </t>
  </si>
  <si>
    <t>Parque Industrial Las Misiones</t>
  </si>
  <si>
    <t>Barsac Grupo Bienes Raíces</t>
  </si>
  <si>
    <t>Confidencial</t>
  </si>
  <si>
    <t>Omega Capital</t>
  </si>
  <si>
    <t xml:space="preserve">Araico Bienes Raices </t>
  </si>
  <si>
    <t xml:space="preserve">Nai - Comtex Facility </t>
  </si>
  <si>
    <t>Stand Alone (La Mesa)</t>
  </si>
  <si>
    <t>Foxcon</t>
  </si>
  <si>
    <t>Electrónica</t>
  </si>
  <si>
    <t>NAI  - Otay Rontron</t>
  </si>
  <si>
    <t>Otay Chilpancingo</t>
  </si>
  <si>
    <t xml:space="preserve">Foam De Mexico </t>
  </si>
  <si>
    <t>Empaques</t>
  </si>
  <si>
    <t>Ensamble</t>
  </si>
  <si>
    <t>Atisa - Mirabella III</t>
  </si>
  <si>
    <t xml:space="preserve">Ws Display </t>
  </si>
  <si>
    <t xml:space="preserve">Mastrepiece Art Gallery </t>
  </si>
  <si>
    <t>Bienes Y Servicios De Consumidor</t>
  </si>
  <si>
    <t>Fimher - Edificio Benitez</t>
  </si>
  <si>
    <t>Stand Alone (Central/El Lago)</t>
  </si>
  <si>
    <t>Jonathan Louis Furniture</t>
  </si>
  <si>
    <t>Maquila Properties</t>
  </si>
  <si>
    <t>Mueblera</t>
  </si>
  <si>
    <t xml:space="preserve">Macquarie - Tij 002 </t>
  </si>
  <si>
    <t>Finsa Tijuana</t>
  </si>
  <si>
    <t>Fibra  Macquarie</t>
  </si>
  <si>
    <t>Trueblue Manufacturing</t>
  </si>
  <si>
    <t>Textil</t>
  </si>
  <si>
    <t>Vesta - G1 La Mesa</t>
  </si>
  <si>
    <t>Centro Industrial La Mesa</t>
  </si>
  <si>
    <t xml:space="preserve">Codan </t>
  </si>
  <si>
    <t>Nueva construcción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</si>
</sst>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2" fillId="2" borderId="0" xfId="0" applyFont="1" applyFill="1"/>
    <xf numFmtId="165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130"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General1" displayName="TableGeneral1" ref="A3:J11" totalsRowShown="0">
  <tableColumns count="10">
    <tableColumn id="1" xr3:uid="{00000000-0010-0000-0000-000001000000}" name="Sub-mercado"/>
    <tableColumn id="2" xr3:uid="{00000000-0010-0000-0000-000002000000}" name="Edificios" dataDxfId="129"/>
    <tableColumn id="3" xr3:uid="{00000000-0010-0000-0000-000003000000}" name="ft²" dataDxfId="128"/>
    <tableColumn id="4" xr3:uid="{00000000-0010-0000-0000-000004000000}" name="Inventario Nuevo" dataDxfId="127"/>
    <tableColumn id="5" xr3:uid="{00000000-0010-0000-0000-000005000000}" name="Previamente Ocupado" dataDxfId="126"/>
    <tableColumn id="6" xr3:uid="{00000000-0010-0000-0000-000006000000}" name="Sub-arrendamiento" dataDxfId="125"/>
    <tableColumn id="7" xr3:uid="{00000000-0010-0000-0000-000007000000}" name="Total" dataDxfId="124"/>
    <tableColumn id="8" xr3:uid="{00000000-0010-0000-0000-000008000000}" name="%" dataDxfId="123"/>
    <tableColumn id="9" xr3:uid="{00000000-0010-0000-0000-000009000000}" name="Bajo Construcción" dataDxfId="122"/>
    <tableColumn id="10" xr3:uid="{00000000-0010-0000-0000-00000A000000}" name="Rentas de Salida (USD/ft²/Mes)" dataDxfId="12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General2" displayName="TableGeneral2" ref="A16:J24" totalsRowShown="0">
  <tableColumns count="10">
    <tableColumn id="1" xr3:uid="{00000000-0010-0000-0100-000001000000}" name="Sub-mercado"/>
    <tableColumn id="2" xr3:uid="{00000000-0010-0000-0100-000002000000}" name="Edificios" dataDxfId="120"/>
    <tableColumn id="3" xr3:uid="{00000000-0010-0000-0100-000003000000}" name="ft²" dataDxfId="119"/>
    <tableColumn id="4" xr3:uid="{00000000-0010-0000-0100-000004000000}" name="Inventario Nuevo" dataDxfId="118"/>
    <tableColumn id="5" xr3:uid="{00000000-0010-0000-0100-000005000000}" name="Previamente Ocupado" dataDxfId="117"/>
    <tableColumn id="6" xr3:uid="{00000000-0010-0000-0100-000006000000}" name="Sub-arrendamiento" dataDxfId="116"/>
    <tableColumn id="7" xr3:uid="{00000000-0010-0000-0100-000007000000}" name="Total" dataDxfId="115"/>
    <tableColumn id="8" xr3:uid="{00000000-0010-0000-0100-000008000000}" name="%" dataDxfId="114"/>
    <tableColumn id="9" xr3:uid="{00000000-0010-0000-0100-000009000000}" name="Bajo Construcción" dataDxfId="113"/>
    <tableColumn id="10" xr3:uid="{00000000-0010-0000-0100-00000A000000}" name="Rentas de Salida (USD/ft²/Mes)" dataDxfId="11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General3" displayName="TableGeneral3" ref="A29:J37" totalsRowShown="0">
  <tableColumns count="10">
    <tableColumn id="1" xr3:uid="{00000000-0010-0000-0200-000001000000}" name="Sub-mercado"/>
    <tableColumn id="2" xr3:uid="{00000000-0010-0000-0200-000002000000}" name="Edificios" dataDxfId="111"/>
    <tableColumn id="3" xr3:uid="{00000000-0010-0000-0200-000003000000}" name="ft²" dataDxfId="110"/>
    <tableColumn id="4" xr3:uid="{00000000-0010-0000-0200-000004000000}" name="Inventario Nuevo" dataDxfId="109"/>
    <tableColumn id="5" xr3:uid="{00000000-0010-0000-0200-000005000000}" name="Previamente Ocupado" dataDxfId="108"/>
    <tableColumn id="6" xr3:uid="{00000000-0010-0000-0200-000006000000}" name="Sub-arrendamiento" dataDxfId="107"/>
    <tableColumn id="7" xr3:uid="{00000000-0010-0000-0200-000007000000}" name="Total" dataDxfId="106"/>
    <tableColumn id="8" xr3:uid="{00000000-0010-0000-0200-000008000000}" name="%" dataDxfId="105"/>
    <tableColumn id="9" xr3:uid="{00000000-0010-0000-0200-000009000000}" name="Bajo Construcción" dataDxfId="104"/>
    <tableColumn id="10" xr3:uid="{00000000-0010-0000-0200-00000A000000}" name="Rentas de Salida (USD/ft²/Mes)" dataDxfId="103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General4" displayName="TableGeneral4" ref="A42:J50" totalsRowShown="0">
  <tableColumns count="10">
    <tableColumn id="1" xr3:uid="{00000000-0010-0000-0300-000001000000}" name="Sub-mercado"/>
    <tableColumn id="2" xr3:uid="{00000000-0010-0000-0300-000002000000}" name="Edificios" dataDxfId="102"/>
    <tableColumn id="3" xr3:uid="{00000000-0010-0000-0300-000003000000}" name="ft²" dataDxfId="101"/>
    <tableColumn id="4" xr3:uid="{00000000-0010-0000-0300-000004000000}" name="Inventario Nuevo" dataDxfId="100"/>
    <tableColumn id="5" xr3:uid="{00000000-0010-0000-0300-000005000000}" name="Previamente Ocupado" dataDxfId="99"/>
    <tableColumn id="6" xr3:uid="{00000000-0010-0000-0300-000006000000}" name="Sub-arrendamiento" dataDxfId="98"/>
    <tableColumn id="7" xr3:uid="{00000000-0010-0000-0300-000007000000}" name="Total" dataDxfId="97"/>
    <tableColumn id="8" xr3:uid="{00000000-0010-0000-0300-000008000000}" name="%" dataDxfId="96"/>
    <tableColumn id="9" xr3:uid="{00000000-0010-0000-0300-000009000000}" name="Bajo Construcción" dataDxfId="95"/>
    <tableColumn id="10" xr3:uid="{00000000-0010-0000-0300-00000A000000}" name="Rentas de Salida (USD/ft²/Mes)" dataDxfId="94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General5" displayName="TableGeneral5" ref="A55:J63" totalsRowShown="0">
  <tableColumns count="10">
    <tableColumn id="1" xr3:uid="{00000000-0010-0000-0400-000001000000}" name="Sub-mercado"/>
    <tableColumn id="2" xr3:uid="{00000000-0010-0000-0400-000002000000}" name="Edificios" dataDxfId="93"/>
    <tableColumn id="3" xr3:uid="{00000000-0010-0000-0400-000003000000}" name="ft²" dataDxfId="92"/>
    <tableColumn id="4" xr3:uid="{00000000-0010-0000-0400-000004000000}" name="Inventario Nuevo" dataDxfId="91"/>
    <tableColumn id="5" xr3:uid="{00000000-0010-0000-0400-000005000000}" name="Previamente Ocupado" dataDxfId="90"/>
    <tableColumn id="6" xr3:uid="{00000000-0010-0000-0400-000006000000}" name="Sub-arrendamiento" dataDxfId="89"/>
    <tableColumn id="7" xr3:uid="{00000000-0010-0000-0400-000007000000}" name="Total" dataDxfId="88"/>
    <tableColumn id="8" xr3:uid="{00000000-0010-0000-0400-000008000000}" name="%" dataDxfId="87"/>
    <tableColumn id="9" xr3:uid="{00000000-0010-0000-0400-000009000000}" name="Bajo Construcción" dataDxfId="86"/>
    <tableColumn id="10" xr3:uid="{00000000-0010-0000-0400-00000A000000}" name="Rentas de Salida (USD/ft²/Mes)" dataDxfId="85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Absorption1" displayName="TableAbsorption1" ref="A2:G10" totalsRowShown="0">
  <tableColumns count="7">
    <tableColumn id="1" xr3:uid="{00000000-0010-0000-0500-000001000000}" name="Sub-mercado"/>
    <tableColumn id="2" xr3:uid="{00000000-0010-0000-0500-000002000000}" name="Reubicaciones Totales" dataDxfId="84"/>
    <tableColumn id="3" xr3:uid="{00000000-0010-0000-0500-000003000000}" name="Crecimiento por Reubicaciones" dataDxfId="83"/>
    <tableColumn id="4" xr3:uid="{00000000-0010-0000-0500-000004000000}" name="Expansiones" dataDxfId="82"/>
    <tableColumn id="5" xr3:uid="{00000000-0010-0000-0500-000005000000}" name="Operaciones Nuevas" dataDxfId="81"/>
    <tableColumn id="6" xr3:uid="{00000000-0010-0000-0500-000006000000}" name="Absorción Bruta" dataDxfId="80"/>
    <tableColumn id="7" xr3:uid="{00000000-0010-0000-0500-000007000000}" name="Absorción Neta" dataDxfId="79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Absorption2" displayName="TableAbsorption2" ref="A14:G22" totalsRowShown="0">
  <tableColumns count="7">
    <tableColumn id="1" xr3:uid="{00000000-0010-0000-0600-000001000000}" name="Sub-mercado"/>
    <tableColumn id="2" xr3:uid="{00000000-0010-0000-0600-000002000000}" name="Reubicaciones Totales" dataDxfId="78"/>
    <tableColumn id="3" xr3:uid="{00000000-0010-0000-0600-000003000000}" name="Crecimiento por Reubicaciones" dataDxfId="77"/>
    <tableColumn id="4" xr3:uid="{00000000-0010-0000-0600-000004000000}" name="Expansiones" dataDxfId="76"/>
    <tableColumn id="5" xr3:uid="{00000000-0010-0000-0600-000005000000}" name="Operaciones Nuevas" dataDxfId="75"/>
    <tableColumn id="6" xr3:uid="{00000000-0010-0000-0600-000006000000}" name="Absorción Bruta" dataDxfId="74"/>
    <tableColumn id="7" xr3:uid="{00000000-0010-0000-0600-000007000000}" name="Absorción Neta" dataDxfId="73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Absorption3" displayName="TableAbsorption3" ref="A26:G34" totalsRowShown="0">
  <tableColumns count="7">
    <tableColumn id="1" xr3:uid="{00000000-0010-0000-0700-000001000000}" name="Sub-mercado"/>
    <tableColumn id="2" xr3:uid="{00000000-0010-0000-0700-000002000000}" name="Reubicaciones Totales" dataDxfId="72"/>
    <tableColumn id="3" xr3:uid="{00000000-0010-0000-0700-000003000000}" name="Crecimiento por Reubicaciones" dataDxfId="71"/>
    <tableColumn id="4" xr3:uid="{00000000-0010-0000-0700-000004000000}" name="Expansiones" dataDxfId="70"/>
    <tableColumn id="5" xr3:uid="{00000000-0010-0000-0700-000005000000}" name="Operaciones Nuevas" dataDxfId="69"/>
    <tableColumn id="6" xr3:uid="{00000000-0010-0000-0700-000006000000}" name="Absorción Bruta" dataDxfId="68"/>
    <tableColumn id="7" xr3:uid="{00000000-0010-0000-0700-000007000000}" name="Absorción Neta" dataDxfId="67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Absorption4" displayName="TableAbsorption4" ref="A38:G46" totalsRowShown="0">
  <tableColumns count="7">
    <tableColumn id="1" xr3:uid="{00000000-0010-0000-0800-000001000000}" name="Sub-mercado"/>
    <tableColumn id="2" xr3:uid="{00000000-0010-0000-0800-000002000000}" name="Reubicaciones Totales" dataDxfId="66"/>
    <tableColumn id="3" xr3:uid="{00000000-0010-0000-0800-000003000000}" name="Crecimiento por Reubicaciones" dataDxfId="65"/>
    <tableColumn id="4" xr3:uid="{00000000-0010-0000-0800-000004000000}" name="Expansiones" dataDxfId="64"/>
    <tableColumn id="5" xr3:uid="{00000000-0010-0000-0800-000005000000}" name="Operaciones Nuevas" dataDxfId="63"/>
    <tableColumn id="6" xr3:uid="{00000000-0010-0000-0800-000006000000}" name="Absorción Bruta" dataDxfId="62"/>
    <tableColumn id="7" xr3:uid="{00000000-0010-0000-0800-000007000000}" name="Absorción Neta" dataDxfId="61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Absorption5" displayName="TableAbsorption5" ref="A50:G58" totalsRowShown="0">
  <tableColumns count="7">
    <tableColumn id="1" xr3:uid="{00000000-0010-0000-0900-000001000000}" name="Sub-mercado"/>
    <tableColumn id="2" xr3:uid="{00000000-0010-0000-0900-000002000000}" name="Reubicaciones Totales" dataDxfId="60"/>
    <tableColumn id="3" xr3:uid="{00000000-0010-0000-0900-000003000000}" name="Crecimiento por Reubicaciones" dataDxfId="59"/>
    <tableColumn id="4" xr3:uid="{00000000-0010-0000-0900-000004000000}" name="Expansiones" dataDxfId="58"/>
    <tableColumn id="5" xr3:uid="{00000000-0010-0000-0900-000005000000}" name="Operaciones Nuevas" dataDxfId="57"/>
    <tableColumn id="6" xr3:uid="{00000000-0010-0000-0900-000006000000}" name="Absorción Bruta" dataDxfId="56"/>
    <tableColumn id="7" xr3:uid="{00000000-0010-0000-0900-000007000000}" name="Absorción Neta" dataDxfId="55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QuarterAbsorption1" displayName="TableQuarterAbsorption1" ref="A2:G10" totalsRowShown="0">
  <tableColumns count="7">
    <tableColumn id="1" xr3:uid="{00000000-0010-0000-0A00-000001000000}" name="Sub-mercado"/>
    <tableColumn id="2" xr3:uid="{00000000-0010-0000-0A00-000002000000}" name="Reubicaciones Totales" dataDxfId="54"/>
    <tableColumn id="3" xr3:uid="{00000000-0010-0000-0A00-000003000000}" name="Crecimiento por Reubicaciones" dataDxfId="53"/>
    <tableColumn id="4" xr3:uid="{00000000-0010-0000-0A00-000004000000}" name="Expansiones" dataDxfId="52"/>
    <tableColumn id="5" xr3:uid="{00000000-0010-0000-0A00-000005000000}" name="Operaciones Nuevas" dataDxfId="51"/>
    <tableColumn id="6" xr3:uid="{00000000-0010-0000-0A00-000006000000}" name="Absorción Bruta" dataDxfId="50"/>
    <tableColumn id="7" xr3:uid="{00000000-0010-0000-0A00-000007000000}" name="Absorción Neta" dataDxfId="49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QuarterAbsorption2" displayName="TableQuarterAbsorption2" ref="A14:G22" totalsRowShown="0">
  <tableColumns count="7">
    <tableColumn id="1" xr3:uid="{00000000-0010-0000-0B00-000001000000}" name="Sub-mercado"/>
    <tableColumn id="2" xr3:uid="{00000000-0010-0000-0B00-000002000000}" name="Reubicaciones Totales" dataDxfId="48"/>
    <tableColumn id="3" xr3:uid="{00000000-0010-0000-0B00-000003000000}" name="Crecimiento por Reubicaciones" dataDxfId="47"/>
    <tableColumn id="4" xr3:uid="{00000000-0010-0000-0B00-000004000000}" name="Expansiones" dataDxfId="46"/>
    <tableColumn id="5" xr3:uid="{00000000-0010-0000-0B00-000005000000}" name="Operaciones Nuevas" dataDxfId="45"/>
    <tableColumn id="6" xr3:uid="{00000000-0010-0000-0B00-000006000000}" name="Absorción Bruta" dataDxfId="44"/>
    <tableColumn id="7" xr3:uid="{00000000-0010-0000-0B00-000007000000}" name="Absorción Neta" dataDxfId="43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QuarterAbsorption3" displayName="TableQuarterAbsorption3" ref="A26:G34" totalsRowShown="0">
  <tableColumns count="7">
    <tableColumn id="1" xr3:uid="{00000000-0010-0000-0C00-000001000000}" name="Sub-mercado"/>
    <tableColumn id="2" xr3:uid="{00000000-0010-0000-0C00-000002000000}" name="Reubicaciones Totales" dataDxfId="42"/>
    <tableColumn id="3" xr3:uid="{00000000-0010-0000-0C00-000003000000}" name="Crecimiento por Reubicaciones" dataDxfId="41"/>
    <tableColumn id="4" xr3:uid="{00000000-0010-0000-0C00-000004000000}" name="Expansiones" dataDxfId="40"/>
    <tableColumn id="5" xr3:uid="{00000000-0010-0000-0C00-000005000000}" name="Operaciones Nuevas" dataDxfId="39"/>
    <tableColumn id="6" xr3:uid="{00000000-0010-0000-0C00-000006000000}" name="Absorción Bruta" dataDxfId="38"/>
    <tableColumn id="7" xr3:uid="{00000000-0010-0000-0C00-000007000000}" name="Absorción Neta" dataDxfId="37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QuarterAbsorption4" displayName="TableQuarterAbsorption4" ref="A38:G46" totalsRowShown="0">
  <tableColumns count="7">
    <tableColumn id="1" xr3:uid="{00000000-0010-0000-0D00-000001000000}" name="Sub-mercado"/>
    <tableColumn id="2" xr3:uid="{00000000-0010-0000-0D00-000002000000}" name="Reubicaciones Totales" dataDxfId="36"/>
    <tableColumn id="3" xr3:uid="{00000000-0010-0000-0D00-000003000000}" name="Crecimiento por Reubicaciones" dataDxfId="35"/>
    <tableColumn id="4" xr3:uid="{00000000-0010-0000-0D00-000004000000}" name="Expansiones" dataDxfId="34"/>
    <tableColumn id="5" xr3:uid="{00000000-0010-0000-0D00-000005000000}" name="Operaciones Nuevas" dataDxfId="33"/>
    <tableColumn id="6" xr3:uid="{00000000-0010-0000-0D00-000006000000}" name="Absorción Bruta" dataDxfId="32"/>
    <tableColumn id="7" xr3:uid="{00000000-0010-0000-0D00-000007000000}" name="Absorción Neta" dataDxfId="31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QuarterAbsorption5" displayName="TableQuarterAbsorption5" ref="A50:G58" totalsRowShown="0">
  <tableColumns count="7">
    <tableColumn id="1" xr3:uid="{00000000-0010-0000-0E00-000001000000}" name="Sub-mercado"/>
    <tableColumn id="2" xr3:uid="{00000000-0010-0000-0E00-000002000000}" name="Reubicaciones Totales" dataDxfId="30"/>
    <tableColumn id="3" xr3:uid="{00000000-0010-0000-0E00-000003000000}" name="Crecimiento por Reubicaciones" dataDxfId="29"/>
    <tableColumn id="4" xr3:uid="{00000000-0010-0000-0E00-000004000000}" name="Expansiones" dataDxfId="28"/>
    <tableColumn id="5" xr3:uid="{00000000-0010-0000-0E00-000005000000}" name="Operaciones Nuevas" dataDxfId="27"/>
    <tableColumn id="6" xr3:uid="{00000000-0010-0000-0E00-000006000000}" name="Absorción Bruta" dataDxfId="26"/>
    <tableColumn id="7" xr3:uid="{00000000-0010-0000-0E00-000007000000}" name="Absorción Neta" dataDxfId="25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Availability" displayName="TableAvailability" ref="A2:Q32" totalsRowShown="0">
  <autoFilter ref="A2:Q32" xr:uid="{00000000-0009-0000-0100-000010000000}"/>
  <tableColumns count="17">
    <tableColumn id="1" xr3:uid="{00000000-0010-0000-0F00-000001000000}" name="Edificio"/>
    <tableColumn id="2" xr3:uid="{00000000-0010-0000-0F00-000002000000}" name="Parque Industrial"/>
    <tableColumn id="3" xr3:uid="{00000000-0010-0000-0F00-000003000000}" name="Sub-mercado"/>
    <tableColumn id="4" xr3:uid="{00000000-0010-0000-0F00-000004000000}" name="Propietario"/>
    <tableColumn id="5" xr3:uid="{00000000-0010-0000-0F00-000005000000}" name="Desarrollador"/>
    <tableColumn id="6" xr3:uid="{00000000-0010-0000-0F00-000006000000}" name="Área Neta Rentable" dataDxfId="24"/>
    <tableColumn id="7" xr3:uid="{00000000-0010-0000-0F00-000007000000}" name="Espacio Disponible m" dataDxfId="23"/>
    <tableColumn id="8" xr3:uid="{00000000-0010-0000-0F00-000008000000}" name="Espacio Disponible ft" dataDxfId="22"/>
    <tableColumn id="9" xr3:uid="{00000000-0010-0000-0F00-000009000000}" name="Tipo de Transacción" dataDxfId="21"/>
    <tableColumn id="10" xr3:uid="{00000000-0010-0000-0F00-00000A000000}" name="Precio de Renta (USD/ft²/Mes)" dataDxfId="20"/>
    <tableColumn id="11" xr3:uid="{00000000-0010-0000-0F00-00000B000000}" name="Precio de Renta (USD/m²/Mes)" dataDxfId="19"/>
    <tableColumn id="12" xr3:uid="{00000000-0010-0000-0F00-00000C000000}" name="Disponible en" dataDxfId="18"/>
    <tableColumn id="13" xr3:uid="{00000000-0010-0000-0F00-00000D000000}" name="Clase" dataDxfId="17"/>
    <tableColumn id="14" xr3:uid="{00000000-0010-0000-0F00-00000E000000}" name="Estatus de Construcción" dataDxfId="16"/>
    <tableColumn id="15" xr3:uid="{00000000-0010-0000-0F00-00000F000000}" name="Año de Construcción" dataDxfId="15"/>
    <tableColumn id="16" xr3:uid="{00000000-0010-0000-0F00-000010000000}" name="Historial del Espacio" dataDxfId="14"/>
    <tableColumn id="17" xr3:uid="{00000000-0010-0000-0F00-000011000000}" name="Comentarios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LeaseOperations" displayName="TableLeaseOperations" ref="A2:U18" totalsRowShown="0">
  <autoFilter ref="A2:U18" xr:uid="{00000000-0009-0000-0100-000011000000}"/>
  <tableColumns count="21">
    <tableColumn id="1" xr3:uid="{00000000-0010-0000-1000-000001000000}" name="Fecha de Operación"/>
    <tableColumn id="2" xr3:uid="{00000000-0010-0000-1000-000002000000}" name="Edificio"/>
    <tableColumn id="3" xr3:uid="{00000000-0010-0000-1000-000003000000}" name="Parque Industrial"/>
    <tableColumn id="4" xr3:uid="{00000000-0010-0000-1000-000004000000}" name="Sub-mercado"/>
    <tableColumn id="5" xr3:uid="{00000000-0010-0000-1000-000005000000}" name="Propietario"/>
    <tableColumn id="6" xr3:uid="{00000000-0010-0000-1000-000006000000}" name="Inquilino"/>
    <tableColumn id="7" xr3:uid="{00000000-0010-0000-1000-000007000000}" name="Área Neta Rentable (ft²)" dataDxfId="13"/>
    <tableColumn id="8" xr3:uid="{00000000-0010-0000-1000-000008000000}" name="Espacio Disponible (ft²)" dataDxfId="12"/>
    <tableColumn id="9" xr3:uid="{00000000-0010-0000-1000-000009000000}" name="Espacio Arrendado (m²)" dataDxfId="11"/>
    <tableColumn id="10" xr3:uid="{00000000-0010-0000-1000-00000A000000}" name="Espacio Arrendado (ft²)" dataDxfId="10"/>
    <tableColumn id="11" xr3:uid="{00000000-0010-0000-1000-00000B000000}" name="Precio de Renta (ft²/Mes)" dataDxfId="9"/>
    <tableColumn id="12" xr3:uid="{00000000-0010-0000-1000-00000C000000}" name="Tipo de Moneda (cierre)" dataDxfId="8"/>
    <tableColumn id="13" xr3:uid="{00000000-0010-0000-1000-00000D000000}" name="Broker del Usuario" dataDxfId="7"/>
    <tableColumn id="14" xr3:uid="{00000000-0010-0000-1000-00000E000000}" name="Broker del Propietario" dataDxfId="6"/>
    <tableColumn id="15" xr3:uid="{00000000-0010-0000-1000-00000F000000}" name="Clase" dataDxfId="5"/>
    <tableColumn id="16" xr3:uid="{00000000-0010-0000-1000-000010000000}" name="Origen del Edificio" dataDxfId="4"/>
    <tableColumn id="17" xr3:uid="{00000000-0010-0000-1000-000011000000}" name="Naturaleza de la Operación" dataDxfId="3"/>
    <tableColumn id="18" xr3:uid="{00000000-0010-0000-1000-000012000000}" name="Año de Construcción" dataDxfId="2"/>
    <tableColumn id="19" xr3:uid="{00000000-0010-0000-1000-000013000000}" name="Giro" dataDxfId="1"/>
    <tableColumn id="20" xr3:uid="{00000000-0010-0000-1000-000014000000}" name="Actividad" dataDxfId="0"/>
    <tableColumn id="21" xr3:uid="{00000000-0010-0000-1000-000015000000}" name="Comentario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showGridLines="0" tabSelected="1" workbookViewId="0">
      <selection activeCell="D13" sqref="D13"/>
    </sheetView>
  </sheetViews>
  <sheetFormatPr baseColWidth="10" defaultColWidth="8.83203125" defaultRowHeight="15" x14ac:dyDescent="0.2"/>
  <cols>
    <col min="1" max="1" width="30.6640625" customWidth="1"/>
    <col min="2" max="4" width="20.6640625" style="5" customWidth="1"/>
    <col min="5" max="5" width="25.6640625" style="5" customWidth="1"/>
    <col min="6" max="9" width="20.6640625" style="5" customWidth="1"/>
    <col min="10" max="10" width="30.6640625" style="5" customWidth="1"/>
  </cols>
  <sheetData>
    <row r="1" spans="1:10" x14ac:dyDescent="0.2">
      <c r="A1" s="1" t="s">
        <v>0</v>
      </c>
    </row>
    <row r="2" spans="1:10" x14ac:dyDescent="0.2">
      <c r="A2" s="2"/>
      <c r="B2" s="14" t="s">
        <v>1</v>
      </c>
      <c r="C2" s="14"/>
      <c r="D2" s="14" t="s">
        <v>2</v>
      </c>
      <c r="E2" s="14"/>
      <c r="F2" s="14"/>
      <c r="G2" s="14"/>
      <c r="H2" s="14"/>
      <c r="I2" s="14"/>
      <c r="J2" s="14"/>
    </row>
    <row r="3" spans="1:10" x14ac:dyDescent="0.2">
      <c r="A3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</row>
    <row r="4" spans="1:10" x14ac:dyDescent="0.2">
      <c r="A4" t="s">
        <v>13</v>
      </c>
      <c r="B4" s="6">
        <v>154</v>
      </c>
      <c r="C4" s="6">
        <v>11724111.787999999</v>
      </c>
      <c r="D4" s="6">
        <v>0</v>
      </c>
      <c r="E4" s="6">
        <v>86703</v>
      </c>
      <c r="F4" s="6">
        <v>0</v>
      </c>
      <c r="G4" s="6">
        <v>86703</v>
      </c>
      <c r="H4" s="7">
        <v>7.3952723726792907E-3</v>
      </c>
      <c r="I4" s="6">
        <v>0</v>
      </c>
      <c r="J4" s="8">
        <v>0.39274665543803217</v>
      </c>
    </row>
    <row r="5" spans="1:10" x14ac:dyDescent="0.2">
      <c r="A5" t="s">
        <v>14</v>
      </c>
      <c r="B5" s="6">
        <v>93</v>
      </c>
      <c r="C5" s="6">
        <v>13271996.896</v>
      </c>
      <c r="D5" s="6">
        <v>1033368</v>
      </c>
      <c r="E5" s="6">
        <v>285439.12</v>
      </c>
      <c r="F5" s="6">
        <v>0</v>
      </c>
      <c r="G5" s="6">
        <v>1318807.1200000001</v>
      </c>
      <c r="H5" s="7">
        <v>9.9367648315037707E-2</v>
      </c>
      <c r="I5" s="6">
        <v>855762</v>
      </c>
      <c r="J5" s="8">
        <v>0.47007797020942371</v>
      </c>
    </row>
    <row r="6" spans="1:10" x14ac:dyDescent="0.2">
      <c r="A6" t="s">
        <v>15</v>
      </c>
      <c r="B6" s="6">
        <v>19</v>
      </c>
      <c r="C6" s="6">
        <v>1092062.0559999999</v>
      </c>
      <c r="D6" s="6">
        <v>0</v>
      </c>
      <c r="E6" s="6">
        <v>230457.24</v>
      </c>
      <c r="F6" s="6">
        <v>0</v>
      </c>
      <c r="G6" s="6">
        <v>230457.24</v>
      </c>
      <c r="H6" s="7">
        <v>0.21102943622463888</v>
      </c>
      <c r="I6" s="6">
        <v>0</v>
      </c>
      <c r="J6" s="8">
        <v>0</v>
      </c>
    </row>
    <row r="7" spans="1:10" x14ac:dyDescent="0.2">
      <c r="A7" t="s">
        <v>16</v>
      </c>
      <c r="B7" s="6">
        <v>122</v>
      </c>
      <c r="C7" s="6">
        <v>11512698.779999999</v>
      </c>
      <c r="D7" s="6">
        <v>249747</v>
      </c>
      <c r="E7" s="6">
        <v>76069.176000000007</v>
      </c>
      <c r="F7" s="6">
        <v>0</v>
      </c>
      <c r="G7" s="6">
        <v>325816.17599999998</v>
      </c>
      <c r="H7" s="7">
        <v>2.8300590697813776E-2</v>
      </c>
      <c r="I7" s="6">
        <v>249747</v>
      </c>
      <c r="J7" s="8">
        <v>0.41892306200393947</v>
      </c>
    </row>
    <row r="8" spans="1:10" x14ac:dyDescent="0.2">
      <c r="A8" t="s">
        <v>17</v>
      </c>
      <c r="B8" s="6">
        <v>176</v>
      </c>
      <c r="C8" s="6">
        <v>20476324.432</v>
      </c>
      <c r="D8" s="6">
        <v>262865.38</v>
      </c>
      <c r="E8" s="6">
        <v>159055</v>
      </c>
      <c r="F8" s="6">
        <v>0</v>
      </c>
      <c r="G8" s="6">
        <v>421920.38</v>
      </c>
      <c r="H8" s="7">
        <v>2.0605279106665798E-2</v>
      </c>
      <c r="I8" s="6">
        <v>23000</v>
      </c>
      <c r="J8" s="8">
        <v>0.41655724080821777</v>
      </c>
    </row>
    <row r="9" spans="1:10" x14ac:dyDescent="0.2">
      <c r="A9" t="s">
        <v>18</v>
      </c>
      <c r="B9" s="6">
        <v>16</v>
      </c>
      <c r="C9" s="6">
        <v>2286626.7560000001</v>
      </c>
      <c r="D9" s="6">
        <v>37715</v>
      </c>
      <c r="E9" s="6">
        <v>0</v>
      </c>
      <c r="F9" s="6">
        <v>0</v>
      </c>
      <c r="G9" s="6">
        <v>37715</v>
      </c>
      <c r="H9" s="7">
        <v>1.6493728108899992E-2</v>
      </c>
      <c r="I9" s="6">
        <v>37715</v>
      </c>
      <c r="J9" s="8">
        <v>0.42</v>
      </c>
    </row>
    <row r="10" spans="1:10" x14ac:dyDescent="0.2">
      <c r="A10" t="s">
        <v>19</v>
      </c>
      <c r="B10" s="6">
        <v>44</v>
      </c>
      <c r="C10" s="6">
        <v>4341940.4400000004</v>
      </c>
      <c r="D10" s="6">
        <v>116000</v>
      </c>
      <c r="E10" s="6">
        <v>370089</v>
      </c>
      <c r="F10" s="6">
        <v>0</v>
      </c>
      <c r="G10" s="6">
        <v>486089</v>
      </c>
      <c r="H10" s="7">
        <v>0.11195201931420322</v>
      </c>
      <c r="I10" s="6">
        <v>0</v>
      </c>
      <c r="J10" s="8">
        <v>0.39645777632530382</v>
      </c>
    </row>
    <row r="11" spans="1:10" x14ac:dyDescent="0.2">
      <c r="A11" t="s">
        <v>20</v>
      </c>
      <c r="B11" s="6">
        <v>8</v>
      </c>
      <c r="C11" s="6">
        <v>800648.91599999997</v>
      </c>
      <c r="D11" s="6">
        <v>0</v>
      </c>
      <c r="E11" s="6">
        <v>0</v>
      </c>
      <c r="F11" s="6">
        <v>0</v>
      </c>
      <c r="G11" s="6">
        <v>0</v>
      </c>
      <c r="H11" s="7">
        <v>0</v>
      </c>
      <c r="I11" s="6">
        <v>0</v>
      </c>
      <c r="J11" s="8">
        <v>0</v>
      </c>
    </row>
    <row r="12" spans="1:10" x14ac:dyDescent="0.2">
      <c r="A12" s="3" t="s">
        <v>9</v>
      </c>
      <c r="B12" s="9">
        <f t="array" ref="B12">SUBTOTAL(109, TableGeneral1[Edificios])</f>
        <v>632</v>
      </c>
      <c r="C12" s="9">
        <f t="array" ref="C12">SUBTOTAL(109, TableGeneral1[ft²])</f>
        <v>65506410.064000003</v>
      </c>
      <c r="D12" s="9">
        <f t="array" ref="D12">SUBTOTAL(109, TableGeneral1[Inventario Nuevo])</f>
        <v>1699695.38</v>
      </c>
      <c r="E12" s="9">
        <f t="array" ref="E12">SUBTOTAL(109, TableGeneral1[Previamente Ocupado])</f>
        <v>1207812.5359999998</v>
      </c>
      <c r="F12" s="9">
        <f t="array" ref="F12">SUBTOTAL(109, TableGeneral1[Sub-arrendamiento])</f>
        <v>0</v>
      </c>
      <c r="G12" s="9">
        <f t="array" ref="G12">SUBTOTAL(109, TableGeneral1[Total])</f>
        <v>2907507.9160000002</v>
      </c>
      <c r="H12" s="10">
        <f t="array" ref="H12">IF(C12&gt;0,G12/C12,0)</f>
        <v>4.4385090148572552E-2</v>
      </c>
      <c r="I12" s="9">
        <f t="array" ref="I12">SUBTOTAL(109, TableGeneral1[Bajo Construcción])</f>
        <v>1166224</v>
      </c>
      <c r="J12" s="11">
        <f t="array" ref="J12">IF(ISERR(AVERAGEIF(TableGeneral1[Rentas de Salida (USD/ft²/Mes)],"&gt;0",TableGeneral1[Rentas de Salida (USD/ft²/Mes)])),0,AVERAGEIF(TableGeneral1[Rentas de Salida (USD/ft²/Mes)],"&gt;0",TableGeneral1[Rentas de Salida (USD/ft²/Mes)]))</f>
        <v>0.41912711746415282</v>
      </c>
    </row>
    <row r="14" spans="1:10" x14ac:dyDescent="0.2">
      <c r="A14" s="1" t="s">
        <v>21</v>
      </c>
    </row>
    <row r="15" spans="1:10" x14ac:dyDescent="0.2">
      <c r="A15" s="2"/>
      <c r="B15" s="14" t="s">
        <v>1</v>
      </c>
      <c r="C15" s="14"/>
      <c r="D15" s="14" t="s">
        <v>2</v>
      </c>
      <c r="E15" s="14"/>
      <c r="F15" s="14"/>
      <c r="G15" s="14"/>
      <c r="H15" s="14"/>
      <c r="I15" s="14"/>
      <c r="J15" s="14"/>
    </row>
    <row r="16" spans="1:10" x14ac:dyDescent="0.2">
      <c r="A16" t="s">
        <v>3</v>
      </c>
      <c r="B16" s="5" t="s">
        <v>4</v>
      </c>
      <c r="C16" s="5" t="s">
        <v>5</v>
      </c>
      <c r="D16" s="5" t="s">
        <v>6</v>
      </c>
      <c r="E16" s="5" t="s">
        <v>7</v>
      </c>
      <c r="F16" s="5" t="s">
        <v>8</v>
      </c>
      <c r="G16" s="5" t="s">
        <v>9</v>
      </c>
      <c r="H16" s="5" t="s">
        <v>10</v>
      </c>
      <c r="I16" s="5" t="s">
        <v>11</v>
      </c>
      <c r="J16" s="5" t="s">
        <v>12</v>
      </c>
    </row>
    <row r="17" spans="1:10" x14ac:dyDescent="0.2">
      <c r="A17" t="s">
        <v>13</v>
      </c>
      <c r="B17" s="6">
        <v>12</v>
      </c>
      <c r="C17" s="6">
        <v>1531548.0559999999</v>
      </c>
      <c r="D17" s="6">
        <v>0</v>
      </c>
      <c r="E17" s="6">
        <v>0</v>
      </c>
      <c r="F17" s="6">
        <v>0</v>
      </c>
      <c r="G17" s="6">
        <v>0</v>
      </c>
      <c r="H17" s="7">
        <v>0</v>
      </c>
      <c r="I17" s="6">
        <v>0</v>
      </c>
      <c r="J17" s="8">
        <v>0</v>
      </c>
    </row>
    <row r="18" spans="1:10" x14ac:dyDescent="0.2">
      <c r="A18" t="s">
        <v>14</v>
      </c>
      <c r="B18" s="6">
        <v>58</v>
      </c>
      <c r="C18" s="6">
        <v>8586300.9519999996</v>
      </c>
      <c r="D18" s="6">
        <v>1033368</v>
      </c>
      <c r="E18" s="6">
        <v>153111</v>
      </c>
      <c r="F18" s="6">
        <v>0</v>
      </c>
      <c r="G18" s="6">
        <v>1186479</v>
      </c>
      <c r="H18" s="7">
        <v>0.13818278751615787</v>
      </c>
      <c r="I18" s="6">
        <v>855762</v>
      </c>
      <c r="J18" s="8">
        <v>0.47119241518516269</v>
      </c>
    </row>
    <row r="19" spans="1:10" x14ac:dyDescent="0.2">
      <c r="A19" t="s">
        <v>15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7">
        <v>0</v>
      </c>
      <c r="I19" s="6">
        <v>0</v>
      </c>
      <c r="J19" s="8">
        <v>0</v>
      </c>
    </row>
    <row r="20" spans="1:10" x14ac:dyDescent="0.2">
      <c r="A20" t="s">
        <v>16</v>
      </c>
      <c r="B20" s="6">
        <v>22</v>
      </c>
      <c r="C20" s="6">
        <v>3593463.0559999999</v>
      </c>
      <c r="D20" s="6">
        <v>249747</v>
      </c>
      <c r="E20" s="6">
        <v>0</v>
      </c>
      <c r="F20" s="6">
        <v>0</v>
      </c>
      <c r="G20" s="6">
        <v>249747</v>
      </c>
      <c r="H20" s="7">
        <v>6.9500366668024546E-2</v>
      </c>
      <c r="I20" s="6">
        <v>249747</v>
      </c>
      <c r="J20" s="8">
        <v>0.42215319718493799</v>
      </c>
    </row>
    <row r="21" spans="1:10" x14ac:dyDescent="0.2">
      <c r="A21" t="s">
        <v>17</v>
      </c>
      <c r="B21" s="6">
        <v>54</v>
      </c>
      <c r="C21" s="6">
        <v>9813335.4560000002</v>
      </c>
      <c r="D21" s="6">
        <v>239865.37999999998</v>
      </c>
      <c r="E21" s="6">
        <v>52055</v>
      </c>
      <c r="F21" s="6">
        <v>0</v>
      </c>
      <c r="G21" s="6">
        <v>291920.38</v>
      </c>
      <c r="H21" s="7">
        <v>2.974731489704819E-2</v>
      </c>
      <c r="I21" s="6">
        <v>0</v>
      </c>
      <c r="J21" s="8">
        <v>0.41392233240815673</v>
      </c>
    </row>
    <row r="22" spans="1:10" x14ac:dyDescent="0.2">
      <c r="A22" t="s">
        <v>18</v>
      </c>
      <c r="B22" s="6">
        <v>4</v>
      </c>
      <c r="C22" s="6">
        <v>1269773.2039999999</v>
      </c>
      <c r="D22" s="6">
        <v>37715</v>
      </c>
      <c r="E22" s="6">
        <v>0</v>
      </c>
      <c r="F22" s="6">
        <v>0</v>
      </c>
      <c r="G22" s="6">
        <v>37715</v>
      </c>
      <c r="H22" s="7">
        <v>2.9702154590435036E-2</v>
      </c>
      <c r="I22" s="6">
        <v>37715</v>
      </c>
      <c r="J22" s="8">
        <v>0.42</v>
      </c>
    </row>
    <row r="23" spans="1:10" x14ac:dyDescent="0.2">
      <c r="A23" t="s">
        <v>19</v>
      </c>
      <c r="B23" s="6">
        <v>3</v>
      </c>
      <c r="C23" s="6">
        <v>334000</v>
      </c>
      <c r="D23" s="6">
        <v>116000</v>
      </c>
      <c r="E23" s="6">
        <v>102000</v>
      </c>
      <c r="F23" s="6">
        <v>0</v>
      </c>
      <c r="G23" s="6">
        <v>218000</v>
      </c>
      <c r="H23" s="7">
        <v>0.65269461077844315</v>
      </c>
      <c r="I23" s="6">
        <v>0</v>
      </c>
      <c r="J23" s="8">
        <v>0.44064220183486241</v>
      </c>
    </row>
    <row r="24" spans="1:10" x14ac:dyDescent="0.2">
      <c r="A24" t="s">
        <v>20</v>
      </c>
      <c r="B24" s="6">
        <v>1</v>
      </c>
      <c r="C24" s="6">
        <v>199995.12</v>
      </c>
      <c r="D24" s="6">
        <v>0</v>
      </c>
      <c r="E24" s="6">
        <v>0</v>
      </c>
      <c r="F24" s="6">
        <v>0</v>
      </c>
      <c r="G24" s="6">
        <v>0</v>
      </c>
      <c r="H24" s="7">
        <v>0</v>
      </c>
      <c r="I24" s="6">
        <v>0</v>
      </c>
      <c r="J24" s="8">
        <v>0</v>
      </c>
    </row>
    <row r="25" spans="1:10" x14ac:dyDescent="0.2">
      <c r="A25" s="3" t="s">
        <v>9</v>
      </c>
      <c r="B25" s="9">
        <f t="array" ref="B25">SUBTOTAL(109, TableGeneral2[Edificios])</f>
        <v>154</v>
      </c>
      <c r="C25" s="9">
        <f t="array" ref="C25">SUBTOTAL(109, TableGeneral2[ft²])</f>
        <v>25328415.844000001</v>
      </c>
      <c r="D25" s="9">
        <f t="array" ref="D25">SUBTOTAL(109, TableGeneral2[Inventario Nuevo])</f>
        <v>1676695.38</v>
      </c>
      <c r="E25" s="9">
        <f t="array" ref="E25">SUBTOTAL(109, TableGeneral2[Previamente Ocupado])</f>
        <v>307166</v>
      </c>
      <c r="F25" s="9">
        <f t="array" ref="F25">SUBTOTAL(109, TableGeneral2[Sub-arrendamiento])</f>
        <v>0</v>
      </c>
      <c r="G25" s="9">
        <f t="array" ref="G25">SUBTOTAL(109, TableGeneral2[Total])</f>
        <v>1983861.38</v>
      </c>
      <c r="H25" s="10">
        <f t="array" ref="H25">IF(C25&gt;0,G25/C25,0)</f>
        <v>7.832552150986391E-2</v>
      </c>
      <c r="I25" s="9">
        <f t="array" ref="I25">SUBTOTAL(109, TableGeneral2[Bajo Construcción])</f>
        <v>1143224</v>
      </c>
      <c r="J25" s="11">
        <f t="array" ref="J25">IF(ISERR(AVERAGEIF(TableGeneral2[Rentas de Salida (USD/ft²/Mes)],"&gt;0",TableGeneral2[Rentas de Salida (USD/ft²/Mes)])),0,AVERAGEIF(TableGeneral2[Rentas de Salida (USD/ft²/Mes)],"&gt;0",TableGeneral2[Rentas de Salida (USD/ft²/Mes)]))</f>
        <v>0.43358202932262396</v>
      </c>
    </row>
    <row r="27" spans="1:10" x14ac:dyDescent="0.2">
      <c r="A27" s="1" t="s">
        <v>22</v>
      </c>
    </row>
    <row r="28" spans="1:10" x14ac:dyDescent="0.2">
      <c r="A28" s="2"/>
      <c r="B28" s="14" t="s">
        <v>1</v>
      </c>
      <c r="C28" s="14"/>
      <c r="D28" s="14" t="s">
        <v>2</v>
      </c>
      <c r="E28" s="14"/>
      <c r="F28" s="14"/>
      <c r="G28" s="14"/>
      <c r="H28" s="14"/>
      <c r="I28" s="14"/>
      <c r="J28" s="14"/>
    </row>
    <row r="29" spans="1:10" x14ac:dyDescent="0.2">
      <c r="A29" t="s">
        <v>3</v>
      </c>
      <c r="B29" s="5" t="s">
        <v>4</v>
      </c>
      <c r="C29" s="5" t="s">
        <v>5</v>
      </c>
      <c r="D29" s="5" t="s">
        <v>6</v>
      </c>
      <c r="E29" s="5" t="s">
        <v>7</v>
      </c>
      <c r="F29" s="5" t="s">
        <v>8</v>
      </c>
      <c r="G29" s="5" t="s">
        <v>9</v>
      </c>
      <c r="H29" s="5" t="s">
        <v>10</v>
      </c>
      <c r="I29" s="5" t="s">
        <v>11</v>
      </c>
      <c r="J29" s="5" t="s">
        <v>12</v>
      </c>
    </row>
    <row r="30" spans="1:10" x14ac:dyDescent="0.2">
      <c r="A30" t="s">
        <v>13</v>
      </c>
      <c r="B30" s="6">
        <v>122</v>
      </c>
      <c r="C30" s="6">
        <v>8461346.5559999999</v>
      </c>
      <c r="D30" s="6">
        <v>0</v>
      </c>
      <c r="E30" s="6">
        <v>0</v>
      </c>
      <c r="F30" s="6">
        <v>0</v>
      </c>
      <c r="G30" s="6">
        <v>0</v>
      </c>
      <c r="H30" s="7">
        <v>0</v>
      </c>
      <c r="I30" s="6">
        <v>0</v>
      </c>
      <c r="J30" s="8">
        <v>0</v>
      </c>
    </row>
    <row r="31" spans="1:10" x14ac:dyDescent="0.2">
      <c r="A31" t="s">
        <v>14</v>
      </c>
      <c r="B31" s="6">
        <v>28</v>
      </c>
      <c r="C31" s="6">
        <v>3743956.3639999996</v>
      </c>
      <c r="D31" s="6">
        <v>0</v>
      </c>
      <c r="E31" s="6">
        <v>92355.12</v>
      </c>
      <c r="F31" s="6">
        <v>0</v>
      </c>
      <c r="G31" s="6">
        <v>92355.12</v>
      </c>
      <c r="H31" s="7">
        <v>2.4667787500954969E-2</v>
      </c>
      <c r="I31" s="6">
        <v>0</v>
      </c>
      <c r="J31" s="8">
        <v>0</v>
      </c>
    </row>
    <row r="32" spans="1:10" x14ac:dyDescent="0.2">
      <c r="A32" t="s">
        <v>15</v>
      </c>
      <c r="B32" s="6">
        <v>19</v>
      </c>
      <c r="C32" s="6">
        <v>1092062.0559999999</v>
      </c>
      <c r="D32" s="6">
        <v>0</v>
      </c>
      <c r="E32" s="6">
        <v>230457.24</v>
      </c>
      <c r="F32" s="6">
        <v>0</v>
      </c>
      <c r="G32" s="6">
        <v>230457.24</v>
      </c>
      <c r="H32" s="7">
        <v>0.21102943622463888</v>
      </c>
      <c r="I32" s="6">
        <v>0</v>
      </c>
      <c r="J32" s="8">
        <v>0</v>
      </c>
    </row>
    <row r="33" spans="1:10" x14ac:dyDescent="0.2">
      <c r="A33" t="s">
        <v>16</v>
      </c>
      <c r="B33" s="6">
        <v>93</v>
      </c>
      <c r="C33" s="6">
        <v>7588135.0839999998</v>
      </c>
      <c r="D33" s="6">
        <v>0</v>
      </c>
      <c r="E33" s="6">
        <v>76069.176000000007</v>
      </c>
      <c r="F33" s="6">
        <v>0</v>
      </c>
      <c r="G33" s="6">
        <v>76069.176000000007</v>
      </c>
      <c r="H33" s="7">
        <v>1.002475247974908E-2</v>
      </c>
      <c r="I33" s="6">
        <v>0</v>
      </c>
      <c r="J33" s="8">
        <v>0.40831802309765702</v>
      </c>
    </row>
    <row r="34" spans="1:10" x14ac:dyDescent="0.2">
      <c r="A34" t="s">
        <v>17</v>
      </c>
      <c r="B34" s="6">
        <v>86</v>
      </c>
      <c r="C34" s="6">
        <v>7864585.4039999992</v>
      </c>
      <c r="D34" s="6">
        <v>23000</v>
      </c>
      <c r="E34" s="6">
        <v>107000</v>
      </c>
      <c r="F34" s="6">
        <v>0</v>
      </c>
      <c r="G34" s="6">
        <v>130000</v>
      </c>
      <c r="H34" s="7">
        <v>1.6529796972371974E-2</v>
      </c>
      <c r="I34" s="6">
        <v>23000</v>
      </c>
      <c r="J34" s="8">
        <v>0.45</v>
      </c>
    </row>
    <row r="35" spans="1:10" x14ac:dyDescent="0.2">
      <c r="A35" t="s">
        <v>18</v>
      </c>
      <c r="B35" s="6">
        <v>12</v>
      </c>
      <c r="C35" s="6">
        <v>1016853.5519999999</v>
      </c>
      <c r="D35" s="6">
        <v>0</v>
      </c>
      <c r="E35" s="6">
        <v>0</v>
      </c>
      <c r="F35" s="6">
        <v>0</v>
      </c>
      <c r="G35" s="6">
        <v>0</v>
      </c>
      <c r="H35" s="7">
        <v>0</v>
      </c>
      <c r="I35" s="6">
        <v>0</v>
      </c>
      <c r="J35" s="8">
        <v>0</v>
      </c>
    </row>
    <row r="36" spans="1:10" x14ac:dyDescent="0.2">
      <c r="A36" t="s">
        <v>19</v>
      </c>
      <c r="B36" s="6">
        <v>2</v>
      </c>
      <c r="C36" s="6">
        <v>268089</v>
      </c>
      <c r="D36" s="6">
        <v>0</v>
      </c>
      <c r="E36" s="6">
        <v>268089</v>
      </c>
      <c r="F36" s="6">
        <v>0</v>
      </c>
      <c r="G36" s="6">
        <v>268089</v>
      </c>
      <c r="H36" s="7">
        <v>1</v>
      </c>
      <c r="I36" s="6">
        <v>0</v>
      </c>
      <c r="J36" s="8">
        <v>0.34</v>
      </c>
    </row>
    <row r="37" spans="1:10" x14ac:dyDescent="0.2">
      <c r="A37" t="s">
        <v>20</v>
      </c>
      <c r="B37" s="6">
        <v>6</v>
      </c>
      <c r="C37" s="6">
        <v>468653.79599999997</v>
      </c>
      <c r="D37" s="6">
        <v>0</v>
      </c>
      <c r="E37" s="6">
        <v>0</v>
      </c>
      <c r="F37" s="6">
        <v>0</v>
      </c>
      <c r="G37" s="6">
        <v>0</v>
      </c>
      <c r="H37" s="7">
        <v>0</v>
      </c>
      <c r="I37" s="6">
        <v>0</v>
      </c>
      <c r="J37" s="8">
        <v>0</v>
      </c>
    </row>
    <row r="38" spans="1:10" x14ac:dyDescent="0.2">
      <c r="A38" s="3" t="s">
        <v>9</v>
      </c>
      <c r="B38" s="9">
        <f t="array" ref="B38">SUBTOTAL(109, TableGeneral3[Edificios])</f>
        <v>368</v>
      </c>
      <c r="C38" s="9">
        <f t="array" ref="C38">SUBTOTAL(109, TableGeneral3[ft²])</f>
        <v>30503681.811999999</v>
      </c>
      <c r="D38" s="9">
        <f t="array" ref="D38">SUBTOTAL(109, TableGeneral3[Inventario Nuevo])</f>
        <v>23000</v>
      </c>
      <c r="E38" s="9">
        <f t="array" ref="E38">SUBTOTAL(109, TableGeneral3[Previamente Ocupado])</f>
        <v>773970.53599999996</v>
      </c>
      <c r="F38" s="9">
        <f t="array" ref="F38">SUBTOTAL(109, TableGeneral3[Sub-arrendamiento])</f>
        <v>0</v>
      </c>
      <c r="G38" s="9">
        <f t="array" ref="G38">SUBTOTAL(109, TableGeneral3[Total])</f>
        <v>796970.53599999996</v>
      </c>
      <c r="H38" s="10">
        <f t="array" ref="H38">IF(C38&gt;0,G38/C38,0)</f>
        <v>2.612702758020757E-2</v>
      </c>
      <c r="I38" s="9">
        <f t="array" ref="I38">SUBTOTAL(109, TableGeneral3[Bajo Construcción])</f>
        <v>23000</v>
      </c>
      <c r="J38" s="11">
        <f t="array" ref="J38">IF(ISERR(AVERAGEIF(TableGeneral3[Rentas de Salida (USD/ft²/Mes)],"&gt;0",TableGeneral3[Rentas de Salida (USD/ft²/Mes)])),0,AVERAGEIF(TableGeneral3[Rentas de Salida (USD/ft²/Mes)],"&gt;0",TableGeneral3[Rentas de Salida (USD/ft²/Mes)]))</f>
        <v>0.39943934103255235</v>
      </c>
    </row>
    <row r="40" spans="1:10" x14ac:dyDescent="0.2">
      <c r="A40" s="1" t="s">
        <v>23</v>
      </c>
    </row>
    <row r="41" spans="1:10" x14ac:dyDescent="0.2">
      <c r="A41" s="2"/>
      <c r="B41" s="14" t="s">
        <v>1</v>
      </c>
      <c r="C41" s="14"/>
      <c r="D41" s="14" t="s">
        <v>2</v>
      </c>
      <c r="E41" s="14"/>
      <c r="F41" s="14"/>
      <c r="G41" s="14"/>
      <c r="H41" s="14"/>
      <c r="I41" s="14"/>
      <c r="J41" s="14"/>
    </row>
    <row r="42" spans="1:10" x14ac:dyDescent="0.2">
      <c r="A42" t="s">
        <v>3</v>
      </c>
      <c r="B42" s="5" t="s">
        <v>4</v>
      </c>
      <c r="C42" s="5" t="s">
        <v>5</v>
      </c>
      <c r="D42" s="5" t="s">
        <v>6</v>
      </c>
      <c r="E42" s="5" t="s">
        <v>7</v>
      </c>
      <c r="F42" s="5" t="s">
        <v>8</v>
      </c>
      <c r="G42" s="5" t="s">
        <v>9</v>
      </c>
      <c r="H42" s="5" t="s">
        <v>10</v>
      </c>
      <c r="I42" s="5" t="s">
        <v>11</v>
      </c>
      <c r="J42" s="5" t="s">
        <v>12</v>
      </c>
    </row>
    <row r="43" spans="1:10" x14ac:dyDescent="0.2">
      <c r="A43" t="s">
        <v>13</v>
      </c>
      <c r="B43" s="6">
        <v>20</v>
      </c>
      <c r="C43" s="6">
        <v>1731217.176</v>
      </c>
      <c r="D43" s="6">
        <v>0</v>
      </c>
      <c r="E43" s="6">
        <v>86703</v>
      </c>
      <c r="F43" s="6">
        <v>0</v>
      </c>
      <c r="G43" s="6">
        <v>86703</v>
      </c>
      <c r="H43" s="7">
        <v>5.0082104776899464E-2</v>
      </c>
      <c r="I43" s="6">
        <v>0</v>
      </c>
      <c r="J43" s="8">
        <v>0.39274665543803217</v>
      </c>
    </row>
    <row r="44" spans="1:10" x14ac:dyDescent="0.2">
      <c r="A44" t="s">
        <v>14</v>
      </c>
      <c r="B44" s="6">
        <v>4</v>
      </c>
      <c r="C44" s="6">
        <v>344649.73599999998</v>
      </c>
      <c r="D44" s="6">
        <v>0</v>
      </c>
      <c r="E44" s="6">
        <v>39973</v>
      </c>
      <c r="F44" s="6">
        <v>0</v>
      </c>
      <c r="G44" s="6">
        <v>39973</v>
      </c>
      <c r="H44" s="7">
        <v>0.11598151927787927</v>
      </c>
      <c r="I44" s="6">
        <v>0</v>
      </c>
      <c r="J44" s="8">
        <v>0.44</v>
      </c>
    </row>
    <row r="45" spans="1:10" x14ac:dyDescent="0.2">
      <c r="A45" t="s">
        <v>15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7">
        <v>0</v>
      </c>
      <c r="I45" s="6">
        <v>0</v>
      </c>
      <c r="J45" s="8">
        <v>0</v>
      </c>
    </row>
    <row r="46" spans="1:10" x14ac:dyDescent="0.2">
      <c r="A46" t="s">
        <v>16</v>
      </c>
      <c r="B46" s="6">
        <v>7</v>
      </c>
      <c r="C46" s="6">
        <v>331100.63999999996</v>
      </c>
      <c r="D46" s="6">
        <v>0</v>
      </c>
      <c r="E46" s="6">
        <v>0</v>
      </c>
      <c r="F46" s="6">
        <v>0</v>
      </c>
      <c r="G46" s="6">
        <v>0</v>
      </c>
      <c r="H46" s="7">
        <v>0</v>
      </c>
      <c r="I46" s="6">
        <v>0</v>
      </c>
      <c r="J46" s="8">
        <v>0</v>
      </c>
    </row>
    <row r="47" spans="1:10" x14ac:dyDescent="0.2">
      <c r="A47" t="s">
        <v>17</v>
      </c>
      <c r="B47" s="6">
        <v>36</v>
      </c>
      <c r="C47" s="6">
        <v>2798403.5719999997</v>
      </c>
      <c r="D47" s="6">
        <v>0</v>
      </c>
      <c r="E47" s="6">
        <v>0</v>
      </c>
      <c r="F47" s="6">
        <v>0</v>
      </c>
      <c r="G47" s="6">
        <v>0</v>
      </c>
      <c r="H47" s="7">
        <v>0</v>
      </c>
      <c r="I47" s="6">
        <v>0</v>
      </c>
      <c r="J47" s="8">
        <v>0</v>
      </c>
    </row>
    <row r="48" spans="1:10" x14ac:dyDescent="0.2">
      <c r="A48" t="s">
        <v>18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7">
        <v>0</v>
      </c>
      <c r="I48" s="6">
        <v>0</v>
      </c>
      <c r="J48" s="8">
        <v>0</v>
      </c>
    </row>
    <row r="49" spans="1:10" x14ac:dyDescent="0.2">
      <c r="A49" t="s">
        <v>19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7">
        <v>0</v>
      </c>
      <c r="I49" s="6">
        <v>0</v>
      </c>
      <c r="J49" s="8">
        <v>0</v>
      </c>
    </row>
    <row r="50" spans="1:10" x14ac:dyDescent="0.2">
      <c r="A50" t="s">
        <v>20</v>
      </c>
      <c r="B50" s="6">
        <v>1</v>
      </c>
      <c r="C50" s="6">
        <v>132000</v>
      </c>
      <c r="D50" s="6">
        <v>0</v>
      </c>
      <c r="E50" s="6">
        <v>0</v>
      </c>
      <c r="F50" s="6">
        <v>0</v>
      </c>
      <c r="G50" s="6">
        <v>0</v>
      </c>
      <c r="H50" s="7">
        <v>0</v>
      </c>
      <c r="I50" s="6">
        <v>0</v>
      </c>
      <c r="J50" s="8">
        <v>0</v>
      </c>
    </row>
    <row r="51" spans="1:10" x14ac:dyDescent="0.2">
      <c r="A51" s="3" t="s">
        <v>9</v>
      </c>
      <c r="B51" s="9">
        <f t="array" ref="B51">SUBTOTAL(109, TableGeneral4[Edificios])</f>
        <v>68</v>
      </c>
      <c r="C51" s="9">
        <f t="array" ref="C51">SUBTOTAL(109, TableGeneral4[ft²])</f>
        <v>5337371.1239999998</v>
      </c>
      <c r="D51" s="9">
        <f t="array" ref="D51">SUBTOTAL(109, TableGeneral4[Inventario Nuevo])</f>
        <v>0</v>
      </c>
      <c r="E51" s="9">
        <f t="array" ref="E51">SUBTOTAL(109, TableGeneral4[Previamente Ocupado])</f>
        <v>126676</v>
      </c>
      <c r="F51" s="9">
        <f t="array" ref="F51">SUBTOTAL(109, TableGeneral4[Sub-arrendamiento])</f>
        <v>0</v>
      </c>
      <c r="G51" s="9">
        <f t="array" ref="G51">SUBTOTAL(109, TableGeneral4[Total])</f>
        <v>126676</v>
      </c>
      <c r="H51" s="10">
        <f t="array" ref="H51">IF(C51&gt;0,G51/C51,0)</f>
        <v>2.3733781492238613E-2</v>
      </c>
      <c r="I51" s="9">
        <f t="array" ref="I51">SUBTOTAL(109, TableGeneral4[Bajo Construcción])</f>
        <v>0</v>
      </c>
      <c r="J51" s="11">
        <f t="array" ref="J51">IF(ISERR(AVERAGEIF(TableGeneral4[Rentas de Salida (USD/ft²/Mes)],"&gt;0",TableGeneral4[Rentas de Salida (USD/ft²/Mes)])),0,AVERAGEIF(TableGeneral4[Rentas de Salida (USD/ft²/Mes)],"&gt;0",TableGeneral4[Rentas de Salida (USD/ft²/Mes)]))</f>
        <v>0.41637332771901608</v>
      </c>
    </row>
    <row r="53" spans="1:10" x14ac:dyDescent="0.2">
      <c r="A53" s="1" t="s">
        <v>24</v>
      </c>
    </row>
    <row r="54" spans="1:10" x14ac:dyDescent="0.2">
      <c r="A54" s="2"/>
      <c r="B54" s="14" t="s">
        <v>1</v>
      </c>
      <c r="C54" s="14"/>
      <c r="D54" s="14" t="s">
        <v>2</v>
      </c>
      <c r="E54" s="14"/>
      <c r="F54" s="14"/>
      <c r="G54" s="14"/>
      <c r="H54" s="14"/>
      <c r="I54" s="14"/>
      <c r="J54" s="14"/>
    </row>
    <row r="55" spans="1:10" x14ac:dyDescent="0.2">
      <c r="A55" t="s">
        <v>3</v>
      </c>
      <c r="B55" s="5" t="s">
        <v>4</v>
      </c>
      <c r="C55" s="5" t="s">
        <v>5</v>
      </c>
      <c r="D55" s="5" t="s">
        <v>6</v>
      </c>
      <c r="E55" s="5" t="s">
        <v>7</v>
      </c>
      <c r="F55" s="5" t="s">
        <v>8</v>
      </c>
      <c r="G55" s="5" t="s">
        <v>9</v>
      </c>
      <c r="H55" s="5" t="s">
        <v>10</v>
      </c>
      <c r="I55" s="5" t="s">
        <v>11</v>
      </c>
      <c r="J55" s="5" t="s">
        <v>12</v>
      </c>
    </row>
    <row r="56" spans="1:10" x14ac:dyDescent="0.2">
      <c r="A56" t="s">
        <v>13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7">
        <v>0</v>
      </c>
      <c r="I56" s="6">
        <v>0</v>
      </c>
      <c r="J56" s="8">
        <v>0</v>
      </c>
    </row>
    <row r="57" spans="1:10" x14ac:dyDescent="0.2">
      <c r="A57" t="s">
        <v>14</v>
      </c>
      <c r="B57" s="6">
        <v>3</v>
      </c>
      <c r="C57" s="6">
        <v>597089.84400000004</v>
      </c>
      <c r="D57" s="6">
        <v>0</v>
      </c>
      <c r="E57" s="6">
        <v>0</v>
      </c>
      <c r="F57" s="6">
        <v>0</v>
      </c>
      <c r="G57" s="6">
        <v>0</v>
      </c>
      <c r="H57" s="7">
        <v>0</v>
      </c>
      <c r="I57" s="6">
        <v>0</v>
      </c>
      <c r="J57" s="8">
        <v>0</v>
      </c>
    </row>
    <row r="58" spans="1:10" x14ac:dyDescent="0.2">
      <c r="A58" t="s">
        <v>15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7">
        <v>0</v>
      </c>
      <c r="I58" s="6">
        <v>0</v>
      </c>
      <c r="J58" s="8">
        <v>0</v>
      </c>
    </row>
    <row r="59" spans="1:10" x14ac:dyDescent="0.2">
      <c r="A59" t="s">
        <v>16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7">
        <v>0</v>
      </c>
      <c r="I59" s="6">
        <v>0</v>
      </c>
      <c r="J59" s="8">
        <v>0</v>
      </c>
    </row>
    <row r="60" spans="1:10" x14ac:dyDescent="0.2">
      <c r="A60" t="s">
        <v>17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7">
        <v>0</v>
      </c>
      <c r="I60" s="6">
        <v>0</v>
      </c>
      <c r="J60" s="8">
        <v>0</v>
      </c>
    </row>
    <row r="61" spans="1:10" x14ac:dyDescent="0.2">
      <c r="A61" t="s">
        <v>18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7">
        <v>0</v>
      </c>
      <c r="I61" s="6">
        <v>0</v>
      </c>
      <c r="J61" s="8">
        <v>0</v>
      </c>
    </row>
    <row r="62" spans="1:10" x14ac:dyDescent="0.2">
      <c r="A62" t="s">
        <v>19</v>
      </c>
      <c r="B62" s="6">
        <v>39</v>
      </c>
      <c r="C62" s="6">
        <v>3739851.44</v>
      </c>
      <c r="D62" s="6">
        <v>0</v>
      </c>
      <c r="E62" s="6">
        <v>0</v>
      </c>
      <c r="F62" s="6">
        <v>0</v>
      </c>
      <c r="G62" s="6">
        <v>0</v>
      </c>
      <c r="H62" s="7">
        <v>0</v>
      </c>
      <c r="I62" s="6">
        <v>0</v>
      </c>
      <c r="J62" s="8">
        <v>0</v>
      </c>
    </row>
    <row r="63" spans="1:10" x14ac:dyDescent="0.2">
      <c r="A63" t="s">
        <v>20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7">
        <v>0</v>
      </c>
      <c r="I63" s="6">
        <v>0</v>
      </c>
      <c r="J63" s="8">
        <v>0</v>
      </c>
    </row>
    <row r="64" spans="1:10" x14ac:dyDescent="0.2">
      <c r="A64" s="3" t="s">
        <v>9</v>
      </c>
      <c r="B64" s="9">
        <f t="array" ref="B64">SUBTOTAL(109, TableGeneral5[Edificios])</f>
        <v>42</v>
      </c>
      <c r="C64" s="9">
        <f t="array" ref="C64">SUBTOTAL(109, TableGeneral5[ft²])</f>
        <v>4336941.284</v>
      </c>
      <c r="D64" s="9">
        <f t="array" ref="D64">SUBTOTAL(109, TableGeneral5[Inventario Nuevo])</f>
        <v>0</v>
      </c>
      <c r="E64" s="9">
        <f t="array" ref="E64">SUBTOTAL(109, TableGeneral5[Previamente Ocupado])</f>
        <v>0</v>
      </c>
      <c r="F64" s="9">
        <f t="array" ref="F64">SUBTOTAL(109, TableGeneral5[Sub-arrendamiento])</f>
        <v>0</v>
      </c>
      <c r="G64" s="9">
        <f t="array" ref="G64">SUBTOTAL(109, TableGeneral5[Total])</f>
        <v>0</v>
      </c>
      <c r="H64" s="10">
        <f t="array" ref="H64">IF(C64&gt;0,G64/C64,0)</f>
        <v>0</v>
      </c>
      <c r="I64" s="9">
        <f t="array" ref="I64">SUBTOTAL(109, TableGeneral5[Bajo Construcción])</f>
        <v>0</v>
      </c>
      <c r="J64" s="11">
        <f t="array" ref="J64">IF(ISERR(AVERAGEIF(TableGeneral5[Rentas de Salida (USD/ft²/Mes)],"&gt;0",TableGeneral5[Rentas de Salida (USD/ft²/Mes)])),0,AVERAGEIF(TableGeneral5[Rentas de Salida (USD/ft²/Mes)],"&gt;0",TableGeneral5[Rentas de Salida (USD/ft²/Mes)]))</f>
        <v>0</v>
      </c>
    </row>
  </sheetData>
  <mergeCells count="15">
    <mergeCell ref="B2:C2"/>
    <mergeCell ref="D2:H2"/>
    <mergeCell ref="I2:J2"/>
    <mergeCell ref="B15:C15"/>
    <mergeCell ref="D15:H15"/>
    <mergeCell ref="I15:J15"/>
    <mergeCell ref="B54:C54"/>
    <mergeCell ref="D54:H54"/>
    <mergeCell ref="I54:J54"/>
    <mergeCell ref="B28:C28"/>
    <mergeCell ref="D28:H28"/>
    <mergeCell ref="I28:J28"/>
    <mergeCell ref="B41:C41"/>
    <mergeCell ref="D41:H41"/>
    <mergeCell ref="I41:J41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9"/>
  <sheetViews>
    <sheetView showGridLines="0" workbookViewId="0">
      <selection activeCell="C30" sqref="C30"/>
    </sheetView>
  </sheetViews>
  <sheetFormatPr baseColWidth="10" defaultColWidth="8.83203125" defaultRowHeight="15" x14ac:dyDescent="0.2"/>
  <cols>
    <col min="1" max="1" width="30.6640625" customWidth="1"/>
    <col min="2" max="2" width="20.6640625" style="5" customWidth="1"/>
    <col min="3" max="3" width="30.6640625" style="5" customWidth="1"/>
    <col min="4" max="7" width="20.6640625" style="5" customWidth="1"/>
  </cols>
  <sheetData>
    <row r="1" spans="1:7" x14ac:dyDescent="0.2">
      <c r="A1" s="1" t="s">
        <v>0</v>
      </c>
    </row>
    <row r="2" spans="1:7" x14ac:dyDescent="0.2">
      <c r="A2" t="s">
        <v>3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</row>
    <row r="3" spans="1:7" x14ac:dyDescent="0.2">
      <c r="A3" t="s">
        <v>13</v>
      </c>
      <c r="B3" s="6">
        <v>0</v>
      </c>
      <c r="C3" s="6">
        <v>0</v>
      </c>
      <c r="D3" s="6">
        <v>130050</v>
      </c>
      <c r="E3" s="6">
        <v>17696</v>
      </c>
      <c r="F3" s="6">
        <v>147746</v>
      </c>
      <c r="G3" s="6">
        <v>147746</v>
      </c>
    </row>
    <row r="4" spans="1:7" x14ac:dyDescent="0.2">
      <c r="A4" t="s">
        <v>14</v>
      </c>
      <c r="B4" s="6">
        <v>71086</v>
      </c>
      <c r="C4" s="6">
        <v>196361</v>
      </c>
      <c r="D4" s="6">
        <v>89997</v>
      </c>
      <c r="E4" s="6">
        <v>43500</v>
      </c>
      <c r="F4" s="6">
        <v>400944</v>
      </c>
      <c r="G4" s="6">
        <v>329858</v>
      </c>
    </row>
    <row r="5" spans="1:7" x14ac:dyDescent="0.2">
      <c r="A5" t="s">
        <v>15</v>
      </c>
      <c r="B5" s="6">
        <v>0</v>
      </c>
      <c r="C5" s="6">
        <v>0</v>
      </c>
      <c r="D5" s="6">
        <v>117196</v>
      </c>
      <c r="E5" s="6">
        <v>0</v>
      </c>
      <c r="F5" s="6">
        <v>117196</v>
      </c>
      <c r="G5" s="6">
        <v>117196</v>
      </c>
    </row>
    <row r="6" spans="1:7" x14ac:dyDescent="0.2">
      <c r="A6" t="s">
        <v>16</v>
      </c>
      <c r="B6" s="6">
        <v>0</v>
      </c>
      <c r="C6" s="6">
        <v>0</v>
      </c>
      <c r="D6" s="6">
        <v>0</v>
      </c>
      <c r="E6" s="6">
        <v>110234</v>
      </c>
      <c r="F6" s="6">
        <v>110234</v>
      </c>
      <c r="G6" s="6">
        <v>110234</v>
      </c>
    </row>
    <row r="7" spans="1:7" x14ac:dyDescent="0.2">
      <c r="A7" t="s">
        <v>17</v>
      </c>
      <c r="B7" s="6">
        <v>0</v>
      </c>
      <c r="C7" s="6">
        <v>0</v>
      </c>
      <c r="D7" s="6">
        <v>489372</v>
      </c>
      <c r="E7" s="6">
        <v>37878</v>
      </c>
      <c r="F7" s="6">
        <v>527250</v>
      </c>
      <c r="G7" s="6">
        <v>527250</v>
      </c>
    </row>
    <row r="8" spans="1:7" x14ac:dyDescent="0.2">
      <c r="A8" t="s">
        <v>18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2">
      <c r="A9" t="s">
        <v>19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x14ac:dyDescent="0.2">
      <c r="A10" t="s">
        <v>20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x14ac:dyDescent="0.2">
      <c r="A11" s="3" t="s">
        <v>9</v>
      </c>
      <c r="B11" s="9">
        <f t="array" ref="B11">SUBTOTAL(109, TableAbsorption1[Reubicaciones Totales])</f>
        <v>71086</v>
      </c>
      <c r="C11" s="9">
        <f t="array" ref="C11">SUBTOTAL(109, TableAbsorption1[Crecimiento por Reubicaciones])</f>
        <v>196361</v>
      </c>
      <c r="D11" s="9">
        <f t="array" ref="D11">SUBTOTAL(109, TableAbsorption1[Expansiones])</f>
        <v>826615</v>
      </c>
      <c r="E11" s="9">
        <f t="array" ref="E11">SUBTOTAL(109, TableAbsorption1[Operaciones Nuevas])</f>
        <v>209308</v>
      </c>
      <c r="F11" s="9">
        <f t="array" ref="F11">SUBTOTAL(109, TableAbsorption1[Absorción Bruta])</f>
        <v>1303370</v>
      </c>
      <c r="G11" s="9">
        <f t="array" ref="G11">SUBTOTAL(109, TableAbsorption1[Absorción Neta])</f>
        <v>1232284</v>
      </c>
    </row>
    <row r="13" spans="1:7" x14ac:dyDescent="0.2">
      <c r="A13" s="1" t="s">
        <v>21</v>
      </c>
    </row>
    <row r="14" spans="1:7" x14ac:dyDescent="0.2">
      <c r="A14" t="s">
        <v>3</v>
      </c>
      <c r="B14" s="5" t="s">
        <v>25</v>
      </c>
      <c r="C14" s="5" t="s">
        <v>26</v>
      </c>
      <c r="D14" s="5" t="s">
        <v>27</v>
      </c>
      <c r="E14" s="5" t="s">
        <v>28</v>
      </c>
      <c r="F14" s="5" t="s">
        <v>29</v>
      </c>
      <c r="G14" s="5" t="s">
        <v>30</v>
      </c>
    </row>
    <row r="15" spans="1:7" x14ac:dyDescent="0.2">
      <c r="A15" t="s">
        <v>13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</row>
    <row r="16" spans="1:7" x14ac:dyDescent="0.2">
      <c r="A16" t="s">
        <v>14</v>
      </c>
      <c r="B16" s="6">
        <v>71086</v>
      </c>
      <c r="C16" s="6">
        <v>196361</v>
      </c>
      <c r="D16" s="6">
        <v>89997</v>
      </c>
      <c r="E16" s="6">
        <v>43500</v>
      </c>
      <c r="F16" s="6">
        <v>400944</v>
      </c>
      <c r="G16" s="6">
        <v>329858</v>
      </c>
    </row>
    <row r="17" spans="1:7" x14ac:dyDescent="0.2">
      <c r="A17" t="s">
        <v>15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r="18" spans="1:7" x14ac:dyDescent="0.2">
      <c r="A18" t="s">
        <v>16</v>
      </c>
      <c r="B18" s="6">
        <v>0</v>
      </c>
      <c r="C18" s="6">
        <v>0</v>
      </c>
      <c r="D18" s="6">
        <v>0</v>
      </c>
      <c r="E18" s="6">
        <v>61000</v>
      </c>
      <c r="F18" s="6">
        <v>61000</v>
      </c>
      <c r="G18" s="6">
        <v>61000</v>
      </c>
    </row>
    <row r="19" spans="1:7" x14ac:dyDescent="0.2">
      <c r="A19" t="s">
        <v>17</v>
      </c>
      <c r="B19" s="6">
        <v>0</v>
      </c>
      <c r="C19" s="6">
        <v>0</v>
      </c>
      <c r="D19" s="6">
        <v>135000</v>
      </c>
      <c r="E19" s="6">
        <v>0</v>
      </c>
      <c r="F19" s="6">
        <v>135000</v>
      </c>
      <c r="G19" s="6">
        <v>135000</v>
      </c>
    </row>
    <row r="20" spans="1:7" x14ac:dyDescent="0.2">
      <c r="A20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</row>
    <row r="21" spans="1:7" x14ac:dyDescent="0.2">
      <c r="A21" t="s">
        <v>19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spans="1:7" x14ac:dyDescent="0.2">
      <c r="A22" t="s">
        <v>20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</row>
    <row r="23" spans="1:7" x14ac:dyDescent="0.2">
      <c r="A23" s="3" t="s">
        <v>9</v>
      </c>
      <c r="B23" s="9">
        <f t="array" ref="B23">SUBTOTAL(109, TableAbsorption2[Reubicaciones Totales])</f>
        <v>71086</v>
      </c>
      <c r="C23" s="9">
        <f t="array" ref="C23">SUBTOTAL(109, TableAbsorption2[Crecimiento por Reubicaciones])</f>
        <v>196361</v>
      </c>
      <c r="D23" s="9">
        <f t="array" ref="D23">SUBTOTAL(109, TableAbsorption2[Expansiones])</f>
        <v>224997</v>
      </c>
      <c r="E23" s="9">
        <f t="array" ref="E23">SUBTOTAL(109, TableAbsorption2[Operaciones Nuevas])</f>
        <v>104500</v>
      </c>
      <c r="F23" s="9">
        <f t="array" ref="F23">SUBTOTAL(109, TableAbsorption2[Absorción Bruta])</f>
        <v>596944</v>
      </c>
      <c r="G23" s="9">
        <f t="array" ref="G23">SUBTOTAL(109, TableAbsorption2[Absorción Neta])</f>
        <v>525858</v>
      </c>
    </row>
    <row r="25" spans="1:7" x14ac:dyDescent="0.2">
      <c r="A25" s="1" t="s">
        <v>22</v>
      </c>
    </row>
    <row r="26" spans="1:7" x14ac:dyDescent="0.2">
      <c r="A26" t="s">
        <v>3</v>
      </c>
      <c r="B26" s="5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</row>
    <row r="27" spans="1:7" x14ac:dyDescent="0.2">
      <c r="A27" t="s">
        <v>13</v>
      </c>
      <c r="B27" s="6">
        <v>0</v>
      </c>
      <c r="C27" s="6">
        <v>0</v>
      </c>
      <c r="D27" s="6">
        <v>130050</v>
      </c>
      <c r="E27" s="6">
        <v>17696</v>
      </c>
      <c r="F27" s="6">
        <v>147746</v>
      </c>
      <c r="G27" s="6">
        <v>147746</v>
      </c>
    </row>
    <row r="28" spans="1:7" x14ac:dyDescent="0.2">
      <c r="A28" t="s">
        <v>14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 x14ac:dyDescent="0.2">
      <c r="A29" t="s">
        <v>15</v>
      </c>
      <c r="B29" s="6">
        <v>0</v>
      </c>
      <c r="C29" s="6">
        <v>0</v>
      </c>
      <c r="D29" s="6">
        <v>117196</v>
      </c>
      <c r="E29" s="6">
        <v>0</v>
      </c>
      <c r="F29" s="6">
        <v>117196</v>
      </c>
      <c r="G29" s="6">
        <v>117196</v>
      </c>
    </row>
    <row r="30" spans="1:7" x14ac:dyDescent="0.2">
      <c r="A30" t="s">
        <v>16</v>
      </c>
      <c r="B30" s="6">
        <v>0</v>
      </c>
      <c r="C30" s="6">
        <v>0</v>
      </c>
      <c r="D30" s="6">
        <v>0</v>
      </c>
      <c r="E30" s="6">
        <v>49234</v>
      </c>
      <c r="F30" s="6">
        <v>49234</v>
      </c>
      <c r="G30" s="6">
        <v>49234</v>
      </c>
    </row>
    <row r="31" spans="1:7" x14ac:dyDescent="0.2">
      <c r="A31" t="s">
        <v>17</v>
      </c>
      <c r="B31" s="6">
        <v>0</v>
      </c>
      <c r="C31" s="6">
        <v>0</v>
      </c>
      <c r="D31" s="6">
        <v>292963</v>
      </c>
      <c r="E31" s="6">
        <v>37878</v>
      </c>
      <c r="F31" s="6">
        <v>330841</v>
      </c>
      <c r="G31" s="6">
        <v>330841</v>
      </c>
    </row>
    <row r="32" spans="1:7" x14ac:dyDescent="0.2">
      <c r="A32" t="s">
        <v>18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</row>
    <row r="33" spans="1:7" x14ac:dyDescent="0.2">
      <c r="A33" t="s">
        <v>19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</row>
    <row r="34" spans="1:7" x14ac:dyDescent="0.2">
      <c r="A34" t="s">
        <v>20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</row>
    <row r="35" spans="1:7" x14ac:dyDescent="0.2">
      <c r="A35" s="3" t="s">
        <v>9</v>
      </c>
      <c r="B35" s="9">
        <f t="array" ref="B35">SUBTOTAL(109, TableAbsorption3[Reubicaciones Totales])</f>
        <v>0</v>
      </c>
      <c r="C35" s="9">
        <f t="array" ref="C35">SUBTOTAL(109, TableAbsorption3[Crecimiento por Reubicaciones])</f>
        <v>0</v>
      </c>
      <c r="D35" s="9">
        <f t="array" ref="D35">SUBTOTAL(109, TableAbsorption3[Expansiones])</f>
        <v>540209</v>
      </c>
      <c r="E35" s="9">
        <f t="array" ref="E35">SUBTOTAL(109, TableAbsorption3[Operaciones Nuevas])</f>
        <v>104808</v>
      </c>
      <c r="F35" s="9">
        <f t="array" ref="F35">SUBTOTAL(109, TableAbsorption3[Absorción Bruta])</f>
        <v>645017</v>
      </c>
      <c r="G35" s="9">
        <f t="array" ref="G35">SUBTOTAL(109, TableAbsorption3[Absorción Neta])</f>
        <v>645017</v>
      </c>
    </row>
    <row r="37" spans="1:7" x14ac:dyDescent="0.2">
      <c r="A37" s="1" t="s">
        <v>23</v>
      </c>
    </row>
    <row r="38" spans="1:7" x14ac:dyDescent="0.2">
      <c r="A38" t="s">
        <v>3</v>
      </c>
      <c r="B38" s="5" t="s">
        <v>25</v>
      </c>
      <c r="C38" s="5" t="s">
        <v>26</v>
      </c>
      <c r="D38" s="5" t="s">
        <v>27</v>
      </c>
      <c r="E38" s="5" t="s">
        <v>28</v>
      </c>
      <c r="F38" s="5" t="s">
        <v>29</v>
      </c>
      <c r="G38" s="5" t="s">
        <v>30</v>
      </c>
    </row>
    <row r="39" spans="1:7" x14ac:dyDescent="0.2">
      <c r="A39" t="s">
        <v>13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</row>
    <row r="40" spans="1:7" x14ac:dyDescent="0.2">
      <c r="A40" t="s">
        <v>14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</row>
    <row r="41" spans="1:7" x14ac:dyDescent="0.2">
      <c r="A41" t="s">
        <v>15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</row>
    <row r="42" spans="1:7" x14ac:dyDescent="0.2">
      <c r="A42" t="s">
        <v>16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</row>
    <row r="43" spans="1:7" x14ac:dyDescent="0.2">
      <c r="A43" t="s">
        <v>17</v>
      </c>
      <c r="B43" s="6">
        <v>0</v>
      </c>
      <c r="C43" s="6">
        <v>0</v>
      </c>
      <c r="D43" s="6">
        <v>61409</v>
      </c>
      <c r="E43" s="6">
        <v>0</v>
      </c>
      <c r="F43" s="6">
        <v>61409</v>
      </c>
      <c r="G43" s="6">
        <v>61409</v>
      </c>
    </row>
    <row r="44" spans="1:7" x14ac:dyDescent="0.2">
      <c r="A44" t="s">
        <v>18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</row>
    <row r="45" spans="1:7" x14ac:dyDescent="0.2">
      <c r="A45" t="s">
        <v>19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</row>
    <row r="46" spans="1:7" x14ac:dyDescent="0.2">
      <c r="A46" t="s">
        <v>20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</row>
    <row r="47" spans="1:7" x14ac:dyDescent="0.2">
      <c r="A47" s="3" t="s">
        <v>9</v>
      </c>
      <c r="B47" s="9">
        <f t="array" ref="B47">SUBTOTAL(109, TableAbsorption4[Reubicaciones Totales])</f>
        <v>0</v>
      </c>
      <c r="C47" s="9">
        <f t="array" ref="C47">SUBTOTAL(109, TableAbsorption4[Crecimiento por Reubicaciones])</f>
        <v>0</v>
      </c>
      <c r="D47" s="9">
        <f t="array" ref="D47">SUBTOTAL(109, TableAbsorption4[Expansiones])</f>
        <v>61409</v>
      </c>
      <c r="E47" s="9">
        <f t="array" ref="E47">SUBTOTAL(109, TableAbsorption4[Operaciones Nuevas])</f>
        <v>0</v>
      </c>
      <c r="F47" s="9">
        <f t="array" ref="F47">SUBTOTAL(109, TableAbsorption4[Absorción Bruta])</f>
        <v>61409</v>
      </c>
      <c r="G47" s="9">
        <f t="array" ref="G47">SUBTOTAL(109, TableAbsorption4[Absorción Neta])</f>
        <v>61409</v>
      </c>
    </row>
    <row r="49" spans="1:7" x14ac:dyDescent="0.2">
      <c r="A49" s="1" t="s">
        <v>24</v>
      </c>
    </row>
    <row r="50" spans="1:7" x14ac:dyDescent="0.2">
      <c r="A50" t="s">
        <v>3</v>
      </c>
      <c r="B50" s="5" t="s">
        <v>25</v>
      </c>
      <c r="C50" s="5" t="s">
        <v>26</v>
      </c>
      <c r="D50" s="5" t="s">
        <v>27</v>
      </c>
      <c r="E50" s="5" t="s">
        <v>28</v>
      </c>
      <c r="F50" s="5" t="s">
        <v>29</v>
      </c>
      <c r="G50" s="5" t="s">
        <v>30</v>
      </c>
    </row>
    <row r="51" spans="1:7" x14ac:dyDescent="0.2">
      <c r="A51" t="s">
        <v>13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</row>
    <row r="52" spans="1:7" x14ac:dyDescent="0.2">
      <c r="A52" t="s">
        <v>14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</row>
    <row r="53" spans="1:7" x14ac:dyDescent="0.2">
      <c r="A53" t="s">
        <v>15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</row>
    <row r="54" spans="1:7" x14ac:dyDescent="0.2">
      <c r="A54" t="s">
        <v>16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</row>
    <row r="55" spans="1:7" x14ac:dyDescent="0.2">
      <c r="A55" t="s">
        <v>17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</row>
    <row r="56" spans="1:7" x14ac:dyDescent="0.2">
      <c r="A56" t="s">
        <v>18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</row>
    <row r="57" spans="1:7" x14ac:dyDescent="0.2">
      <c r="A57" t="s">
        <v>19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</row>
    <row r="58" spans="1:7" x14ac:dyDescent="0.2">
      <c r="A58" t="s">
        <v>20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</row>
    <row r="59" spans="1:7" x14ac:dyDescent="0.2">
      <c r="A59" s="3" t="s">
        <v>9</v>
      </c>
      <c r="B59" s="9">
        <f t="array" ref="B59">SUBTOTAL(109, TableAbsorption5[Reubicaciones Totales])</f>
        <v>0</v>
      </c>
      <c r="C59" s="9">
        <f t="array" ref="C59">SUBTOTAL(109, TableAbsorption5[Crecimiento por Reubicaciones])</f>
        <v>0</v>
      </c>
      <c r="D59" s="9">
        <f t="array" ref="D59">SUBTOTAL(109, TableAbsorption5[Expansiones])</f>
        <v>0</v>
      </c>
      <c r="E59" s="9">
        <f t="array" ref="E59">SUBTOTAL(109, TableAbsorption5[Operaciones Nuevas])</f>
        <v>0</v>
      </c>
      <c r="F59" s="9">
        <f t="array" ref="F59">SUBTOTAL(109, TableAbsorption5[Absorción Bruta])</f>
        <v>0</v>
      </c>
      <c r="G59" s="9">
        <f t="array" ref="G59">SUBTOTAL(109, TableAbsorption5[Absorción Neta])</f>
        <v>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9"/>
  <sheetViews>
    <sheetView showGridLines="0" workbookViewId="0">
      <selection activeCell="C18" sqref="C18"/>
    </sheetView>
  </sheetViews>
  <sheetFormatPr baseColWidth="10" defaultColWidth="8.83203125" defaultRowHeight="15" x14ac:dyDescent="0.2"/>
  <cols>
    <col min="1" max="1" width="30.6640625" customWidth="1"/>
    <col min="2" max="2" width="20.6640625" style="5" customWidth="1"/>
    <col min="3" max="3" width="30.6640625" style="5" customWidth="1"/>
    <col min="4" max="7" width="20.6640625" style="5" customWidth="1"/>
  </cols>
  <sheetData>
    <row r="1" spans="1:7" x14ac:dyDescent="0.2">
      <c r="A1" s="1" t="s">
        <v>0</v>
      </c>
    </row>
    <row r="2" spans="1:7" x14ac:dyDescent="0.2">
      <c r="A2" t="s">
        <v>3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</row>
    <row r="3" spans="1:7" x14ac:dyDescent="0.2">
      <c r="A3" t="s">
        <v>13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x14ac:dyDescent="0.2">
      <c r="A4" t="s">
        <v>14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</row>
    <row r="5" spans="1:7" x14ac:dyDescent="0.2">
      <c r="A5" t="s">
        <v>15</v>
      </c>
      <c r="B5" s="6">
        <v>0</v>
      </c>
      <c r="C5" s="6">
        <v>0</v>
      </c>
      <c r="D5" s="6">
        <v>63903</v>
      </c>
      <c r="E5" s="6">
        <v>0</v>
      </c>
      <c r="F5" s="6">
        <v>63903</v>
      </c>
      <c r="G5" s="6">
        <v>63903</v>
      </c>
    </row>
    <row r="6" spans="1:7" x14ac:dyDescent="0.2">
      <c r="A6" t="s">
        <v>16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x14ac:dyDescent="0.2">
      <c r="A7" t="s">
        <v>17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x14ac:dyDescent="0.2">
      <c r="A8" t="s">
        <v>18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2">
      <c r="A9" t="s">
        <v>19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x14ac:dyDescent="0.2">
      <c r="A10" t="s">
        <v>20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x14ac:dyDescent="0.2">
      <c r="A11" s="3" t="s">
        <v>9</v>
      </c>
      <c r="B11" s="9">
        <f t="array" ref="B11">SUBTOTAL(109, TableQuarterAbsorption1[Reubicaciones Totales])</f>
        <v>0</v>
      </c>
      <c r="C11" s="9">
        <f t="array" ref="C11">SUBTOTAL(109, TableQuarterAbsorption1[Crecimiento por Reubicaciones])</f>
        <v>0</v>
      </c>
      <c r="D11" s="9">
        <f t="array" ref="D11">SUBTOTAL(109, TableQuarterAbsorption1[Expansiones])</f>
        <v>63903</v>
      </c>
      <c r="E11" s="9">
        <f t="array" ref="E11">SUBTOTAL(109, TableQuarterAbsorption1[Operaciones Nuevas])</f>
        <v>0</v>
      </c>
      <c r="F11" s="9">
        <f t="array" ref="F11">SUBTOTAL(109, TableQuarterAbsorption1[Absorción Bruta])</f>
        <v>63903</v>
      </c>
      <c r="G11" s="9">
        <f t="array" ref="G11">SUBTOTAL(109, TableQuarterAbsorption1[Absorción Neta])</f>
        <v>63903</v>
      </c>
    </row>
    <row r="13" spans="1:7" x14ac:dyDescent="0.2">
      <c r="A13" s="1" t="s">
        <v>21</v>
      </c>
    </row>
    <row r="14" spans="1:7" x14ac:dyDescent="0.2">
      <c r="A14" t="s">
        <v>3</v>
      </c>
      <c r="B14" s="5" t="s">
        <v>25</v>
      </c>
      <c r="C14" s="5" t="s">
        <v>26</v>
      </c>
      <c r="D14" s="5" t="s">
        <v>27</v>
      </c>
      <c r="E14" s="5" t="s">
        <v>28</v>
      </c>
      <c r="F14" s="5" t="s">
        <v>29</v>
      </c>
      <c r="G14" s="5" t="s">
        <v>30</v>
      </c>
    </row>
    <row r="15" spans="1:7" x14ac:dyDescent="0.2">
      <c r="A15" t="s">
        <v>13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</row>
    <row r="16" spans="1:7" x14ac:dyDescent="0.2">
      <c r="A16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</row>
    <row r="17" spans="1:7" x14ac:dyDescent="0.2">
      <c r="A17" t="s">
        <v>15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r="18" spans="1:7" x14ac:dyDescent="0.2">
      <c r="A18" t="s">
        <v>16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</row>
    <row r="19" spans="1:7" x14ac:dyDescent="0.2">
      <c r="A19" t="s">
        <v>17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</row>
    <row r="20" spans="1:7" x14ac:dyDescent="0.2">
      <c r="A20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</row>
    <row r="21" spans="1:7" x14ac:dyDescent="0.2">
      <c r="A21" t="s">
        <v>19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spans="1:7" x14ac:dyDescent="0.2">
      <c r="A22" t="s">
        <v>20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</row>
    <row r="23" spans="1:7" x14ac:dyDescent="0.2">
      <c r="A23" s="3" t="s">
        <v>9</v>
      </c>
      <c r="B23" s="9">
        <f t="array" ref="B23">SUBTOTAL(109, TableQuarterAbsorption2[Reubicaciones Totales])</f>
        <v>0</v>
      </c>
      <c r="C23" s="9">
        <f t="array" ref="C23">SUBTOTAL(109, TableQuarterAbsorption2[Crecimiento por Reubicaciones])</f>
        <v>0</v>
      </c>
      <c r="D23" s="9">
        <f t="array" ref="D23">SUBTOTAL(109, TableQuarterAbsorption2[Expansiones])</f>
        <v>0</v>
      </c>
      <c r="E23" s="9">
        <f t="array" ref="E23">SUBTOTAL(109, TableQuarterAbsorption2[Operaciones Nuevas])</f>
        <v>0</v>
      </c>
      <c r="F23" s="9">
        <f t="array" ref="F23">SUBTOTAL(109, TableQuarterAbsorption2[Absorción Bruta])</f>
        <v>0</v>
      </c>
      <c r="G23" s="9">
        <f t="array" ref="G23">SUBTOTAL(109, TableQuarterAbsorption2[Absorción Neta])</f>
        <v>0</v>
      </c>
    </row>
    <row r="25" spans="1:7" x14ac:dyDescent="0.2">
      <c r="A25" s="1" t="s">
        <v>22</v>
      </c>
    </row>
    <row r="26" spans="1:7" x14ac:dyDescent="0.2">
      <c r="A26" t="s">
        <v>3</v>
      </c>
      <c r="B26" s="5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</row>
    <row r="27" spans="1:7" x14ac:dyDescent="0.2">
      <c r="A27" t="s">
        <v>13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</row>
    <row r="28" spans="1:7" x14ac:dyDescent="0.2">
      <c r="A28" t="s">
        <v>14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 x14ac:dyDescent="0.2">
      <c r="A29" t="s">
        <v>15</v>
      </c>
      <c r="B29" s="6">
        <v>0</v>
      </c>
      <c r="C29" s="6">
        <v>0</v>
      </c>
      <c r="D29" s="6">
        <v>63903</v>
      </c>
      <c r="E29" s="6">
        <v>0</v>
      </c>
      <c r="F29" s="6">
        <v>63903</v>
      </c>
      <c r="G29" s="6">
        <v>63903</v>
      </c>
    </row>
    <row r="30" spans="1:7" x14ac:dyDescent="0.2">
      <c r="A30" t="s">
        <v>16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</row>
    <row r="31" spans="1:7" x14ac:dyDescent="0.2">
      <c r="A31" t="s">
        <v>17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</row>
    <row r="32" spans="1:7" x14ac:dyDescent="0.2">
      <c r="A32" t="s">
        <v>18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</row>
    <row r="33" spans="1:7" x14ac:dyDescent="0.2">
      <c r="A33" t="s">
        <v>19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</row>
    <row r="34" spans="1:7" x14ac:dyDescent="0.2">
      <c r="A34" t="s">
        <v>20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</row>
    <row r="35" spans="1:7" x14ac:dyDescent="0.2">
      <c r="A35" s="3" t="s">
        <v>9</v>
      </c>
      <c r="B35" s="9">
        <f t="array" ref="B35">SUBTOTAL(109, TableQuarterAbsorption3[Reubicaciones Totales])</f>
        <v>0</v>
      </c>
      <c r="C35" s="9">
        <f t="array" ref="C35">SUBTOTAL(109, TableQuarterAbsorption3[Crecimiento por Reubicaciones])</f>
        <v>0</v>
      </c>
      <c r="D35" s="9">
        <f t="array" ref="D35">SUBTOTAL(109, TableQuarterAbsorption3[Expansiones])</f>
        <v>63903</v>
      </c>
      <c r="E35" s="9">
        <f t="array" ref="E35">SUBTOTAL(109, TableQuarterAbsorption3[Operaciones Nuevas])</f>
        <v>0</v>
      </c>
      <c r="F35" s="9">
        <f t="array" ref="F35">SUBTOTAL(109, TableQuarterAbsorption3[Absorción Bruta])</f>
        <v>63903</v>
      </c>
      <c r="G35" s="9">
        <f t="array" ref="G35">SUBTOTAL(109, TableQuarterAbsorption3[Absorción Neta])</f>
        <v>63903</v>
      </c>
    </row>
    <row r="37" spans="1:7" x14ac:dyDescent="0.2">
      <c r="A37" s="1" t="s">
        <v>23</v>
      </c>
    </row>
    <row r="38" spans="1:7" x14ac:dyDescent="0.2">
      <c r="A38" t="s">
        <v>3</v>
      </c>
      <c r="B38" s="5" t="s">
        <v>25</v>
      </c>
      <c r="C38" s="5" t="s">
        <v>26</v>
      </c>
      <c r="D38" s="5" t="s">
        <v>27</v>
      </c>
      <c r="E38" s="5" t="s">
        <v>28</v>
      </c>
      <c r="F38" s="5" t="s">
        <v>29</v>
      </c>
      <c r="G38" s="5" t="s">
        <v>30</v>
      </c>
    </row>
    <row r="39" spans="1:7" x14ac:dyDescent="0.2">
      <c r="A39" t="s">
        <v>13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</row>
    <row r="40" spans="1:7" x14ac:dyDescent="0.2">
      <c r="A40" t="s">
        <v>14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</row>
    <row r="41" spans="1:7" x14ac:dyDescent="0.2">
      <c r="A41" t="s">
        <v>15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</row>
    <row r="42" spans="1:7" x14ac:dyDescent="0.2">
      <c r="A42" t="s">
        <v>16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</row>
    <row r="43" spans="1:7" x14ac:dyDescent="0.2">
      <c r="A43" t="s">
        <v>17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</row>
    <row r="44" spans="1:7" x14ac:dyDescent="0.2">
      <c r="A44" t="s">
        <v>18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</row>
    <row r="45" spans="1:7" x14ac:dyDescent="0.2">
      <c r="A45" t="s">
        <v>19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</row>
    <row r="46" spans="1:7" x14ac:dyDescent="0.2">
      <c r="A46" t="s">
        <v>20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</row>
    <row r="47" spans="1:7" x14ac:dyDescent="0.2">
      <c r="A47" s="3" t="s">
        <v>9</v>
      </c>
      <c r="B47" s="9">
        <f t="array" ref="B47">SUBTOTAL(109, TableQuarterAbsorption4[Reubicaciones Totales])</f>
        <v>0</v>
      </c>
      <c r="C47" s="9">
        <f t="array" ref="C47">SUBTOTAL(109, TableQuarterAbsorption4[Crecimiento por Reubicaciones])</f>
        <v>0</v>
      </c>
      <c r="D47" s="9">
        <f t="array" ref="D47">SUBTOTAL(109, TableQuarterAbsorption4[Expansiones])</f>
        <v>0</v>
      </c>
      <c r="E47" s="9">
        <f t="array" ref="E47">SUBTOTAL(109, TableQuarterAbsorption4[Operaciones Nuevas])</f>
        <v>0</v>
      </c>
      <c r="F47" s="9">
        <f t="array" ref="F47">SUBTOTAL(109, TableQuarterAbsorption4[Absorción Bruta])</f>
        <v>0</v>
      </c>
      <c r="G47" s="9">
        <f t="array" ref="G47">SUBTOTAL(109, TableQuarterAbsorption4[Absorción Neta])</f>
        <v>0</v>
      </c>
    </row>
    <row r="49" spans="1:7" x14ac:dyDescent="0.2">
      <c r="A49" s="1" t="s">
        <v>24</v>
      </c>
    </row>
    <row r="50" spans="1:7" x14ac:dyDescent="0.2">
      <c r="A50" t="s">
        <v>3</v>
      </c>
      <c r="B50" s="5" t="s">
        <v>25</v>
      </c>
      <c r="C50" s="5" t="s">
        <v>26</v>
      </c>
      <c r="D50" s="5" t="s">
        <v>27</v>
      </c>
      <c r="E50" s="5" t="s">
        <v>28</v>
      </c>
      <c r="F50" s="5" t="s">
        <v>29</v>
      </c>
      <c r="G50" s="5" t="s">
        <v>30</v>
      </c>
    </row>
    <row r="51" spans="1:7" x14ac:dyDescent="0.2">
      <c r="A51" t="s">
        <v>13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</row>
    <row r="52" spans="1:7" x14ac:dyDescent="0.2">
      <c r="A52" t="s">
        <v>14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</row>
    <row r="53" spans="1:7" x14ac:dyDescent="0.2">
      <c r="A53" t="s">
        <v>15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</row>
    <row r="54" spans="1:7" x14ac:dyDescent="0.2">
      <c r="A54" t="s">
        <v>16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</row>
    <row r="55" spans="1:7" x14ac:dyDescent="0.2">
      <c r="A55" t="s">
        <v>17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</row>
    <row r="56" spans="1:7" x14ac:dyDescent="0.2">
      <c r="A56" t="s">
        <v>18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</row>
    <row r="57" spans="1:7" x14ac:dyDescent="0.2">
      <c r="A57" t="s">
        <v>19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</row>
    <row r="58" spans="1:7" x14ac:dyDescent="0.2">
      <c r="A58" t="s">
        <v>20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</row>
    <row r="59" spans="1:7" x14ac:dyDescent="0.2">
      <c r="A59" s="3" t="s">
        <v>9</v>
      </c>
      <c r="B59" s="9">
        <f t="array" ref="B59">SUBTOTAL(109, TableQuarterAbsorption5[Reubicaciones Totales])</f>
        <v>0</v>
      </c>
      <c r="C59" s="9">
        <f t="array" ref="C59">SUBTOTAL(109, TableQuarterAbsorption5[Crecimiento por Reubicaciones])</f>
        <v>0</v>
      </c>
      <c r="D59" s="9">
        <f t="array" ref="D59">SUBTOTAL(109, TableQuarterAbsorption5[Expansiones])</f>
        <v>0</v>
      </c>
      <c r="E59" s="9">
        <f t="array" ref="E59">SUBTOTAL(109, TableQuarterAbsorption5[Operaciones Nuevas])</f>
        <v>0</v>
      </c>
      <c r="F59" s="9">
        <f t="array" ref="F59">SUBTOTAL(109, TableQuarterAbsorption5[Absorción Bruta])</f>
        <v>0</v>
      </c>
      <c r="G59" s="9">
        <f t="array" ref="G59">SUBTOTAL(109, TableQuarterAbsorption5[Absorción Neta])</f>
        <v>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3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32" sqref="Q32"/>
    </sheetView>
  </sheetViews>
  <sheetFormatPr baseColWidth="10" defaultColWidth="8.83203125" defaultRowHeight="15" x14ac:dyDescent="0.2"/>
  <cols>
    <col min="1" max="5" width="30.6640625" customWidth="1"/>
    <col min="6" max="6" width="20.6640625" style="5" customWidth="1"/>
    <col min="7" max="8" width="30.6640625" style="5" customWidth="1"/>
    <col min="9" max="9" width="20.6640625" style="5" customWidth="1"/>
    <col min="10" max="11" width="30.6640625" style="5" customWidth="1"/>
    <col min="12" max="14" width="20.6640625" style="5" customWidth="1"/>
    <col min="15" max="15" width="25.6640625" style="5" customWidth="1"/>
    <col min="16" max="16" width="20.6640625" style="5" customWidth="1"/>
    <col min="17" max="17" width="30.6640625" customWidth="1"/>
  </cols>
  <sheetData>
    <row r="1" spans="1:17" x14ac:dyDescent="0.2">
      <c r="A1" s="1" t="s">
        <v>31</v>
      </c>
    </row>
    <row r="2" spans="1:17" x14ac:dyDescent="0.2">
      <c r="A2" t="s">
        <v>32</v>
      </c>
      <c r="B2" t="s">
        <v>33</v>
      </c>
      <c r="C2" t="s">
        <v>3</v>
      </c>
      <c r="D2" t="s">
        <v>34</v>
      </c>
      <c r="E2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5" t="s">
        <v>40</v>
      </c>
      <c r="K2" s="5" t="s">
        <v>41</v>
      </c>
      <c r="L2" s="5" t="s">
        <v>42</v>
      </c>
      <c r="M2" s="5" t="s">
        <v>43</v>
      </c>
      <c r="N2" s="5" t="s">
        <v>44</v>
      </c>
      <c r="O2" s="5" t="s">
        <v>45</v>
      </c>
      <c r="P2" s="5" t="s">
        <v>46</v>
      </c>
      <c r="Q2" t="s">
        <v>47</v>
      </c>
    </row>
    <row r="3" spans="1:17" x14ac:dyDescent="0.2">
      <c r="A3" t="s">
        <v>48</v>
      </c>
      <c r="B3" t="s">
        <v>49</v>
      </c>
      <c r="C3" t="s">
        <v>13</v>
      </c>
      <c r="D3" t="s">
        <v>50</v>
      </c>
      <c r="E3" t="s">
        <v>50</v>
      </c>
      <c r="F3" s="6">
        <v>38653.523999999998</v>
      </c>
      <c r="G3" s="6">
        <v>1945.9308807134896</v>
      </c>
      <c r="H3" s="6">
        <v>20946</v>
      </c>
      <c r="I3" s="5" t="s">
        <v>51</v>
      </c>
      <c r="J3" s="8">
        <v>0.37160906726124115</v>
      </c>
      <c r="K3" s="8">
        <v>3.9999999999999996</v>
      </c>
      <c r="L3" s="13">
        <v>43040</v>
      </c>
      <c r="M3" s="5" t="s">
        <v>52</v>
      </c>
      <c r="N3" s="5" t="s">
        <v>53</v>
      </c>
      <c r="O3" s="5" t="s">
        <v>54</v>
      </c>
      <c r="P3" s="5" t="s">
        <v>7</v>
      </c>
    </row>
    <row r="4" spans="1:17" x14ac:dyDescent="0.2">
      <c r="A4" t="s">
        <v>55</v>
      </c>
      <c r="B4" t="s">
        <v>56</v>
      </c>
      <c r="C4" t="s">
        <v>14</v>
      </c>
      <c r="D4" t="s">
        <v>57</v>
      </c>
      <c r="E4" t="s">
        <v>57</v>
      </c>
      <c r="F4" s="6">
        <v>87188.4</v>
      </c>
      <c r="G4" s="6">
        <v>1358.6027499070979</v>
      </c>
      <c r="H4" s="6">
        <v>14624</v>
      </c>
      <c r="I4" s="5" t="s">
        <v>51</v>
      </c>
      <c r="J4" s="8">
        <v>0.48959494611668525</v>
      </c>
      <c r="K4" s="8">
        <v>5.27</v>
      </c>
      <c r="L4" s="13">
        <v>43070</v>
      </c>
      <c r="M4" s="5" t="s">
        <v>58</v>
      </c>
      <c r="N4" s="5" t="s">
        <v>53</v>
      </c>
      <c r="O4" s="5" t="s">
        <v>54</v>
      </c>
      <c r="P4" s="5" t="s">
        <v>7</v>
      </c>
    </row>
    <row r="5" spans="1:17" x14ac:dyDescent="0.2">
      <c r="A5" t="s">
        <v>59</v>
      </c>
      <c r="B5" t="s">
        <v>60</v>
      </c>
      <c r="C5" t="s">
        <v>14</v>
      </c>
      <c r="D5" t="s">
        <v>60</v>
      </c>
      <c r="E5" t="s">
        <v>60</v>
      </c>
      <c r="F5" s="6">
        <v>96876</v>
      </c>
      <c r="G5" s="6">
        <v>2787.0680044593091</v>
      </c>
      <c r="H5" s="6">
        <v>30000</v>
      </c>
      <c r="I5" s="5" t="s">
        <v>51</v>
      </c>
      <c r="J5" s="8">
        <v>0.44</v>
      </c>
      <c r="K5" s="8">
        <v>4.7361599999999999</v>
      </c>
      <c r="L5" s="13">
        <v>43191</v>
      </c>
      <c r="M5" s="5" t="s">
        <v>58</v>
      </c>
      <c r="N5" s="5" t="s">
        <v>53</v>
      </c>
      <c r="O5" s="5" t="s">
        <v>54</v>
      </c>
      <c r="P5" s="5" t="s">
        <v>7</v>
      </c>
    </row>
    <row r="6" spans="1:17" x14ac:dyDescent="0.2">
      <c r="A6" t="s">
        <v>61</v>
      </c>
      <c r="B6" t="s">
        <v>60</v>
      </c>
      <c r="C6" t="s">
        <v>14</v>
      </c>
      <c r="D6" t="s">
        <v>60</v>
      </c>
      <c r="E6" t="s">
        <v>60</v>
      </c>
      <c r="F6" s="6">
        <v>269100</v>
      </c>
      <c r="G6" s="6">
        <v>6263.6566332218508</v>
      </c>
      <c r="H6" s="6">
        <v>67422</v>
      </c>
      <c r="I6" s="5" t="s">
        <v>51</v>
      </c>
      <c r="J6" s="8">
        <v>0.43942772203641767</v>
      </c>
      <c r="K6" s="8">
        <v>4.7299999999999995</v>
      </c>
      <c r="L6" s="13">
        <v>43040</v>
      </c>
      <c r="M6" s="5" t="s">
        <v>58</v>
      </c>
      <c r="N6" s="5" t="s">
        <v>53</v>
      </c>
      <c r="O6" s="5" t="s">
        <v>54</v>
      </c>
      <c r="P6" s="5" t="s">
        <v>7</v>
      </c>
    </row>
    <row r="7" spans="1:17" x14ac:dyDescent="0.2">
      <c r="A7" t="s">
        <v>62</v>
      </c>
      <c r="B7" t="s">
        <v>63</v>
      </c>
      <c r="C7" t="s">
        <v>14</v>
      </c>
      <c r="D7" t="s">
        <v>64</v>
      </c>
      <c r="E7" t="s">
        <v>64</v>
      </c>
      <c r="F7" s="6">
        <v>92355.12</v>
      </c>
      <c r="G7" s="6">
        <v>8580</v>
      </c>
      <c r="H7" s="6">
        <v>92355.12</v>
      </c>
      <c r="I7" s="5" t="s">
        <v>51</v>
      </c>
      <c r="J7" s="8">
        <v>0</v>
      </c>
      <c r="K7" s="8">
        <v>0</v>
      </c>
      <c r="L7" s="13">
        <v>41821</v>
      </c>
      <c r="M7" s="5" t="s">
        <v>65</v>
      </c>
      <c r="N7" s="5" t="s">
        <v>53</v>
      </c>
      <c r="O7" s="5">
        <v>2001</v>
      </c>
      <c r="P7" s="5" t="s">
        <v>7</v>
      </c>
    </row>
    <row r="8" spans="1:17" x14ac:dyDescent="0.2">
      <c r="A8" t="s">
        <v>66</v>
      </c>
      <c r="B8" t="s">
        <v>67</v>
      </c>
      <c r="C8" t="s">
        <v>17</v>
      </c>
      <c r="D8" t="s">
        <v>68</v>
      </c>
      <c r="E8" t="s">
        <v>68</v>
      </c>
      <c r="F8" s="6">
        <v>211308.08399999997</v>
      </c>
      <c r="G8" s="6">
        <v>5989.0375325157938</v>
      </c>
      <c r="H8" s="6">
        <v>64466</v>
      </c>
      <c r="I8" s="5" t="s">
        <v>51</v>
      </c>
      <c r="J8" s="8">
        <v>0.4199182460052025</v>
      </c>
      <c r="K8" s="8">
        <v>4.5199999999999996</v>
      </c>
      <c r="L8" s="13">
        <v>42491</v>
      </c>
      <c r="M8" s="5" t="s">
        <v>58</v>
      </c>
      <c r="N8" s="5" t="s">
        <v>53</v>
      </c>
      <c r="O8" s="5">
        <v>2015</v>
      </c>
      <c r="P8" s="5" t="s">
        <v>69</v>
      </c>
    </row>
    <row r="9" spans="1:17" x14ac:dyDescent="0.2">
      <c r="A9" t="s">
        <v>70</v>
      </c>
      <c r="B9" t="s">
        <v>71</v>
      </c>
      <c r="C9" t="s">
        <v>15</v>
      </c>
      <c r="D9" t="s">
        <v>64</v>
      </c>
      <c r="E9" t="s">
        <v>64</v>
      </c>
      <c r="F9" s="6">
        <v>230457.24</v>
      </c>
      <c r="G9" s="6">
        <v>21410</v>
      </c>
      <c r="H9" s="6">
        <v>230457.24</v>
      </c>
      <c r="I9" s="5" t="s">
        <v>51</v>
      </c>
      <c r="J9" s="8">
        <v>0</v>
      </c>
      <c r="K9" s="8">
        <v>0</v>
      </c>
      <c r="L9" s="13">
        <v>42278</v>
      </c>
      <c r="M9" s="5" t="s">
        <v>65</v>
      </c>
      <c r="N9" s="5" t="s">
        <v>53</v>
      </c>
      <c r="O9" s="5" t="s">
        <v>54</v>
      </c>
      <c r="P9" s="5" t="s">
        <v>7</v>
      </c>
    </row>
    <row r="10" spans="1:17" x14ac:dyDescent="0.2">
      <c r="A10" t="s">
        <v>72</v>
      </c>
      <c r="B10" t="s">
        <v>63</v>
      </c>
      <c r="C10" t="s">
        <v>14</v>
      </c>
      <c r="D10" t="s">
        <v>73</v>
      </c>
      <c r="E10" t="s">
        <v>73</v>
      </c>
      <c r="F10" s="6">
        <v>150394.60799999998</v>
      </c>
      <c r="G10" s="6">
        <v>3815.0315867707172</v>
      </c>
      <c r="H10" s="6">
        <v>41065</v>
      </c>
      <c r="I10" s="5" t="s">
        <v>51</v>
      </c>
      <c r="J10" s="8">
        <v>0.41</v>
      </c>
      <c r="K10" s="8">
        <v>4.4132399999999992</v>
      </c>
      <c r="L10" s="13">
        <v>43132</v>
      </c>
      <c r="M10" s="5" t="s">
        <v>58</v>
      </c>
      <c r="N10" s="5" t="s">
        <v>53</v>
      </c>
      <c r="O10" s="5" t="s">
        <v>54</v>
      </c>
      <c r="P10" s="5" t="s">
        <v>7</v>
      </c>
    </row>
    <row r="11" spans="1:17" x14ac:dyDescent="0.2">
      <c r="A11" t="s">
        <v>74</v>
      </c>
      <c r="B11" t="s">
        <v>75</v>
      </c>
      <c r="C11" t="s">
        <v>13</v>
      </c>
      <c r="D11" t="s">
        <v>76</v>
      </c>
      <c r="E11" t="s">
        <v>76</v>
      </c>
      <c r="F11" s="6">
        <v>227378.73599999998</v>
      </c>
      <c r="G11" s="6">
        <v>6108.9743589743593</v>
      </c>
      <c r="H11" s="6">
        <v>65757</v>
      </c>
      <c r="I11" s="5" t="s">
        <v>51</v>
      </c>
      <c r="J11" s="8">
        <v>0.39947974730583424</v>
      </c>
      <c r="K11" s="8">
        <v>4.3</v>
      </c>
      <c r="L11" s="13">
        <v>42917</v>
      </c>
      <c r="M11" s="5" t="s">
        <v>52</v>
      </c>
      <c r="N11" s="5" t="s">
        <v>53</v>
      </c>
      <c r="O11" s="5" t="s">
        <v>54</v>
      </c>
      <c r="P11" s="5" t="s">
        <v>7</v>
      </c>
    </row>
    <row r="12" spans="1:17" x14ac:dyDescent="0.2">
      <c r="A12" t="s">
        <v>77</v>
      </c>
      <c r="B12" t="s">
        <v>78</v>
      </c>
      <c r="C12" t="s">
        <v>17</v>
      </c>
      <c r="D12" t="s">
        <v>79</v>
      </c>
      <c r="E12" t="s">
        <v>79</v>
      </c>
      <c r="F12" s="6">
        <v>175399.37999999998</v>
      </c>
      <c r="G12" s="6">
        <v>16294.999999999998</v>
      </c>
      <c r="H12" s="6">
        <v>175399.37999999998</v>
      </c>
      <c r="I12" s="5" t="s">
        <v>51</v>
      </c>
      <c r="J12" s="8">
        <v>0.38926049795615014</v>
      </c>
      <c r="K12" s="8">
        <v>4.1899999999999995</v>
      </c>
      <c r="L12" s="13">
        <v>42247</v>
      </c>
      <c r="M12" s="5" t="s">
        <v>58</v>
      </c>
      <c r="N12" s="5" t="s">
        <v>53</v>
      </c>
      <c r="O12" s="5">
        <v>2016</v>
      </c>
      <c r="P12" s="5" t="s">
        <v>69</v>
      </c>
    </row>
    <row r="13" spans="1:17" x14ac:dyDescent="0.2">
      <c r="A13" t="s">
        <v>80</v>
      </c>
      <c r="B13" t="s">
        <v>81</v>
      </c>
      <c r="C13" t="s">
        <v>16</v>
      </c>
      <c r="D13" t="s">
        <v>82</v>
      </c>
      <c r="E13" t="s">
        <v>82</v>
      </c>
      <c r="F13" s="6">
        <v>26727.011999999999</v>
      </c>
      <c r="G13" s="6">
        <v>2482.9988851727985</v>
      </c>
      <c r="H13" s="6">
        <v>26727</v>
      </c>
      <c r="I13" s="5" t="s">
        <v>51</v>
      </c>
      <c r="J13" s="8">
        <v>0.36975102192493497</v>
      </c>
      <c r="K13" s="8">
        <v>3.98</v>
      </c>
      <c r="L13" s="13">
        <v>42826</v>
      </c>
      <c r="M13" s="5" t="s">
        <v>65</v>
      </c>
      <c r="N13" s="5" t="s">
        <v>53</v>
      </c>
      <c r="O13" s="5" t="s">
        <v>54</v>
      </c>
      <c r="P13" s="5" t="s">
        <v>7</v>
      </c>
    </row>
    <row r="14" spans="1:17" x14ac:dyDescent="0.2">
      <c r="A14" t="s">
        <v>83</v>
      </c>
      <c r="B14" t="s">
        <v>84</v>
      </c>
      <c r="C14" t="s">
        <v>16</v>
      </c>
      <c r="D14" t="s">
        <v>73</v>
      </c>
      <c r="E14" t="s">
        <v>85</v>
      </c>
      <c r="F14" s="6">
        <v>49342.175999999999</v>
      </c>
      <c r="G14" s="6">
        <v>4584</v>
      </c>
      <c r="H14" s="6">
        <v>49342.175999999999</v>
      </c>
      <c r="I14" s="5" t="s">
        <v>51</v>
      </c>
      <c r="J14" s="8">
        <v>0.42920847268673357</v>
      </c>
      <c r="K14" s="8">
        <v>4.62</v>
      </c>
      <c r="L14" s="13">
        <v>42738</v>
      </c>
      <c r="M14" s="5" t="s">
        <v>65</v>
      </c>
      <c r="N14" s="5" t="s">
        <v>53</v>
      </c>
      <c r="O14" s="5" t="s">
        <v>54</v>
      </c>
      <c r="P14" s="5" t="s">
        <v>7</v>
      </c>
    </row>
    <row r="15" spans="1:17" x14ac:dyDescent="0.2">
      <c r="A15" t="s">
        <v>86</v>
      </c>
      <c r="B15" t="s">
        <v>67</v>
      </c>
      <c r="C15" t="s">
        <v>17</v>
      </c>
      <c r="D15" t="s">
        <v>68</v>
      </c>
      <c r="E15" t="s">
        <v>68</v>
      </c>
      <c r="F15" s="6">
        <v>227001.99599999998</v>
      </c>
      <c r="G15" s="6">
        <v>4836.0274990709777</v>
      </c>
      <c r="H15" s="6">
        <v>52055</v>
      </c>
      <c r="I15" s="5" t="s">
        <v>51</v>
      </c>
      <c r="J15" s="8">
        <v>0.48959494611668525</v>
      </c>
      <c r="K15" s="8">
        <v>5.27</v>
      </c>
      <c r="L15" s="13">
        <v>42552</v>
      </c>
      <c r="M15" s="5" t="s">
        <v>58</v>
      </c>
      <c r="N15" s="5" t="s">
        <v>53</v>
      </c>
      <c r="O15" s="5">
        <v>2007</v>
      </c>
      <c r="P15" s="5" t="s">
        <v>7</v>
      </c>
    </row>
    <row r="16" spans="1:17" x14ac:dyDescent="0.2">
      <c r="A16" t="s">
        <v>87</v>
      </c>
      <c r="B16" t="s">
        <v>88</v>
      </c>
      <c r="C16" t="s">
        <v>14</v>
      </c>
      <c r="D16" t="s">
        <v>89</v>
      </c>
      <c r="E16" t="s">
        <v>89</v>
      </c>
      <c r="F16" s="6">
        <v>199974</v>
      </c>
      <c r="G16" s="6">
        <v>18578.037904124863</v>
      </c>
      <c r="H16" s="6">
        <v>199974</v>
      </c>
      <c r="I16" s="5" t="s">
        <v>51</v>
      </c>
      <c r="J16" s="8">
        <v>0.47937569676700109</v>
      </c>
      <c r="K16" s="8">
        <v>5.1599999999999993</v>
      </c>
      <c r="L16" s="13">
        <v>42856</v>
      </c>
      <c r="M16" s="5" t="s">
        <v>58</v>
      </c>
      <c r="N16" s="5" t="s">
        <v>90</v>
      </c>
      <c r="O16" s="5">
        <v>2017</v>
      </c>
      <c r="P16" s="5" t="s">
        <v>69</v>
      </c>
    </row>
    <row r="17" spans="1:17" x14ac:dyDescent="0.2">
      <c r="A17" t="s">
        <v>91</v>
      </c>
      <c r="B17" t="s">
        <v>92</v>
      </c>
      <c r="C17" t="s">
        <v>17</v>
      </c>
      <c r="D17" t="s">
        <v>64</v>
      </c>
      <c r="E17" t="s">
        <v>64</v>
      </c>
      <c r="F17" s="6">
        <v>214000</v>
      </c>
      <c r="G17" s="6">
        <v>9940.5425492382019</v>
      </c>
      <c r="H17" s="6">
        <v>107000</v>
      </c>
      <c r="I17" s="5" t="s">
        <v>51</v>
      </c>
      <c r="J17" s="8">
        <v>0</v>
      </c>
      <c r="K17" s="8">
        <v>0</v>
      </c>
      <c r="L17" s="13">
        <v>42948</v>
      </c>
      <c r="M17" s="5" t="s">
        <v>65</v>
      </c>
      <c r="N17" s="5" t="s">
        <v>53</v>
      </c>
      <c r="O17" s="5" t="s">
        <v>54</v>
      </c>
      <c r="P17" s="5" t="s">
        <v>7</v>
      </c>
    </row>
    <row r="18" spans="1:17" x14ac:dyDescent="0.2">
      <c r="A18" t="s">
        <v>93</v>
      </c>
      <c r="B18" t="s">
        <v>94</v>
      </c>
      <c r="C18" t="s">
        <v>14</v>
      </c>
      <c r="D18" t="s">
        <v>95</v>
      </c>
      <c r="E18" t="s">
        <v>95</v>
      </c>
      <c r="F18" s="6">
        <v>107640</v>
      </c>
      <c r="G18" s="6">
        <v>10000</v>
      </c>
      <c r="H18" s="6">
        <v>107640</v>
      </c>
      <c r="I18" s="5" t="s">
        <v>51</v>
      </c>
      <c r="J18" s="8">
        <v>0</v>
      </c>
      <c r="K18" s="8">
        <v>0</v>
      </c>
      <c r="L18" s="13">
        <v>42644</v>
      </c>
      <c r="M18" s="5" t="s">
        <v>58</v>
      </c>
      <c r="N18" s="5" t="s">
        <v>53</v>
      </c>
      <c r="O18" s="5">
        <v>2016</v>
      </c>
      <c r="P18" s="5" t="s">
        <v>69</v>
      </c>
    </row>
    <row r="19" spans="1:17" x14ac:dyDescent="0.2">
      <c r="A19" t="s">
        <v>96</v>
      </c>
      <c r="B19" t="s">
        <v>81</v>
      </c>
      <c r="C19" t="s">
        <v>16</v>
      </c>
      <c r="D19" t="s">
        <v>85</v>
      </c>
      <c r="E19" t="s">
        <v>85</v>
      </c>
      <c r="F19" s="6">
        <v>221952</v>
      </c>
      <c r="G19" s="6">
        <v>20619.843924191751</v>
      </c>
      <c r="H19" s="6">
        <v>221952</v>
      </c>
      <c r="I19" s="5" t="s">
        <v>51</v>
      </c>
      <c r="J19" s="8">
        <v>0.4199182460052025</v>
      </c>
      <c r="K19" s="8">
        <v>4.5199999999999996</v>
      </c>
      <c r="L19" s="13">
        <v>43040</v>
      </c>
      <c r="M19" s="5" t="s">
        <v>58</v>
      </c>
      <c r="N19" s="5" t="s">
        <v>90</v>
      </c>
      <c r="O19" s="5">
        <v>2017</v>
      </c>
      <c r="P19" s="5" t="s">
        <v>69</v>
      </c>
    </row>
    <row r="20" spans="1:17" x14ac:dyDescent="0.2">
      <c r="A20" t="s">
        <v>97</v>
      </c>
      <c r="B20" t="s">
        <v>98</v>
      </c>
      <c r="C20" t="s">
        <v>14</v>
      </c>
      <c r="D20" t="s">
        <v>57</v>
      </c>
      <c r="E20" t="s">
        <v>57</v>
      </c>
      <c r="F20" s="6">
        <v>103334</v>
      </c>
      <c r="G20" s="6">
        <v>9599.9628390932739</v>
      </c>
      <c r="H20" s="6">
        <v>103334</v>
      </c>
      <c r="I20" s="5" t="s">
        <v>51</v>
      </c>
      <c r="J20" s="8">
        <v>0.45986622073578598</v>
      </c>
      <c r="K20" s="8">
        <v>4.95</v>
      </c>
      <c r="L20" s="13">
        <v>43040</v>
      </c>
      <c r="M20" s="5" t="s">
        <v>58</v>
      </c>
      <c r="N20" s="5" t="s">
        <v>90</v>
      </c>
      <c r="O20" s="5">
        <v>2017</v>
      </c>
      <c r="P20" s="5" t="s">
        <v>69</v>
      </c>
    </row>
    <row r="21" spans="1:17" x14ac:dyDescent="0.2">
      <c r="A21" t="s">
        <v>99</v>
      </c>
      <c r="B21" t="s">
        <v>78</v>
      </c>
      <c r="C21" t="s">
        <v>17</v>
      </c>
      <c r="D21" t="s">
        <v>64</v>
      </c>
      <c r="E21" t="s">
        <v>64</v>
      </c>
      <c r="F21" s="6">
        <v>23000</v>
      </c>
      <c r="G21" s="6">
        <v>2136.7521367521367</v>
      </c>
      <c r="H21" s="6">
        <v>23000</v>
      </c>
      <c r="I21" s="5" t="s">
        <v>51</v>
      </c>
      <c r="J21" s="8">
        <v>0.45</v>
      </c>
      <c r="K21" s="8">
        <v>4.8437999999999999</v>
      </c>
      <c r="L21" s="13">
        <v>43040</v>
      </c>
      <c r="M21" s="5" t="s">
        <v>65</v>
      </c>
      <c r="N21" s="5" t="s">
        <v>90</v>
      </c>
      <c r="O21" s="5">
        <v>2017</v>
      </c>
      <c r="P21" s="5" t="s">
        <v>69</v>
      </c>
    </row>
    <row r="22" spans="1:17" x14ac:dyDescent="0.2">
      <c r="A22" t="s">
        <v>100</v>
      </c>
      <c r="B22" t="s">
        <v>101</v>
      </c>
      <c r="C22" t="s">
        <v>14</v>
      </c>
      <c r="D22" t="s">
        <v>73</v>
      </c>
      <c r="E22" t="s">
        <v>73</v>
      </c>
      <c r="F22" s="6">
        <v>264202</v>
      </c>
      <c r="G22" s="6">
        <v>24544.96469713861</v>
      </c>
      <c r="H22" s="6">
        <v>264202</v>
      </c>
      <c r="I22" s="5" t="s">
        <v>51</v>
      </c>
      <c r="J22" s="8">
        <v>0.47</v>
      </c>
      <c r="K22" s="8">
        <v>5.0590799999999998</v>
      </c>
      <c r="L22" s="13">
        <v>43132</v>
      </c>
      <c r="M22" s="5" t="s">
        <v>58</v>
      </c>
      <c r="N22" s="5" t="s">
        <v>90</v>
      </c>
      <c r="O22" s="5">
        <v>2018</v>
      </c>
      <c r="P22" s="5" t="s">
        <v>69</v>
      </c>
    </row>
    <row r="23" spans="1:17" x14ac:dyDescent="0.2">
      <c r="A23" t="s">
        <v>102</v>
      </c>
      <c r="B23" t="s">
        <v>101</v>
      </c>
      <c r="C23" t="s">
        <v>14</v>
      </c>
      <c r="D23" t="s">
        <v>73</v>
      </c>
      <c r="E23" t="s">
        <v>73</v>
      </c>
      <c r="F23" s="6">
        <v>288252</v>
      </c>
      <c r="G23" s="6">
        <v>26779.264214046823</v>
      </c>
      <c r="H23" s="6">
        <v>288252</v>
      </c>
      <c r="I23" s="5" t="s">
        <v>51</v>
      </c>
      <c r="J23" s="8">
        <v>0.47</v>
      </c>
      <c r="K23" s="8">
        <v>5.0590799999999998</v>
      </c>
      <c r="L23" s="13">
        <v>43132</v>
      </c>
      <c r="M23" s="5" t="s">
        <v>58</v>
      </c>
      <c r="N23" s="5" t="s">
        <v>90</v>
      </c>
      <c r="O23" s="5">
        <v>2018</v>
      </c>
      <c r="P23" s="5" t="s">
        <v>69</v>
      </c>
    </row>
    <row r="24" spans="1:17" x14ac:dyDescent="0.2">
      <c r="A24" t="s">
        <v>103</v>
      </c>
      <c r="B24" t="s">
        <v>63</v>
      </c>
      <c r="C24" t="s">
        <v>14</v>
      </c>
      <c r="D24" t="s">
        <v>64</v>
      </c>
      <c r="E24" t="s">
        <v>64</v>
      </c>
      <c r="F24" s="6">
        <v>182988</v>
      </c>
      <c r="G24" s="6">
        <v>6500</v>
      </c>
      <c r="H24" s="6">
        <v>69966</v>
      </c>
      <c r="I24" s="5" t="s">
        <v>51</v>
      </c>
      <c r="J24" s="8">
        <v>0.55000000000000004</v>
      </c>
      <c r="K24" s="8">
        <v>5.9202000000000004</v>
      </c>
      <c r="L24" s="13">
        <v>43011</v>
      </c>
      <c r="M24" s="5" t="s">
        <v>58</v>
      </c>
      <c r="N24" s="5" t="s">
        <v>53</v>
      </c>
      <c r="O24" s="5">
        <v>2017</v>
      </c>
      <c r="P24" s="5" t="s">
        <v>69</v>
      </c>
    </row>
    <row r="25" spans="1:17" x14ac:dyDescent="0.2">
      <c r="A25" t="s">
        <v>104</v>
      </c>
      <c r="B25" t="s">
        <v>94</v>
      </c>
      <c r="C25" t="s">
        <v>14</v>
      </c>
      <c r="D25" t="s">
        <v>64</v>
      </c>
      <c r="E25" t="s">
        <v>64</v>
      </c>
      <c r="F25" s="6">
        <v>159908</v>
      </c>
      <c r="G25" s="6">
        <v>3713.5823114083987</v>
      </c>
      <c r="H25" s="6">
        <v>39973</v>
      </c>
      <c r="I25" s="5" t="s">
        <v>51</v>
      </c>
      <c r="J25" s="8">
        <v>0.44</v>
      </c>
      <c r="K25" s="8">
        <v>4.7361599999999999</v>
      </c>
      <c r="L25" s="13">
        <v>43191</v>
      </c>
      <c r="M25" s="5" t="s">
        <v>52</v>
      </c>
      <c r="N25" s="5" t="s">
        <v>53</v>
      </c>
      <c r="O25" s="5">
        <v>2008</v>
      </c>
      <c r="P25" s="5" t="s">
        <v>7</v>
      </c>
    </row>
    <row r="26" spans="1:17" x14ac:dyDescent="0.2">
      <c r="A26" t="s">
        <v>105</v>
      </c>
      <c r="B26" t="s">
        <v>106</v>
      </c>
      <c r="C26" t="s">
        <v>19</v>
      </c>
      <c r="D26" t="s">
        <v>64</v>
      </c>
      <c r="E26" t="s">
        <v>64</v>
      </c>
      <c r="F26" s="6">
        <v>170609</v>
      </c>
      <c r="G26" s="6">
        <v>15849.962839093274</v>
      </c>
      <c r="H26" s="6">
        <v>170609</v>
      </c>
      <c r="I26" s="5" t="s">
        <v>51</v>
      </c>
      <c r="J26" s="8">
        <v>0.34</v>
      </c>
      <c r="K26" s="8">
        <v>3.6597599999999999</v>
      </c>
      <c r="L26" s="13">
        <v>43191</v>
      </c>
      <c r="M26" s="5" t="s">
        <v>65</v>
      </c>
      <c r="N26" s="5" t="s">
        <v>53</v>
      </c>
      <c r="O26" s="5">
        <v>1994</v>
      </c>
      <c r="P26" s="5" t="s">
        <v>7</v>
      </c>
    </row>
    <row r="27" spans="1:17" x14ac:dyDescent="0.2">
      <c r="A27" t="s">
        <v>107</v>
      </c>
      <c r="B27" t="s">
        <v>106</v>
      </c>
      <c r="C27" t="s">
        <v>19</v>
      </c>
      <c r="D27" t="s">
        <v>64</v>
      </c>
      <c r="E27" t="s">
        <v>64</v>
      </c>
      <c r="F27" s="6">
        <v>97480</v>
      </c>
      <c r="G27" s="6">
        <v>9056.1129691564474</v>
      </c>
      <c r="H27" s="6">
        <v>97480</v>
      </c>
      <c r="I27" s="5" t="s">
        <v>51</v>
      </c>
      <c r="J27" s="8">
        <v>0</v>
      </c>
      <c r="K27" s="8">
        <v>0</v>
      </c>
      <c r="L27" s="13">
        <v>43191</v>
      </c>
      <c r="M27" s="5" t="s">
        <v>65</v>
      </c>
      <c r="N27" s="5" t="s">
        <v>53</v>
      </c>
      <c r="O27" s="5">
        <v>2002</v>
      </c>
      <c r="P27" s="5" t="s">
        <v>7</v>
      </c>
    </row>
    <row r="28" spans="1:17" x14ac:dyDescent="0.2">
      <c r="A28" t="s">
        <v>108</v>
      </c>
      <c r="B28" t="s">
        <v>109</v>
      </c>
      <c r="C28" t="s">
        <v>19</v>
      </c>
      <c r="D28" t="s">
        <v>57</v>
      </c>
      <c r="E28" t="s">
        <v>57</v>
      </c>
      <c r="F28" s="6">
        <v>116000</v>
      </c>
      <c r="G28" s="6">
        <v>10776.662950575994</v>
      </c>
      <c r="H28" s="6">
        <v>116000</v>
      </c>
      <c r="I28" s="5" t="s">
        <v>51</v>
      </c>
      <c r="J28" s="8">
        <v>0.45</v>
      </c>
      <c r="K28" s="8">
        <v>4.8437999999999999</v>
      </c>
      <c r="L28" s="13">
        <v>42948</v>
      </c>
      <c r="M28" s="5" t="s">
        <v>58</v>
      </c>
      <c r="N28" s="5" t="s">
        <v>53</v>
      </c>
      <c r="O28" s="5">
        <v>2017</v>
      </c>
      <c r="P28" s="5" t="s">
        <v>69</v>
      </c>
    </row>
    <row r="29" spans="1:17" x14ac:dyDescent="0.2">
      <c r="A29" t="s">
        <v>110</v>
      </c>
      <c r="B29" t="s">
        <v>109</v>
      </c>
      <c r="C29" t="s">
        <v>19</v>
      </c>
      <c r="D29" t="s">
        <v>57</v>
      </c>
      <c r="E29" t="s">
        <v>57</v>
      </c>
      <c r="F29" s="6">
        <v>109000</v>
      </c>
      <c r="G29" s="6">
        <v>4738.0156075808254</v>
      </c>
      <c r="H29" s="6">
        <v>51000</v>
      </c>
      <c r="I29" s="5" t="s">
        <v>51</v>
      </c>
      <c r="J29" s="8">
        <v>0.43</v>
      </c>
      <c r="K29" s="8">
        <v>4.62852</v>
      </c>
      <c r="L29" s="13">
        <v>43193</v>
      </c>
      <c r="M29" s="5" t="s">
        <v>58</v>
      </c>
      <c r="N29" s="5" t="s">
        <v>53</v>
      </c>
      <c r="O29" s="5">
        <v>2006</v>
      </c>
      <c r="P29" s="5" t="s">
        <v>7</v>
      </c>
    </row>
    <row r="30" spans="1:17" x14ac:dyDescent="0.2">
      <c r="A30" t="s">
        <v>111</v>
      </c>
      <c r="B30" t="s">
        <v>109</v>
      </c>
      <c r="C30" t="s">
        <v>19</v>
      </c>
      <c r="D30" t="s">
        <v>57</v>
      </c>
      <c r="E30" t="s">
        <v>57</v>
      </c>
      <c r="F30" s="6">
        <v>109000</v>
      </c>
      <c r="G30" s="6">
        <v>4738.0156075808254</v>
      </c>
      <c r="H30" s="6">
        <v>51000</v>
      </c>
      <c r="I30" s="5" t="s">
        <v>51</v>
      </c>
      <c r="J30" s="8">
        <v>0.43</v>
      </c>
      <c r="K30" s="8">
        <v>4.62852</v>
      </c>
      <c r="L30" s="13">
        <v>43193</v>
      </c>
      <c r="M30" s="5" t="s">
        <v>58</v>
      </c>
      <c r="N30" s="5" t="s">
        <v>53</v>
      </c>
      <c r="O30" s="5">
        <v>2016</v>
      </c>
      <c r="P30" s="5" t="s">
        <v>7</v>
      </c>
    </row>
    <row r="31" spans="1:17" x14ac:dyDescent="0.2">
      <c r="A31" t="s">
        <v>112</v>
      </c>
      <c r="B31" t="s">
        <v>81</v>
      </c>
      <c r="C31" t="s">
        <v>16</v>
      </c>
      <c r="D31" t="s">
        <v>85</v>
      </c>
      <c r="E31" t="s">
        <v>85</v>
      </c>
      <c r="F31" s="6">
        <v>27795</v>
      </c>
      <c r="G31" s="6">
        <v>2582.2185061315499</v>
      </c>
      <c r="H31" s="6">
        <v>27795</v>
      </c>
      <c r="I31" s="5" t="s">
        <v>51</v>
      </c>
      <c r="J31" s="8">
        <v>0.44</v>
      </c>
      <c r="K31" s="8">
        <v>4.7361599999999999</v>
      </c>
      <c r="L31" s="13">
        <v>43222</v>
      </c>
      <c r="M31" s="5" t="s">
        <v>58</v>
      </c>
      <c r="N31" s="5" t="s">
        <v>90</v>
      </c>
      <c r="O31" s="5">
        <v>2018</v>
      </c>
      <c r="P31" s="5" t="s">
        <v>69</v>
      </c>
      <c r="Q31" t="s">
        <v>200</v>
      </c>
    </row>
    <row r="32" spans="1:17" x14ac:dyDescent="0.2">
      <c r="A32" t="s">
        <v>113</v>
      </c>
      <c r="B32" t="s">
        <v>114</v>
      </c>
      <c r="C32" t="s">
        <v>18</v>
      </c>
      <c r="D32" t="s">
        <v>64</v>
      </c>
      <c r="E32" t="s">
        <v>64</v>
      </c>
      <c r="F32" s="6">
        <v>37715</v>
      </c>
      <c r="G32" s="6">
        <v>3503.8089929394278</v>
      </c>
      <c r="H32" s="6">
        <v>37715</v>
      </c>
      <c r="I32" s="5" t="s">
        <v>51</v>
      </c>
      <c r="J32" s="8">
        <v>0.42</v>
      </c>
      <c r="K32" s="8">
        <v>4.5208799999999991</v>
      </c>
      <c r="L32" s="13">
        <v>43191</v>
      </c>
      <c r="M32" s="5" t="s">
        <v>58</v>
      </c>
      <c r="N32" s="5" t="s">
        <v>90</v>
      </c>
      <c r="O32" s="5">
        <v>2018</v>
      </c>
      <c r="P32" s="5" t="s">
        <v>69</v>
      </c>
      <c r="Q32" t="s">
        <v>200</v>
      </c>
    </row>
    <row r="33" spans="1:17" x14ac:dyDescent="0.2">
      <c r="A33" s="3"/>
      <c r="B33" s="3"/>
      <c r="C33" s="3"/>
      <c r="D33" s="3"/>
      <c r="E33" s="3"/>
      <c r="F33" s="9">
        <f t="array" ref="F33">SUBTOTAL(109, TableAvailability[Área Neta Rentable])</f>
        <v>4315031.2760000005</v>
      </c>
      <c r="G33" s="9">
        <f t="array" ref="G33">SUBTOTAL(109, TableAvailability[Espacio Disponible m])</f>
        <v>270114.07617985876</v>
      </c>
      <c r="H33" s="9">
        <f t="array" ref="H33">SUBTOTAL(109, TableAvailability[Espacio Disponible ft])</f>
        <v>2907507.9160000002</v>
      </c>
      <c r="I33" s="12"/>
      <c r="J33" s="11">
        <f t="array" ref="J33">SUMPRODUCT((TableAvailability[Precio de Renta (USD/ft²/Mes)]),--(TableAvailability[Precio de Renta (USD/ft²/Mes)]&lt;&gt;""),(TableAvailability[Espacio Disponible ft]),--(TableAvailability[Espacio Disponible ft]&lt;&gt;""))/(SUMIF(TableAvailability[Precio de Renta (USD/ft²/Mes)],"&gt;0",TableAvailability[Espacio Disponible ft]))</f>
        <v>0.43895694438235849</v>
      </c>
      <c r="K33" s="11">
        <f t="array" ref="K33">SUMPRODUCT((TableAvailability[Precio de Renta (USD/m²/Mes)]),--(TableAvailability[Precio de Renta (USD/m²/Mes)]&lt;&gt;""),(TableAvailability[Espacio Disponible m]),--(TableAvailability[Espacio Disponible m]&lt;&gt;""))/(SUMIF(TableAvailability[Precio de Renta (USD/m²/Mes)],"&gt;0",TableAvailability[Espacio Disponible m]))</f>
        <v>4.7249325493317054</v>
      </c>
      <c r="L33" s="12"/>
      <c r="M33" s="12"/>
      <c r="N33" s="12"/>
      <c r="O33" s="12"/>
      <c r="P33" s="12"/>
      <c r="Q33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9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8.83203125" defaultRowHeight="15" x14ac:dyDescent="0.2"/>
  <cols>
    <col min="1" max="6" width="30.6640625" customWidth="1"/>
    <col min="7" max="20" width="30.6640625" style="5" customWidth="1"/>
    <col min="21" max="21" width="30.6640625" customWidth="1"/>
  </cols>
  <sheetData>
    <row r="1" spans="1:21" x14ac:dyDescent="0.2">
      <c r="A1" s="1" t="s">
        <v>115</v>
      </c>
    </row>
    <row r="2" spans="1:21" x14ac:dyDescent="0.2">
      <c r="A2" t="s">
        <v>116</v>
      </c>
      <c r="B2" t="s">
        <v>32</v>
      </c>
      <c r="C2" t="s">
        <v>33</v>
      </c>
      <c r="D2" t="s">
        <v>3</v>
      </c>
      <c r="E2" t="s">
        <v>34</v>
      </c>
      <c r="F2" t="s">
        <v>117</v>
      </c>
      <c r="G2" s="5" t="s">
        <v>118</v>
      </c>
      <c r="H2" s="5" t="s">
        <v>119</v>
      </c>
      <c r="I2" s="5" t="s">
        <v>120</v>
      </c>
      <c r="J2" s="5" t="s">
        <v>121</v>
      </c>
      <c r="K2" s="5" t="s">
        <v>122</v>
      </c>
      <c r="L2" s="5" t="s">
        <v>123</v>
      </c>
      <c r="M2" s="5" t="s">
        <v>124</v>
      </c>
      <c r="N2" s="5" t="s">
        <v>125</v>
      </c>
      <c r="O2" s="5" t="s">
        <v>43</v>
      </c>
      <c r="P2" s="5" t="s">
        <v>126</v>
      </c>
      <c r="Q2" s="5" t="s">
        <v>127</v>
      </c>
      <c r="R2" s="5" t="s">
        <v>45</v>
      </c>
      <c r="S2" s="5" t="s">
        <v>128</v>
      </c>
      <c r="T2" s="5" t="s">
        <v>129</v>
      </c>
      <c r="U2" t="s">
        <v>47</v>
      </c>
    </row>
    <row r="3" spans="1:21" x14ac:dyDescent="0.2">
      <c r="A3" s="4">
        <v>43101</v>
      </c>
      <c r="B3" t="s">
        <v>130</v>
      </c>
      <c r="C3" t="s">
        <v>131</v>
      </c>
      <c r="D3" t="s">
        <v>17</v>
      </c>
      <c r="E3" t="s">
        <v>73</v>
      </c>
      <c r="F3" t="s">
        <v>132</v>
      </c>
      <c r="G3" s="6">
        <v>131406.91199999998</v>
      </c>
      <c r="H3" s="6">
        <v>0</v>
      </c>
      <c r="I3" s="6">
        <v>12207.915273132665</v>
      </c>
      <c r="J3" s="6">
        <v>131406</v>
      </c>
      <c r="K3" s="8">
        <v>0.49</v>
      </c>
      <c r="L3" s="5" t="s">
        <v>133</v>
      </c>
      <c r="M3" s="5" t="s">
        <v>134</v>
      </c>
      <c r="N3" s="5" t="s">
        <v>134</v>
      </c>
      <c r="O3" s="5" t="s">
        <v>65</v>
      </c>
      <c r="P3" s="5" t="s">
        <v>135</v>
      </c>
      <c r="Q3" s="5" t="s">
        <v>136</v>
      </c>
      <c r="R3" s="5" t="s">
        <v>54</v>
      </c>
      <c r="S3" s="5" t="s">
        <v>137</v>
      </c>
      <c r="T3" s="5" t="s">
        <v>138</v>
      </c>
    </row>
    <row r="4" spans="1:21" x14ac:dyDescent="0.2">
      <c r="A4" s="4">
        <v>43101</v>
      </c>
      <c r="B4" t="s">
        <v>139</v>
      </c>
      <c r="C4" t="s">
        <v>78</v>
      </c>
      <c r="D4" t="s">
        <v>17</v>
      </c>
      <c r="E4" t="s">
        <v>64</v>
      </c>
      <c r="F4" t="s">
        <v>140</v>
      </c>
      <c r="G4" s="6">
        <v>61409</v>
      </c>
      <c r="H4" s="6">
        <v>0</v>
      </c>
      <c r="I4" s="6">
        <v>5705.0353028613899</v>
      </c>
      <c r="J4" s="6">
        <v>61409</v>
      </c>
      <c r="K4" s="8">
        <v>0.41</v>
      </c>
      <c r="L4" s="5" t="s">
        <v>133</v>
      </c>
      <c r="M4" s="5" t="s">
        <v>141</v>
      </c>
      <c r="N4" s="5" t="s">
        <v>141</v>
      </c>
      <c r="O4" s="5" t="s">
        <v>52</v>
      </c>
      <c r="P4" s="5" t="s">
        <v>142</v>
      </c>
      <c r="Q4" s="5" t="s">
        <v>136</v>
      </c>
      <c r="R4" s="5">
        <v>2007</v>
      </c>
      <c r="S4" s="5" t="s">
        <v>143</v>
      </c>
      <c r="T4" s="5" t="s">
        <v>144</v>
      </c>
    </row>
    <row r="5" spans="1:21" x14ac:dyDescent="0.2">
      <c r="A5" s="4">
        <v>43102</v>
      </c>
      <c r="B5" t="s">
        <v>145</v>
      </c>
      <c r="C5" t="s">
        <v>60</v>
      </c>
      <c r="D5" t="s">
        <v>14</v>
      </c>
      <c r="E5" t="s">
        <v>60</v>
      </c>
      <c r="F5" t="s">
        <v>146</v>
      </c>
      <c r="G5" s="6">
        <v>183063</v>
      </c>
      <c r="H5" s="6">
        <v>0</v>
      </c>
      <c r="I5" s="6">
        <v>17006.967670011149</v>
      </c>
      <c r="J5" s="6">
        <v>183063</v>
      </c>
      <c r="K5" s="8">
        <v>0.43</v>
      </c>
      <c r="L5" s="5" t="s">
        <v>133</v>
      </c>
      <c r="M5" s="5" t="s">
        <v>147</v>
      </c>
      <c r="N5" s="5" t="s">
        <v>147</v>
      </c>
      <c r="O5" s="5" t="s">
        <v>58</v>
      </c>
      <c r="P5" s="5" t="s">
        <v>148</v>
      </c>
      <c r="Q5" s="5" t="s">
        <v>149</v>
      </c>
      <c r="R5" s="5">
        <v>2017</v>
      </c>
      <c r="S5" s="5" t="s">
        <v>150</v>
      </c>
      <c r="T5" s="5" t="s">
        <v>144</v>
      </c>
    </row>
    <row r="6" spans="1:21" x14ac:dyDescent="0.2">
      <c r="A6" s="4">
        <v>43132</v>
      </c>
      <c r="B6" t="s">
        <v>151</v>
      </c>
      <c r="C6" t="s">
        <v>63</v>
      </c>
      <c r="D6" t="s">
        <v>14</v>
      </c>
      <c r="E6" t="s">
        <v>64</v>
      </c>
      <c r="F6" t="s">
        <v>152</v>
      </c>
      <c r="G6" s="6">
        <v>89997.803999999989</v>
      </c>
      <c r="H6" s="6">
        <v>0</v>
      </c>
      <c r="I6" s="6">
        <v>8360.925306577481</v>
      </c>
      <c r="J6" s="6">
        <v>89997</v>
      </c>
      <c r="K6" s="8">
        <v>0.46</v>
      </c>
      <c r="L6" s="5" t="s">
        <v>133</v>
      </c>
      <c r="M6" s="5" t="s">
        <v>153</v>
      </c>
      <c r="N6" s="5" t="s">
        <v>153</v>
      </c>
      <c r="O6" s="5" t="s">
        <v>58</v>
      </c>
      <c r="P6" s="5" t="s">
        <v>148</v>
      </c>
      <c r="Q6" s="5" t="s">
        <v>136</v>
      </c>
      <c r="R6" s="5">
        <v>2016</v>
      </c>
      <c r="S6" s="5" t="s">
        <v>154</v>
      </c>
      <c r="T6" s="5" t="s">
        <v>155</v>
      </c>
    </row>
    <row r="7" spans="1:21" x14ac:dyDescent="0.2">
      <c r="A7" s="4">
        <v>43132</v>
      </c>
      <c r="B7" t="s">
        <v>156</v>
      </c>
      <c r="C7" t="s">
        <v>67</v>
      </c>
      <c r="D7" t="s">
        <v>17</v>
      </c>
      <c r="E7" t="s">
        <v>68</v>
      </c>
      <c r="F7" t="s">
        <v>152</v>
      </c>
      <c r="G7" s="6">
        <v>135000</v>
      </c>
      <c r="H7" s="6">
        <v>0</v>
      </c>
      <c r="I7" s="6">
        <v>12541.80602006689</v>
      </c>
      <c r="J7" s="6">
        <v>135000</v>
      </c>
      <c r="K7" s="8">
        <v>0.45</v>
      </c>
      <c r="L7" s="5" t="s">
        <v>133</v>
      </c>
      <c r="M7" s="5" t="s">
        <v>147</v>
      </c>
      <c r="N7" s="5" t="s">
        <v>147</v>
      </c>
      <c r="O7" s="5" t="s">
        <v>58</v>
      </c>
      <c r="P7" s="5" t="s">
        <v>157</v>
      </c>
      <c r="Q7" s="5" t="s">
        <v>136</v>
      </c>
      <c r="R7" s="5">
        <v>2018</v>
      </c>
      <c r="S7" s="5" t="s">
        <v>154</v>
      </c>
      <c r="T7" s="5" t="s">
        <v>155</v>
      </c>
    </row>
    <row r="8" spans="1:21" x14ac:dyDescent="0.2">
      <c r="A8" s="4">
        <v>43132</v>
      </c>
      <c r="B8" t="s">
        <v>158</v>
      </c>
      <c r="C8" t="s">
        <v>63</v>
      </c>
      <c r="D8" t="s">
        <v>14</v>
      </c>
      <c r="E8" t="s">
        <v>73</v>
      </c>
      <c r="F8" t="s">
        <v>159</v>
      </c>
      <c r="G8" s="6">
        <v>299992.68</v>
      </c>
      <c r="H8" s="6">
        <v>0</v>
      </c>
      <c r="I8" s="6">
        <v>7839.4648829431444</v>
      </c>
      <c r="J8" s="6">
        <v>84384</v>
      </c>
      <c r="K8" s="8">
        <v>0.41</v>
      </c>
      <c r="L8" s="5" t="s">
        <v>133</v>
      </c>
      <c r="M8" s="5" t="s">
        <v>147</v>
      </c>
      <c r="N8" s="5" t="s">
        <v>147</v>
      </c>
      <c r="O8" s="5" t="s">
        <v>58</v>
      </c>
      <c r="P8" s="5" t="s">
        <v>142</v>
      </c>
      <c r="Q8" s="5" t="s">
        <v>149</v>
      </c>
      <c r="R8" s="5">
        <v>2015</v>
      </c>
      <c r="S8" s="5" t="s">
        <v>160</v>
      </c>
      <c r="T8" s="5" t="s">
        <v>144</v>
      </c>
    </row>
    <row r="9" spans="1:21" x14ac:dyDescent="0.2">
      <c r="A9" s="4">
        <v>43132</v>
      </c>
      <c r="B9" t="s">
        <v>161</v>
      </c>
      <c r="C9" t="s">
        <v>162</v>
      </c>
      <c r="D9" t="s">
        <v>13</v>
      </c>
      <c r="E9" t="s">
        <v>76</v>
      </c>
      <c r="F9" t="s">
        <v>163</v>
      </c>
      <c r="G9" s="6">
        <v>35392</v>
      </c>
      <c r="H9" s="6">
        <v>0</v>
      </c>
      <c r="I9" s="6">
        <v>1643.998513563731</v>
      </c>
      <c r="J9" s="6">
        <v>17696</v>
      </c>
      <c r="K9" s="8">
        <v>0.4</v>
      </c>
      <c r="L9" s="5" t="s">
        <v>133</v>
      </c>
      <c r="M9" s="5" t="s">
        <v>147</v>
      </c>
      <c r="N9" s="5" t="s">
        <v>147</v>
      </c>
      <c r="O9" s="5" t="s">
        <v>65</v>
      </c>
      <c r="P9" s="5" t="s">
        <v>148</v>
      </c>
      <c r="Q9" s="5" t="s">
        <v>164</v>
      </c>
      <c r="R9" s="5">
        <v>2017</v>
      </c>
      <c r="S9" s="5" t="s">
        <v>165</v>
      </c>
      <c r="T9" s="5" t="s">
        <v>138</v>
      </c>
    </row>
    <row r="10" spans="1:21" x14ac:dyDescent="0.2">
      <c r="A10" s="4">
        <v>43160</v>
      </c>
      <c r="B10" t="s">
        <v>166</v>
      </c>
      <c r="C10" t="s">
        <v>81</v>
      </c>
      <c r="D10" t="s">
        <v>16</v>
      </c>
      <c r="E10" t="s">
        <v>73</v>
      </c>
      <c r="F10" t="s">
        <v>167</v>
      </c>
      <c r="G10" s="6">
        <v>49234</v>
      </c>
      <c r="H10" s="6">
        <v>0</v>
      </c>
      <c r="I10" s="6">
        <v>4573.950204384987</v>
      </c>
      <c r="J10" s="6">
        <v>49234</v>
      </c>
      <c r="K10" s="8">
        <v>0.44</v>
      </c>
      <c r="L10" s="5" t="s">
        <v>133</v>
      </c>
      <c r="M10" s="5" t="s">
        <v>147</v>
      </c>
      <c r="N10" s="5" t="s">
        <v>147</v>
      </c>
      <c r="O10" s="5" t="s">
        <v>65</v>
      </c>
      <c r="P10" s="5" t="s">
        <v>142</v>
      </c>
      <c r="Q10" s="5" t="s">
        <v>164</v>
      </c>
      <c r="R10" s="5">
        <v>2000</v>
      </c>
      <c r="S10" s="5" t="s">
        <v>137</v>
      </c>
      <c r="T10" s="5" t="s">
        <v>138</v>
      </c>
    </row>
    <row r="11" spans="1:21" x14ac:dyDescent="0.2">
      <c r="A11" s="4">
        <v>43132</v>
      </c>
      <c r="B11" t="s">
        <v>168</v>
      </c>
      <c r="C11" t="s">
        <v>169</v>
      </c>
      <c r="D11" t="s">
        <v>17</v>
      </c>
      <c r="E11" t="s">
        <v>170</v>
      </c>
      <c r="F11" t="s">
        <v>171</v>
      </c>
      <c r="G11" s="6">
        <v>37878.515999999996</v>
      </c>
      <c r="H11" s="6">
        <v>0</v>
      </c>
      <c r="I11" s="6">
        <v>3518.9520624303236</v>
      </c>
      <c r="J11" s="6">
        <v>37878</v>
      </c>
      <c r="K11" s="8">
        <v>0.42</v>
      </c>
      <c r="L11" s="5" t="s">
        <v>133</v>
      </c>
      <c r="M11" s="5" t="s">
        <v>172</v>
      </c>
      <c r="N11" s="5" t="s">
        <v>173</v>
      </c>
      <c r="O11" s="5" t="s">
        <v>65</v>
      </c>
      <c r="P11" s="5" t="s">
        <v>142</v>
      </c>
      <c r="Q11" s="5" t="s">
        <v>164</v>
      </c>
      <c r="R11" s="5" t="s">
        <v>54</v>
      </c>
      <c r="S11" s="5" t="s">
        <v>54</v>
      </c>
      <c r="T11" s="5" t="s">
        <v>54</v>
      </c>
    </row>
    <row r="12" spans="1:21" x14ac:dyDescent="0.2">
      <c r="A12" s="4">
        <v>43160</v>
      </c>
      <c r="B12" t="s">
        <v>174</v>
      </c>
      <c r="C12" t="s">
        <v>175</v>
      </c>
      <c r="D12" t="s">
        <v>15</v>
      </c>
      <c r="E12" t="s">
        <v>64</v>
      </c>
      <c r="F12" t="s">
        <v>176</v>
      </c>
      <c r="G12" s="6">
        <v>53293</v>
      </c>
      <c r="H12" s="6">
        <v>0</v>
      </c>
      <c r="I12" s="6">
        <v>4951.0405053883314</v>
      </c>
      <c r="J12" s="6">
        <v>53293</v>
      </c>
      <c r="K12" s="8">
        <v>0.38</v>
      </c>
      <c r="L12" s="5" t="s">
        <v>133</v>
      </c>
      <c r="M12" s="5" t="s">
        <v>153</v>
      </c>
      <c r="N12" s="5" t="s">
        <v>153</v>
      </c>
      <c r="O12" s="5" t="s">
        <v>65</v>
      </c>
      <c r="P12" s="5" t="s">
        <v>142</v>
      </c>
      <c r="Q12" s="5" t="s">
        <v>136</v>
      </c>
      <c r="R12" s="5" t="s">
        <v>54</v>
      </c>
      <c r="S12" s="5" t="s">
        <v>177</v>
      </c>
      <c r="T12" s="5" t="s">
        <v>138</v>
      </c>
    </row>
    <row r="13" spans="1:21" x14ac:dyDescent="0.2">
      <c r="A13" s="4">
        <v>43160</v>
      </c>
      <c r="B13" t="s">
        <v>178</v>
      </c>
      <c r="C13" t="s">
        <v>179</v>
      </c>
      <c r="D13" t="s">
        <v>17</v>
      </c>
      <c r="E13" t="s">
        <v>64</v>
      </c>
      <c r="F13" t="s">
        <v>180</v>
      </c>
      <c r="G13" s="6">
        <v>54993</v>
      </c>
      <c r="H13" s="6">
        <v>0</v>
      </c>
      <c r="I13" s="6">
        <v>5108.9743589743593</v>
      </c>
      <c r="J13" s="6">
        <v>54993</v>
      </c>
      <c r="K13" s="8">
        <v>0.38</v>
      </c>
      <c r="L13" s="5" t="s">
        <v>133</v>
      </c>
      <c r="M13" s="5" t="s">
        <v>153</v>
      </c>
      <c r="N13" s="5" t="s">
        <v>153</v>
      </c>
      <c r="O13" s="5" t="s">
        <v>65</v>
      </c>
      <c r="P13" s="5" t="s">
        <v>142</v>
      </c>
      <c r="Q13" s="5" t="s">
        <v>136</v>
      </c>
      <c r="R13" s="5" t="s">
        <v>54</v>
      </c>
      <c r="S13" s="5" t="s">
        <v>181</v>
      </c>
      <c r="T13" s="5" t="s">
        <v>182</v>
      </c>
    </row>
    <row r="14" spans="1:21" x14ac:dyDescent="0.2">
      <c r="A14" s="4">
        <v>43160</v>
      </c>
      <c r="B14" t="s">
        <v>183</v>
      </c>
      <c r="C14" t="s">
        <v>81</v>
      </c>
      <c r="D14" t="s">
        <v>16</v>
      </c>
      <c r="E14" t="s">
        <v>85</v>
      </c>
      <c r="F14" t="s">
        <v>184</v>
      </c>
      <c r="G14" s="6">
        <v>61000</v>
      </c>
      <c r="H14" s="6">
        <v>0</v>
      </c>
      <c r="I14" s="6">
        <v>5667.0382757339285</v>
      </c>
      <c r="J14" s="6">
        <v>61000</v>
      </c>
      <c r="K14" s="8">
        <v>0.45</v>
      </c>
      <c r="L14" s="5" t="s">
        <v>133</v>
      </c>
      <c r="M14" s="5" t="s">
        <v>153</v>
      </c>
      <c r="N14" s="5" t="s">
        <v>147</v>
      </c>
      <c r="O14" s="5" t="s">
        <v>58</v>
      </c>
      <c r="P14" s="5" t="s">
        <v>148</v>
      </c>
      <c r="Q14" s="5" t="s">
        <v>164</v>
      </c>
      <c r="R14" s="5">
        <v>2017</v>
      </c>
      <c r="S14" s="5" t="s">
        <v>155</v>
      </c>
      <c r="T14" s="5" t="s">
        <v>144</v>
      </c>
    </row>
    <row r="15" spans="1:21" x14ac:dyDescent="0.2">
      <c r="A15" s="4">
        <v>43160</v>
      </c>
      <c r="B15" t="s">
        <v>55</v>
      </c>
      <c r="C15" t="s">
        <v>56</v>
      </c>
      <c r="D15" t="s">
        <v>14</v>
      </c>
      <c r="E15" t="s">
        <v>57</v>
      </c>
      <c r="F15" t="s">
        <v>185</v>
      </c>
      <c r="G15" s="6">
        <v>87188.4</v>
      </c>
      <c r="H15" s="6">
        <v>14624</v>
      </c>
      <c r="I15" s="6">
        <v>4041.2486064659979</v>
      </c>
      <c r="J15" s="6">
        <v>43500</v>
      </c>
      <c r="K15" s="8">
        <v>0.45</v>
      </c>
      <c r="L15" s="5" t="s">
        <v>133</v>
      </c>
      <c r="M15" s="5" t="s">
        <v>147</v>
      </c>
      <c r="N15" s="5" t="s">
        <v>147</v>
      </c>
      <c r="O15" s="5" t="s">
        <v>58</v>
      </c>
      <c r="P15" s="5" t="s">
        <v>142</v>
      </c>
      <c r="Q15" s="5" t="s">
        <v>164</v>
      </c>
      <c r="R15" s="5" t="s">
        <v>54</v>
      </c>
      <c r="S15" s="5" t="s">
        <v>186</v>
      </c>
      <c r="T15" s="5" t="s">
        <v>144</v>
      </c>
    </row>
    <row r="16" spans="1:21" x14ac:dyDescent="0.2">
      <c r="A16" s="4">
        <v>43160</v>
      </c>
      <c r="B16" t="s">
        <v>187</v>
      </c>
      <c r="C16" t="s">
        <v>188</v>
      </c>
      <c r="D16" t="s">
        <v>13</v>
      </c>
      <c r="E16" t="s">
        <v>76</v>
      </c>
      <c r="F16" t="s">
        <v>189</v>
      </c>
      <c r="G16" s="6">
        <v>130050.64799999999</v>
      </c>
      <c r="H16" s="6">
        <v>0</v>
      </c>
      <c r="I16" s="6">
        <v>12081.939799331105</v>
      </c>
      <c r="J16" s="6">
        <v>130050</v>
      </c>
      <c r="K16" s="8">
        <v>0.4</v>
      </c>
      <c r="L16" s="5" t="s">
        <v>133</v>
      </c>
      <c r="M16" s="5" t="s">
        <v>190</v>
      </c>
      <c r="N16" s="5" t="s">
        <v>147</v>
      </c>
      <c r="O16" s="5" t="s">
        <v>65</v>
      </c>
      <c r="P16" s="5" t="s">
        <v>142</v>
      </c>
      <c r="Q16" s="5" t="s">
        <v>136</v>
      </c>
      <c r="R16" s="5" t="s">
        <v>54</v>
      </c>
      <c r="S16" s="5" t="s">
        <v>191</v>
      </c>
      <c r="T16" s="5" t="s">
        <v>144</v>
      </c>
    </row>
    <row r="17" spans="1:21" x14ac:dyDescent="0.2">
      <c r="A17" s="4">
        <v>43160</v>
      </c>
      <c r="B17" t="s">
        <v>192</v>
      </c>
      <c r="C17" t="s">
        <v>193</v>
      </c>
      <c r="D17" t="s">
        <v>17</v>
      </c>
      <c r="E17" t="s">
        <v>194</v>
      </c>
      <c r="F17" t="s">
        <v>195</v>
      </c>
      <c r="G17" s="6">
        <v>250187.65199999997</v>
      </c>
      <c r="H17" s="6">
        <v>0</v>
      </c>
      <c r="I17" s="6">
        <v>9900.0371609067261</v>
      </c>
      <c r="J17" s="6">
        <v>106564</v>
      </c>
      <c r="K17" s="8">
        <v>0.42</v>
      </c>
      <c r="L17" s="5" t="s">
        <v>133</v>
      </c>
      <c r="M17" s="5" t="s">
        <v>147</v>
      </c>
      <c r="N17" s="5" t="s">
        <v>147</v>
      </c>
      <c r="O17" s="5" t="s">
        <v>65</v>
      </c>
      <c r="P17" s="5" t="s">
        <v>142</v>
      </c>
      <c r="Q17" s="5" t="s">
        <v>136</v>
      </c>
      <c r="R17" s="5" t="s">
        <v>54</v>
      </c>
      <c r="S17" s="5" t="s">
        <v>196</v>
      </c>
      <c r="T17" s="5" t="s">
        <v>144</v>
      </c>
    </row>
    <row r="18" spans="1:21" x14ac:dyDescent="0.2">
      <c r="A18" s="4">
        <v>43221</v>
      </c>
      <c r="B18" t="s">
        <v>197</v>
      </c>
      <c r="C18" t="s">
        <v>198</v>
      </c>
      <c r="D18" t="s">
        <v>15</v>
      </c>
      <c r="E18" t="s">
        <v>73</v>
      </c>
      <c r="F18" t="s">
        <v>199</v>
      </c>
      <c r="G18" s="6">
        <v>180178.59599999999</v>
      </c>
      <c r="H18" s="6">
        <v>0</v>
      </c>
      <c r="I18" s="6">
        <v>5936.7335562987737</v>
      </c>
      <c r="J18" s="6">
        <v>63903</v>
      </c>
      <c r="K18" s="8">
        <v>0</v>
      </c>
      <c r="L18" s="5" t="s">
        <v>133</v>
      </c>
      <c r="M18" s="5" t="s">
        <v>147</v>
      </c>
      <c r="N18" s="5" t="s">
        <v>147</v>
      </c>
      <c r="O18" s="5" t="s">
        <v>65</v>
      </c>
      <c r="P18" s="5" t="s">
        <v>142</v>
      </c>
      <c r="Q18" s="5" t="s">
        <v>136</v>
      </c>
      <c r="R18" s="5" t="s">
        <v>54</v>
      </c>
      <c r="S18" s="5" t="s">
        <v>191</v>
      </c>
      <c r="T18" s="5" t="s">
        <v>144</v>
      </c>
    </row>
    <row r="19" spans="1:21" x14ac:dyDescent="0.2">
      <c r="A19" s="3"/>
      <c r="B19" s="3"/>
      <c r="C19" s="3"/>
      <c r="D19" s="3"/>
      <c r="E19" s="3"/>
      <c r="F19" s="3"/>
      <c r="G19" s="9">
        <f t="array" ref="G19">SUBTOTAL(109, TableLeaseOperations[Área Neta Rentable (ft²)])</f>
        <v>1840265.2079999999</v>
      </c>
      <c r="H19" s="9">
        <f t="array" ref="H19">SUBTOTAL(109, TableLeaseOperations[Espacio Disponible (ft²)])</f>
        <v>14624</v>
      </c>
      <c r="I19" s="9">
        <f t="array" ref="I19">SUBTOTAL(109, TableLeaseOperations[Espacio Arrendado (m²)])</f>
        <v>121086.02749907099</v>
      </c>
      <c r="J19" s="9">
        <f t="array" ref="J19">SUBTOTAL(109, TableLeaseOperations[Espacio Arrendado (ft²)])</f>
        <v>1303370</v>
      </c>
      <c r="K19" s="11">
        <f t="array" ref="K19">IF(ISERR(AVERAGEIF(TableLeaseOperations[Precio de Renta (ft²/Mes)],"&gt;0",TableLeaseOperations[Precio de Renta (ft²/Mes)])),0,AVERAGEIF(TableLeaseOperations[Precio de Renta (ft²/Mes)],"&gt;0",TableLeaseOperations[Precio de Renta (ft²/Mes)]))</f>
        <v>0.42600000000000005</v>
      </c>
      <c r="L19" s="12"/>
      <c r="M19" s="12"/>
      <c r="N19" s="12"/>
      <c r="O19" s="12"/>
      <c r="P19" s="12"/>
      <c r="Q19" s="12"/>
      <c r="R19" s="12"/>
      <c r="S19" s="12"/>
      <c r="T19" s="12"/>
      <c r="U1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Estadísticas Generales</vt:lpstr>
      <vt:lpstr>Absorción Acumulada del Año</vt:lpstr>
      <vt:lpstr>Absorción Trimestral</vt:lpstr>
      <vt:lpstr>Disponibilidad</vt:lpstr>
      <vt:lpstr>Operaciones en Renta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Mireles</cp:lastModifiedBy>
  <dcterms:created xsi:type="dcterms:W3CDTF">2018-06-14T22:11:18Z</dcterms:created>
  <dcterms:modified xsi:type="dcterms:W3CDTF">2018-06-15T21:26:20Z</dcterms:modified>
</cp:coreProperties>
</file>