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HP\Desktop\smad\"/>
    </mc:Choice>
  </mc:AlternateContent>
  <xr:revisionPtr revIDLastSave="0" documentId="13_ncr:1_{0FD8EE04-E94A-4D2D-8A29-3EA9C21B544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часть1(s)" sheetId="1" r:id="rId1"/>
    <sheet name="часть3(s+1)" sheetId="3" r:id="rId2"/>
    <sheet name="часть2(s-1)" sheetId="2" r:id="rId3"/>
  </sheets>
  <definedNames>
    <definedName name="_xlchart.v1.0" hidden="1">'часть1(s)'!$A$1:$A$46</definedName>
    <definedName name="_xlchart.v1.1" hidden="1">'часть1(s)'!$A$1:$A$46</definedName>
    <definedName name="_xlchart.v1.2" hidden="1">'часть1(s)'!$A$1:$A$46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7" i="1" l="1"/>
  <c r="AC8" i="1" s="1"/>
  <c r="AD8" i="1" s="1"/>
  <c r="AC2" i="1"/>
  <c r="AD2" i="1" s="1"/>
  <c r="AE2" i="1" s="1"/>
  <c r="AC3" i="1"/>
  <c r="AC4" i="1"/>
  <c r="AC5" i="1"/>
  <c r="AC6" i="1"/>
  <c r="AD6" i="1" s="1"/>
  <c r="AE6" i="1" s="1"/>
  <c r="AE4" i="1"/>
  <c r="AE5" i="1"/>
  <c r="AD3" i="1"/>
  <c r="AE3" i="1" s="1"/>
  <c r="AD4" i="1"/>
  <c r="AD5" i="1"/>
  <c r="AC11" i="1"/>
  <c r="Z11" i="1"/>
  <c r="AA8" i="1"/>
  <c r="Y8" i="1"/>
  <c r="AA3" i="1"/>
  <c r="AA4" i="1"/>
  <c r="AA5" i="1"/>
  <c r="AA6" i="1"/>
  <c r="AA7" i="1"/>
  <c r="AA2" i="1"/>
  <c r="Z2" i="1"/>
  <c r="Z3" i="1"/>
  <c r="Z4" i="1"/>
  <c r="Z5" i="1"/>
  <c r="Z6" i="1"/>
  <c r="Z7" i="1"/>
  <c r="Q11" i="3"/>
  <c r="Q10" i="3"/>
  <c r="S3" i="3"/>
  <c r="S4" i="3"/>
  <c r="S5" i="3"/>
  <c r="S6" i="3"/>
  <c r="S7" i="3"/>
  <c r="S8" i="3"/>
  <c r="O8" i="3"/>
  <c r="Q8" i="3" s="1"/>
  <c r="O7" i="3"/>
  <c r="O6" i="3"/>
  <c r="O5" i="3"/>
  <c r="O4" i="3"/>
  <c r="O3" i="3"/>
  <c r="Q3" i="3" s="1"/>
  <c r="O2" i="3"/>
  <c r="N8" i="3"/>
  <c r="N7" i="3"/>
  <c r="N6" i="3"/>
  <c r="N5" i="3"/>
  <c r="N4" i="3"/>
  <c r="N3" i="3"/>
  <c r="N2" i="3"/>
  <c r="S2" i="3" s="1"/>
  <c r="E33" i="3"/>
  <c r="F33" i="3"/>
  <c r="G33" i="3"/>
  <c r="H33" i="3"/>
  <c r="I33" i="3"/>
  <c r="J33" i="3"/>
  <c r="J32" i="3"/>
  <c r="I32" i="3"/>
  <c r="H32" i="3"/>
  <c r="G32" i="3"/>
  <c r="F32" i="3"/>
  <c r="E32" i="3"/>
  <c r="D32" i="3"/>
  <c r="F4" i="2"/>
  <c r="F4" i="3"/>
  <c r="D33" i="3"/>
  <c r="Q7" i="3"/>
  <c r="Q6" i="3"/>
  <c r="J6" i="3"/>
  <c r="D6" i="3"/>
  <c r="Q5" i="3"/>
  <c r="J5" i="3"/>
  <c r="J7" i="3" s="1"/>
  <c r="D5" i="3"/>
  <c r="D7" i="3" s="1"/>
  <c r="Q4" i="3"/>
  <c r="J4" i="3"/>
  <c r="N16" i="3" s="1"/>
  <c r="D4" i="3"/>
  <c r="J3" i="3"/>
  <c r="D3" i="3"/>
  <c r="Q2" i="3"/>
  <c r="J2" i="3"/>
  <c r="D2" i="3"/>
  <c r="G2" i="3" s="1"/>
  <c r="J1" i="3"/>
  <c r="D1" i="3"/>
  <c r="Q11" i="2"/>
  <c r="Q10" i="2"/>
  <c r="O6" i="2"/>
  <c r="Q6" i="2" s="1"/>
  <c r="O5" i="2"/>
  <c r="Q5" i="2" s="1"/>
  <c r="O4" i="2"/>
  <c r="O3" i="2"/>
  <c r="O2" i="2"/>
  <c r="Q2" i="2" s="1"/>
  <c r="N6" i="2"/>
  <c r="N5" i="2"/>
  <c r="N4" i="2"/>
  <c r="S4" i="2" s="1"/>
  <c r="N3" i="2"/>
  <c r="S3" i="2" s="1"/>
  <c r="N2" i="2"/>
  <c r="S2" i="2" s="1"/>
  <c r="H32" i="2"/>
  <c r="G32" i="2"/>
  <c r="F32" i="2"/>
  <c r="E32" i="2"/>
  <c r="D32" i="2"/>
  <c r="H33" i="2"/>
  <c r="G33" i="2"/>
  <c r="F33" i="2"/>
  <c r="E33" i="2"/>
  <c r="D33" i="2"/>
  <c r="S6" i="2"/>
  <c r="J6" i="2"/>
  <c r="D6" i="2"/>
  <c r="S5" i="2"/>
  <c r="J5" i="2"/>
  <c r="J7" i="2" s="1"/>
  <c r="D5" i="2"/>
  <c r="D7" i="2" s="1"/>
  <c r="Q4" i="2"/>
  <c r="J4" i="2"/>
  <c r="N16" i="2" s="1"/>
  <c r="D4" i="2"/>
  <c r="Q3" i="2"/>
  <c r="J3" i="2"/>
  <c r="D3" i="2"/>
  <c r="J2" i="2"/>
  <c r="D2" i="2"/>
  <c r="G2" i="2" s="1"/>
  <c r="J1" i="2"/>
  <c r="D1" i="2"/>
  <c r="N19" i="1"/>
  <c r="Q2" i="1"/>
  <c r="Q3" i="1"/>
  <c r="Q4" i="1"/>
  <c r="Q5" i="1"/>
  <c r="Q6" i="1"/>
  <c r="Q7" i="1"/>
  <c r="N16" i="1"/>
  <c r="J7" i="1"/>
  <c r="J6" i="1"/>
  <c r="J5" i="1"/>
  <c r="J4" i="1"/>
  <c r="J3" i="1"/>
  <c r="J2" i="1"/>
  <c r="J1" i="1"/>
  <c r="O7" i="1"/>
  <c r="O5" i="1"/>
  <c r="O4" i="1"/>
  <c r="O3" i="1"/>
  <c r="N7" i="1"/>
  <c r="S7" i="1" s="1"/>
  <c r="N5" i="1"/>
  <c r="S5" i="1" s="1"/>
  <c r="N4" i="1"/>
  <c r="S4" i="1" s="1"/>
  <c r="N3" i="1"/>
  <c r="S3" i="1" s="1"/>
  <c r="I32" i="1"/>
  <c r="G32" i="1"/>
  <c r="F32" i="1"/>
  <c r="E32" i="1"/>
  <c r="D32" i="1"/>
  <c r="F4" i="1"/>
  <c r="O6" i="1"/>
  <c r="O2" i="1"/>
  <c r="N6" i="1"/>
  <c r="S6" i="1" s="1"/>
  <c r="N2" i="1"/>
  <c r="S2" i="1" s="1"/>
  <c r="AD7" i="1" l="1"/>
  <c r="AE7" i="1" s="1"/>
  <c r="AE8" i="1" s="1"/>
  <c r="Y13" i="1" s="1"/>
  <c r="N19" i="3"/>
  <c r="F2" i="3"/>
  <c r="N19" i="2"/>
  <c r="F2" i="2"/>
  <c r="Q10" i="1"/>
  <c r="P16" i="3" l="1"/>
  <c r="P16" i="2"/>
  <c r="E33" i="1" l="1"/>
  <c r="F33" i="1"/>
  <c r="G33" i="1"/>
  <c r="H33" i="1"/>
  <c r="I33" i="1"/>
  <c r="D33" i="1"/>
  <c r="H32" i="1"/>
  <c r="D5" i="1"/>
  <c r="D6" i="1"/>
  <c r="D4" i="1"/>
  <c r="D7" i="1" l="1"/>
  <c r="D3" i="1"/>
  <c r="D2" i="1"/>
  <c r="D1" i="1"/>
  <c r="Q11" i="1" l="1"/>
  <c r="P16" i="1" s="1"/>
  <c r="G2" i="1"/>
  <c r="F2" i="1"/>
</calcChain>
</file>

<file path=xl/sharedStrings.xml><?xml version="1.0" encoding="utf-8"?>
<sst xmlns="http://schemas.openxmlformats.org/spreadsheetml/2006/main" count="115" uniqueCount="39">
  <si>
    <t>мода =</t>
  </si>
  <si>
    <t>медиана =</t>
  </si>
  <si>
    <t>среднее =</t>
  </si>
  <si>
    <t>дисперсия =</t>
  </si>
  <si>
    <t>СКО =</t>
  </si>
  <si>
    <t>коэфф.вар =</t>
  </si>
  <si>
    <t>мат.ож. =</t>
  </si>
  <si>
    <t>Выбросы</t>
  </si>
  <si>
    <t>Интервалы</t>
  </si>
  <si>
    <t xml:space="preserve"> </t>
  </si>
  <si>
    <t>n =</t>
  </si>
  <si>
    <t>N</t>
  </si>
  <si>
    <t>Xср i</t>
  </si>
  <si>
    <t>W i</t>
  </si>
  <si>
    <t>Гипотеза:</t>
  </si>
  <si>
    <t>экспоненциальное распределение</t>
  </si>
  <si>
    <t>Dгр</t>
  </si>
  <si>
    <t>Мгр</t>
  </si>
  <si>
    <t>Ni</t>
  </si>
  <si>
    <t>Ni(Mi-M)^2</t>
  </si>
  <si>
    <t>Средняя групповая дисперсия</t>
  </si>
  <si>
    <t>Межгрупповая дисперсия</t>
  </si>
  <si>
    <t>D*Ni</t>
  </si>
  <si>
    <t>Правило сложения дисперсий</t>
  </si>
  <si>
    <t>Dобщ = Dсргр + Dмежгр</t>
  </si>
  <si>
    <t>=</t>
  </si>
  <si>
    <t>Эмпирический коэффициент детерминации</t>
  </si>
  <si>
    <t>n i</t>
  </si>
  <si>
    <t>x i</t>
  </si>
  <si>
    <t>n i x i</t>
  </si>
  <si>
    <t>выборочное среднее</t>
  </si>
  <si>
    <t xml:space="preserve">h </t>
  </si>
  <si>
    <t>Pi</t>
  </si>
  <si>
    <t>n i'</t>
  </si>
  <si>
    <t xml:space="preserve">хи квадрат </t>
  </si>
  <si>
    <t>k</t>
  </si>
  <si>
    <t xml:space="preserve">уровень значимости </t>
  </si>
  <si>
    <t>критическая точка</t>
  </si>
  <si>
    <t xml:space="preserve"> гипотеза подтверждена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</si>
</sst>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5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4" borderId="0" applyNumberFormat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1" applyFont="1" applyFill="1" applyBorder="1"/>
    <xf numFmtId="0" fontId="0" fillId="2" borderId="4" xfId="0" applyFill="1" applyBorder="1"/>
    <xf numFmtId="0" fontId="0" fillId="2" borderId="0" xfId="1" applyFont="1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3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</cellXfs>
  <cellStyles count="2">
    <cellStyle name="40% — акцент1" xfId="1" builtinId="3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 относительных частот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'часть1(s)'!$D$32:$I$32</c:f>
              <c:numCache>
                <c:formatCode>General</c:formatCode>
                <c:ptCount val="6"/>
                <c:pt idx="0">
                  <c:v>398.58823529411762</c:v>
                </c:pt>
                <c:pt idx="1">
                  <c:v>687.86666666666667</c:v>
                </c:pt>
                <c:pt idx="2">
                  <c:v>988.71428571428567</c:v>
                </c:pt>
                <c:pt idx="3">
                  <c:v>1340.3333333333333</c:v>
                </c:pt>
                <c:pt idx="4">
                  <c:v>1696.5</c:v>
                </c:pt>
                <c:pt idx="5">
                  <c:v>1987</c:v>
                </c:pt>
              </c:numCache>
            </c:numRef>
          </c:xVal>
          <c:yVal>
            <c:numRef>
              <c:f>'часть1(s)'!$D$33:$I$33</c:f>
              <c:numCache>
                <c:formatCode>General</c:formatCode>
                <c:ptCount val="6"/>
                <c:pt idx="0">
                  <c:v>0.36956521739130432</c:v>
                </c:pt>
                <c:pt idx="1">
                  <c:v>0.32608695652173914</c:v>
                </c:pt>
                <c:pt idx="2">
                  <c:v>0.15217391304347827</c:v>
                </c:pt>
                <c:pt idx="3">
                  <c:v>6.5217391304347824E-2</c:v>
                </c:pt>
                <c:pt idx="4">
                  <c:v>4.3478260869565216E-2</c:v>
                </c:pt>
                <c:pt idx="5">
                  <c:v>4.3478260869565216E-2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DE-468C-BAC4-374A4C9E5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089135"/>
        <c:axId val="757068015"/>
      </c:scatterChart>
      <c:valAx>
        <c:axId val="757089135"/>
        <c:scaling>
          <c:orientation val="minMax"/>
          <c:max val="2100"/>
          <c:min val="2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757068015"/>
        <c:crosses val="autoZero"/>
        <c:crossBetween val="midCat"/>
      </c:valAx>
      <c:valAx>
        <c:axId val="75706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757089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  <a:r>
              <a:rPr lang="ru-RU" baseline="0"/>
              <a:t> относительных частот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'часть3(s+1)'!$C$33</c:f>
              <c:strCache>
                <c:ptCount val="1"/>
                <c:pt idx="0">
                  <c:v>W 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'часть3(s+1)'!$D$32:$J$32</c:f>
              <c:numCache>
                <c:formatCode>General</c:formatCode>
                <c:ptCount val="7"/>
                <c:pt idx="0">
                  <c:v>371</c:v>
                </c:pt>
                <c:pt idx="1">
                  <c:v>625.85714285714289</c:v>
                </c:pt>
                <c:pt idx="2">
                  <c:v>835.875</c:v>
                </c:pt>
                <c:pt idx="3">
                  <c:v>1156</c:v>
                </c:pt>
                <c:pt idx="4">
                  <c:v>1384.5</c:v>
                </c:pt>
                <c:pt idx="5">
                  <c:v>1696.5</c:v>
                </c:pt>
                <c:pt idx="6">
                  <c:v>1987</c:v>
                </c:pt>
              </c:numCache>
            </c:numRef>
          </c:xVal>
          <c:yVal>
            <c:numRef>
              <c:f>'часть3(s+1)'!$D$33:$J$33</c:f>
              <c:numCache>
                <c:formatCode>General</c:formatCode>
                <c:ptCount val="7"/>
                <c:pt idx="0">
                  <c:v>0.30434782608695654</c:v>
                </c:pt>
                <c:pt idx="1">
                  <c:v>0.30434782608695654</c:v>
                </c:pt>
                <c:pt idx="2">
                  <c:v>0.17391304347826086</c:v>
                </c:pt>
                <c:pt idx="3">
                  <c:v>8.6956521739130432E-2</c:v>
                </c:pt>
                <c:pt idx="4">
                  <c:v>4.3478260869565216E-2</c:v>
                </c:pt>
                <c:pt idx="5">
                  <c:v>4.3478260869565216E-2</c:v>
                </c:pt>
                <c:pt idx="6">
                  <c:v>4.3478260869565216E-2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13-480E-8745-B9C9149DB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61071"/>
        <c:axId val="165461551"/>
      </c:scatterChart>
      <c:valAx>
        <c:axId val="165461071"/>
        <c:scaling>
          <c:orientation val="minMax"/>
          <c:max val="2050"/>
          <c:min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65461551"/>
        <c:crosses val="autoZero"/>
        <c:crossBetween val="midCat"/>
        <c:majorUnit val="100"/>
        <c:minorUnit val="50"/>
      </c:valAx>
      <c:valAx>
        <c:axId val="16546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65461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 относительных частот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'часть2(s-1)'!$C$33</c:f>
              <c:strCache>
                <c:ptCount val="1"/>
                <c:pt idx="0">
                  <c:v>W 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'часть2(s-1)'!$D$32:$H$32</c:f>
              <c:numCache>
                <c:formatCode>General</c:formatCode>
                <c:ptCount val="5"/>
                <c:pt idx="0">
                  <c:v>438.63636363636363</c:v>
                </c:pt>
                <c:pt idx="1">
                  <c:v>785.21428571428567</c:v>
                </c:pt>
                <c:pt idx="2">
                  <c:v>1189.5999999999999</c:v>
                </c:pt>
                <c:pt idx="3">
                  <c:v>1559</c:v>
                </c:pt>
                <c:pt idx="4">
                  <c:v>1898</c:v>
                </c:pt>
              </c:numCache>
            </c:numRef>
          </c:xVal>
          <c:yVal>
            <c:numRef>
              <c:f>'часть2(s-1)'!$D$33:$H$33</c:f>
              <c:numCache>
                <c:formatCode>General</c:formatCode>
                <c:ptCount val="5"/>
                <c:pt idx="0">
                  <c:v>0.47826086956521741</c:v>
                </c:pt>
                <c:pt idx="1">
                  <c:v>0.30434782608695654</c:v>
                </c:pt>
                <c:pt idx="2">
                  <c:v>0.10869565217391304</c:v>
                </c:pt>
                <c:pt idx="3">
                  <c:v>4.3478260869565216E-2</c:v>
                </c:pt>
                <c:pt idx="4">
                  <c:v>6.5217391304347824E-2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E-4296-A416-E5F4F8676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6591"/>
        <c:axId val="165434191"/>
      </c:scatterChart>
      <c:valAx>
        <c:axId val="165436591"/>
        <c:scaling>
          <c:orientation val="minMax"/>
          <c:max val="2000"/>
          <c:min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65434191"/>
        <c:crosses val="autoZero"/>
        <c:crossBetween val="midCat"/>
        <c:majorUnit val="150"/>
        <c:minorUnit val="50"/>
      </c:valAx>
      <c:valAx>
        <c:axId val="16543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65436591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Гистограмма частот</cx:v>
        </cx:txData>
      </cx:tx>
      <cx:spPr>
        <a:solidFill>
          <a:schemeClr val="bg1"/>
        </a:solidFill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Гистограмма частот</a:t>
          </a:r>
        </a:p>
      </cx:txPr>
    </cx:title>
    <cx:plotArea>
      <cx:plotAreaRegion>
        <cx:series layoutId="clusteredColumn" uniqueId="{AE00868E-8255-4A71-B3F8-3A5A6A1B4546}">
          <cx:spPr>
            <a:solidFill>
              <a:schemeClr val="accent4"/>
            </a:solidFill>
          </cx:spPr>
          <cx:dataId val="0"/>
          <cx:layoutPr>
            <cx:binning intervalClosed="r">
              <cx:binCount val="6"/>
            </cx:binning>
          </cx:layoutPr>
        </cx:series>
      </cx:plotAreaRegion>
      <cx:axis id="0">
        <cx:catScaling gapWidth="0.150000006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Гистограмма частот</cx:v>
        </cx:txData>
      </cx:tx>
      <cx:spPr>
        <a:solidFill>
          <a:schemeClr val="bg1"/>
        </a:solidFill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Гистограмма частот</a:t>
          </a:r>
        </a:p>
      </cx:txPr>
    </cx:title>
    <cx:plotArea>
      <cx:plotAreaRegion>
        <cx:series layoutId="clusteredColumn" uniqueId="{AE00868E-8255-4A71-B3F8-3A5A6A1B4546}">
          <cx:spPr>
            <a:solidFill>
              <a:schemeClr val="accent4"/>
            </a:solidFill>
          </cx:spPr>
          <cx:dataId val="0"/>
          <cx:layoutPr>
            <cx:binning intervalClosed="r">
              <cx:binCount val="7"/>
            </cx:binning>
          </cx:layoutPr>
        </cx:series>
      </cx:plotAreaRegion>
      <cx:axis id="0">
        <cx:catScaling gapWidth="0.150000006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Гистограмма частот</cx:v>
        </cx:txData>
      </cx:tx>
      <cx:spPr>
        <a:solidFill>
          <a:schemeClr val="bg1"/>
        </a:solidFill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Гистограмма частот</a:t>
          </a:r>
        </a:p>
      </cx:txPr>
    </cx:title>
    <cx:plotArea>
      <cx:plotAreaRegion>
        <cx:series layoutId="clusteredColumn" uniqueId="{AE00868E-8255-4A71-B3F8-3A5A6A1B4546}">
          <cx:spPr>
            <a:solidFill>
              <a:schemeClr val="accent4"/>
            </a:solidFill>
          </cx:spPr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.150000006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-1</xdr:colOff>
      <xdr:row>9</xdr:row>
      <xdr:rowOff>175259</xdr:rowOff>
    </xdr:from>
    <xdr:to>
      <xdr:col>11</xdr:col>
      <xdr:colOff>603250</xdr:colOff>
      <xdr:row>28</xdr:row>
      <xdr:rowOff>179916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649C58B7-8CD8-F47C-B959-2B80C2E898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9199" y="1836419"/>
              <a:ext cx="6379211" cy="34793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BY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</xdr:col>
      <xdr:colOff>1</xdr:colOff>
      <xdr:row>34</xdr:row>
      <xdr:rowOff>3012</xdr:rowOff>
    </xdr:from>
    <xdr:to>
      <xdr:col>12</xdr:col>
      <xdr:colOff>1</xdr:colOff>
      <xdr:row>49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2563FEF-91AA-59DB-A30A-3833EBD22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32</xdr:col>
      <xdr:colOff>0</xdr:colOff>
      <xdr:row>1</xdr:row>
      <xdr:rowOff>0</xdr:rowOff>
    </xdr:from>
    <xdr:to>
      <xdr:col>42</xdr:col>
      <xdr:colOff>114300</xdr:colOff>
      <xdr:row>35</xdr:row>
      <xdr:rowOff>60960</xdr:rowOff>
    </xdr:to>
    <xdr:pic>
      <xdr:nvPicPr>
        <xdr:cNvPr id="5" name="Рисунок 4" descr="Таблица - критические точки распределения χ2 | matematicus.ru">
          <a:extLst>
            <a:ext uri="{FF2B5EF4-FFF2-40B4-BE49-F238E27FC236}">
              <a16:creationId xmlns:a16="http://schemas.microsoft.com/office/drawing/2014/main" id="{365E49E2-289A-0812-EC98-60123599F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76920" y="190500"/>
          <a:ext cx="6210300" cy="6286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-1</xdr:colOff>
      <xdr:row>9</xdr:row>
      <xdr:rowOff>175259</xdr:rowOff>
    </xdr:from>
    <xdr:to>
      <xdr:col>11</xdr:col>
      <xdr:colOff>603250</xdr:colOff>
      <xdr:row>28</xdr:row>
      <xdr:rowOff>179916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07F1C923-A87A-4ED3-A061-458F82D9FF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9199" y="1836419"/>
              <a:ext cx="6379211" cy="34793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BY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</xdr:col>
      <xdr:colOff>10584</xdr:colOff>
      <xdr:row>33</xdr:row>
      <xdr:rowOff>178857</xdr:rowOff>
    </xdr:from>
    <xdr:to>
      <xdr:col>12</xdr:col>
      <xdr:colOff>21167</xdr:colOff>
      <xdr:row>49</xdr:row>
      <xdr:rowOff>43391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2F8CE58-B103-679E-46E0-B2EA23139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-1</xdr:colOff>
      <xdr:row>9</xdr:row>
      <xdr:rowOff>175259</xdr:rowOff>
    </xdr:from>
    <xdr:to>
      <xdr:col>11</xdr:col>
      <xdr:colOff>603250</xdr:colOff>
      <xdr:row>28</xdr:row>
      <xdr:rowOff>179916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05CF2934-E269-4915-B14E-7B083F7966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9199" y="1836419"/>
              <a:ext cx="6379211" cy="34793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BY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</xdr:col>
      <xdr:colOff>601807</xdr:colOff>
      <xdr:row>34</xdr:row>
      <xdr:rowOff>866</xdr:rowOff>
    </xdr:from>
    <xdr:to>
      <xdr:col>12</xdr:col>
      <xdr:colOff>0</xdr:colOff>
      <xdr:row>50</xdr:row>
      <xdr:rowOff>8658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E7DF836-E847-0BAC-83FD-FC9E03213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0"/>
  <sheetViews>
    <sheetView tabSelected="1" topLeftCell="Q1" zoomScale="71" workbookViewId="0">
      <selection activeCell="AE8" sqref="AE8"/>
    </sheetView>
  </sheetViews>
  <sheetFormatPr defaultRowHeight="14.4" x14ac:dyDescent="0.3"/>
  <cols>
    <col min="3" max="3" width="11.88671875" customWidth="1"/>
    <col min="9" max="9" width="10.109375" customWidth="1"/>
    <col min="17" max="17" width="10.33203125" customWidth="1"/>
    <col min="24" max="24" width="10.88671875" customWidth="1"/>
    <col min="26" max="26" width="12.88671875" bestFit="1" customWidth="1"/>
    <col min="28" max="28" width="13.6640625" customWidth="1"/>
    <col min="29" max="29" width="13.109375" customWidth="1"/>
    <col min="31" max="31" width="13.109375" bestFit="1" customWidth="1"/>
  </cols>
  <sheetData>
    <row r="1" spans="1:31" ht="15" thickBot="1" x14ac:dyDescent="0.35">
      <c r="A1" s="2">
        <v>249</v>
      </c>
      <c r="C1" t="s">
        <v>0</v>
      </c>
      <c r="D1">
        <f>MODE(A1:A50)</f>
        <v>520</v>
      </c>
      <c r="F1" t="s">
        <v>7</v>
      </c>
      <c r="I1" t="s">
        <v>0</v>
      </c>
      <c r="J1">
        <f>MODE(A1:A46)</f>
        <v>520</v>
      </c>
      <c r="N1" s="5" t="s">
        <v>16</v>
      </c>
      <c r="O1" s="4" t="s">
        <v>17</v>
      </c>
      <c r="P1" s="4" t="s">
        <v>18</v>
      </c>
      <c r="Q1" s="6" t="s">
        <v>19</v>
      </c>
      <c r="S1" s="8" t="s">
        <v>22</v>
      </c>
      <c r="W1" t="s">
        <v>8</v>
      </c>
      <c r="Y1" t="s">
        <v>27</v>
      </c>
      <c r="Z1" t="s">
        <v>28</v>
      </c>
      <c r="AA1" t="s">
        <v>29</v>
      </c>
      <c r="AC1" t="s">
        <v>32</v>
      </c>
      <c r="AD1" t="s">
        <v>33</v>
      </c>
    </row>
    <row r="2" spans="1:31" x14ac:dyDescent="0.3">
      <c r="A2" s="2">
        <v>287</v>
      </c>
      <c r="C2" t="s">
        <v>1</v>
      </c>
      <c r="D2">
        <f>MEDIAN(A1:A50)</f>
        <v>723</v>
      </c>
      <c r="F2">
        <f>D2/3</f>
        <v>241</v>
      </c>
      <c r="G2">
        <f>D2*3</f>
        <v>2169</v>
      </c>
      <c r="I2" t="s">
        <v>1</v>
      </c>
      <c r="J2">
        <f>MEDIAN(A1:A46)</f>
        <v>683.5</v>
      </c>
      <c r="N2" s="10">
        <f>_xlfn.VAR.S(A1:A17)</f>
        <v>7552.0073529411748</v>
      </c>
      <c r="O2" s="4">
        <f>AVERAGE(A1:A17)</f>
        <v>398.58823529411762</v>
      </c>
      <c r="P2" s="11">
        <v>17</v>
      </c>
      <c r="Q2" s="12">
        <f>P2*(O2-$J$6)^2</f>
        <v>2340429.3346213731</v>
      </c>
      <c r="S2" s="18">
        <f>N2*P2</f>
        <v>128384.12499999997</v>
      </c>
      <c r="W2">
        <v>249</v>
      </c>
      <c r="X2">
        <v>548</v>
      </c>
      <c r="Y2">
        <v>17</v>
      </c>
      <c r="Z2">
        <f>(W2+X2)/2</f>
        <v>398.5</v>
      </c>
      <c r="AA2">
        <f>Y2*Z2</f>
        <v>6774.5</v>
      </c>
      <c r="AC2">
        <f>POWER(EXP(1), -1*$AC$11*0) - POWER(EXP(1), -1*$AC$11*X2)</f>
        <v>0.51260896164350911</v>
      </c>
      <c r="AD2">
        <f>AC2*$Y$8</f>
        <v>23.580012235601419</v>
      </c>
      <c r="AE2">
        <f>POWER(Y2-AD2,2)/AD2</f>
        <v>1.8361551549703887</v>
      </c>
    </row>
    <row r="3" spans="1:31" x14ac:dyDescent="0.3">
      <c r="A3" s="2">
        <v>325</v>
      </c>
      <c r="C3" t="s">
        <v>2</v>
      </c>
      <c r="D3">
        <f>AVERAGE(A1:A50)</f>
        <v>900.22</v>
      </c>
      <c r="F3" t="s">
        <v>8</v>
      </c>
      <c r="I3" t="s">
        <v>2</v>
      </c>
      <c r="J3">
        <f>AVERAGE(A1:A46)</f>
        <v>769.63043478260875</v>
      </c>
      <c r="N3" s="13">
        <f>_xlfn.VAR.S(A18:A32)</f>
        <v>8136.4095238095279</v>
      </c>
      <c r="O3" s="9">
        <f>AVERAGE(A18:A32)</f>
        <v>687.86666666666667</v>
      </c>
      <c r="P3" s="2">
        <v>15</v>
      </c>
      <c r="Q3" s="14">
        <f t="shared" ref="Q3:Q7" si="0">P3*(O3-$J$6)^2</f>
        <v>100279.70664776317</v>
      </c>
      <c r="S3" s="19">
        <f t="shared" ref="S3:S7" si="1">N3*P3</f>
        <v>122046.14285714291</v>
      </c>
      <c r="W3">
        <v>548</v>
      </c>
      <c r="X3">
        <v>847</v>
      </c>
      <c r="Y3">
        <v>15</v>
      </c>
      <c r="Z3">
        <f t="shared" ref="Z3:Z7" si="2">(W3+X3)/2</f>
        <v>697.5</v>
      </c>
      <c r="AA3">
        <f t="shared" ref="AA3:AA7" si="3">Y3*Z3</f>
        <v>10462.5</v>
      </c>
      <c r="AC3">
        <f t="shared" ref="AC3:AC7" si="4">POWER(EXP(1), -1*$AC$11*W3) - POWER(EXP(1), -1*$AC$11*X3)</f>
        <v>0.15810209689836963</v>
      </c>
      <c r="AD3">
        <f t="shared" ref="AD3:AD8" si="5">AC3*$Y$8</f>
        <v>7.2726964573250026</v>
      </c>
      <c r="AE3">
        <f t="shared" ref="AE3:AE7" si="6">POWER(Y3-AD3,2)/AD3</f>
        <v>8.2103275437127436</v>
      </c>
    </row>
    <row r="4" spans="1:31" x14ac:dyDescent="0.3">
      <c r="A4" s="2">
        <v>326</v>
      </c>
      <c r="C4" t="s">
        <v>3</v>
      </c>
      <c r="D4">
        <f>_xlfn.VAR.S(A1:A50)</f>
        <v>379882.95061224484</v>
      </c>
      <c r="F4">
        <f>1+INT(LOG(D8,2))</f>
        <v>6</v>
      </c>
      <c r="I4" t="s">
        <v>3</v>
      </c>
      <c r="J4">
        <f>_xlfn.VAR.S(A1:A46)</f>
        <v>195588.68260869567</v>
      </c>
      <c r="N4" s="13">
        <f>_xlfn.VAR.S(A33:A39)</f>
        <v>17399.571428571362</v>
      </c>
      <c r="O4" s="9">
        <f>AVERAGE(A33:A39)</f>
        <v>988.71428571428567</v>
      </c>
      <c r="P4" s="2">
        <v>7</v>
      </c>
      <c r="Q4" s="14">
        <f t="shared" si="0"/>
        <v>335984.13617337262</v>
      </c>
      <c r="S4" s="19">
        <f t="shared" si="1"/>
        <v>121796.99999999953</v>
      </c>
      <c r="W4">
        <v>847</v>
      </c>
      <c r="X4">
        <v>1146</v>
      </c>
      <c r="Y4">
        <v>7</v>
      </c>
      <c r="Z4">
        <f t="shared" si="2"/>
        <v>996.5</v>
      </c>
      <c r="AA4">
        <f t="shared" si="3"/>
        <v>6975.5</v>
      </c>
      <c r="AC4">
        <f t="shared" si="4"/>
        <v>0.10681622769578791</v>
      </c>
      <c r="AD4">
        <f t="shared" si="5"/>
        <v>4.9135464740062442</v>
      </c>
      <c r="AE4">
        <f t="shared" si="6"/>
        <v>0.88597682736118222</v>
      </c>
    </row>
    <row r="5" spans="1:31" x14ac:dyDescent="0.3">
      <c r="A5" s="2">
        <v>330</v>
      </c>
      <c r="C5" t="s">
        <v>4</v>
      </c>
      <c r="D5">
        <f>_xlfn.STDEV.S(A1:A50)</f>
        <v>616.34645339471604</v>
      </c>
      <c r="I5" t="s">
        <v>4</v>
      </c>
      <c r="J5">
        <f>_xlfn.STDEV.S(A1:A46)</f>
        <v>442.25409281169539</v>
      </c>
      <c r="N5" s="13">
        <f>_xlfn.VAR.S(A40:A42)</f>
        <v>9512.3333333333339</v>
      </c>
      <c r="O5" s="9">
        <f>AVERAGE(A40:A42)</f>
        <v>1340.3333333333333</v>
      </c>
      <c r="P5" s="2">
        <v>3</v>
      </c>
      <c r="Q5" s="14">
        <f t="shared" si="0"/>
        <v>977105.3952425957</v>
      </c>
      <c r="S5" s="19">
        <f t="shared" si="1"/>
        <v>28537</v>
      </c>
      <c r="W5">
        <v>1146</v>
      </c>
      <c r="X5">
        <v>1445</v>
      </c>
      <c r="Y5">
        <v>3</v>
      </c>
      <c r="Z5">
        <f t="shared" si="2"/>
        <v>1295.5</v>
      </c>
      <c r="AA5">
        <f t="shared" si="3"/>
        <v>3886.5</v>
      </c>
      <c r="AC5">
        <f t="shared" si="4"/>
        <v>7.216669938598444E-2</v>
      </c>
      <c r="AD5">
        <f t="shared" si="5"/>
        <v>3.3196681717552843</v>
      </c>
      <c r="AE5">
        <f t="shared" si="6"/>
        <v>3.0782516428241039E-2</v>
      </c>
    </row>
    <row r="6" spans="1:31" x14ac:dyDescent="0.3">
      <c r="A6" s="2">
        <v>334</v>
      </c>
      <c r="C6" t="s">
        <v>6</v>
      </c>
      <c r="D6">
        <f>AVERAGE(A1:A50)</f>
        <v>900.22</v>
      </c>
      <c r="I6" t="s">
        <v>6</v>
      </c>
      <c r="J6">
        <f>AVERAGE(A1:A46)</f>
        <v>769.63043478260875</v>
      </c>
      <c r="N6" s="13">
        <f>_xlfn.VAR.S(A43:A44)</f>
        <v>1104.5</v>
      </c>
      <c r="O6" s="9">
        <f>AVERAGE(A43:A44)</f>
        <v>1696.5</v>
      </c>
      <c r="P6" s="2">
        <v>2</v>
      </c>
      <c r="Q6" s="14">
        <f t="shared" si="0"/>
        <v>1718174.3818525518</v>
      </c>
      <c r="S6" s="19">
        <f t="shared" si="1"/>
        <v>2209</v>
      </c>
      <c r="W6">
        <v>1445</v>
      </c>
      <c r="X6">
        <v>1744</v>
      </c>
      <c r="Y6">
        <v>2</v>
      </c>
      <c r="Z6">
        <f t="shared" si="2"/>
        <v>1594.5</v>
      </c>
      <c r="AA6">
        <f t="shared" si="3"/>
        <v>3189</v>
      </c>
      <c r="AC6">
        <f t="shared" si="4"/>
        <v>4.8756940893845149E-2</v>
      </c>
      <c r="AD6">
        <f t="shared" si="5"/>
        <v>2.2428192811168768</v>
      </c>
      <c r="AE6">
        <f t="shared" si="6"/>
        <v>2.6288878367745884E-2</v>
      </c>
    </row>
    <row r="7" spans="1:31" ht="15" thickBot="1" x14ac:dyDescent="0.35">
      <c r="A7" s="2">
        <v>345</v>
      </c>
      <c r="C7" t="s">
        <v>5</v>
      </c>
      <c r="D7">
        <f>D5/D6 * 100</f>
        <v>68.466203083103679</v>
      </c>
      <c r="I7" t="s">
        <v>5</v>
      </c>
      <c r="J7">
        <f>J5/J6 * 100</f>
        <v>57.463176197887144</v>
      </c>
      <c r="N7" s="15">
        <f>_xlfn.VAR.S(A45:A46)</f>
        <v>6272</v>
      </c>
      <c r="O7" s="16">
        <f>AVERAGE(A45:A46)</f>
        <v>1987</v>
      </c>
      <c r="P7" s="17">
        <v>2</v>
      </c>
      <c r="Q7" s="7">
        <f t="shared" si="0"/>
        <v>2963977.3166351602</v>
      </c>
      <c r="S7" s="20">
        <f t="shared" si="1"/>
        <v>12544</v>
      </c>
      <c r="W7">
        <v>1744</v>
      </c>
      <c r="X7">
        <v>2043</v>
      </c>
      <c r="Y7">
        <v>2</v>
      </c>
      <c r="Z7">
        <f t="shared" si="2"/>
        <v>1893.5</v>
      </c>
      <c r="AA7">
        <f t="shared" si="3"/>
        <v>3787</v>
      </c>
      <c r="AC7">
        <f>POWER(EXP(1), -1*$AC$11*W7)</f>
        <v>0.10154907348250376</v>
      </c>
      <c r="AD7">
        <f t="shared" si="5"/>
        <v>4.6712573801951729</v>
      </c>
      <c r="AE7">
        <f t="shared" si="6"/>
        <v>1.5275578737108766</v>
      </c>
    </row>
    <row r="8" spans="1:31" x14ac:dyDescent="0.3">
      <c r="A8" s="2">
        <v>382</v>
      </c>
      <c r="B8" t="s">
        <v>9</v>
      </c>
      <c r="C8" t="s">
        <v>10</v>
      </c>
      <c r="D8">
        <v>46</v>
      </c>
      <c r="Y8">
        <f>SUM(Y2:Y7)</f>
        <v>46</v>
      </c>
      <c r="AA8">
        <f>SUM(AA2:AA7)</f>
        <v>35075</v>
      </c>
      <c r="AC8">
        <f>SUM(AC2:AC7)</f>
        <v>1</v>
      </c>
      <c r="AD8">
        <f t="shared" si="5"/>
        <v>46</v>
      </c>
      <c r="AE8">
        <f>SUM(AE2:AE7)</f>
        <v>12.517088794551176</v>
      </c>
    </row>
    <row r="9" spans="1:31" x14ac:dyDescent="0.3">
      <c r="A9" s="2">
        <v>390</v>
      </c>
    </row>
    <row r="10" spans="1:31" x14ac:dyDescent="0.3">
      <c r="A10" s="2">
        <v>412</v>
      </c>
      <c r="C10" t="s">
        <v>14</v>
      </c>
      <c r="D10" t="s">
        <v>15</v>
      </c>
      <c r="N10" t="s">
        <v>20</v>
      </c>
      <c r="Q10">
        <f>SUM(S2:S7)/D8</f>
        <v>9032.9840838509226</v>
      </c>
    </row>
    <row r="11" spans="1:31" x14ac:dyDescent="0.3">
      <c r="A11" s="2">
        <v>438</v>
      </c>
      <c r="N11" t="s">
        <v>21</v>
      </c>
      <c r="Q11">
        <f>SUM(Q2:Q7)/D8</f>
        <v>183390.22328636557</v>
      </c>
      <c r="W11" t="s">
        <v>30</v>
      </c>
      <c r="Z11">
        <f>AA8/Y8</f>
        <v>762.5</v>
      </c>
      <c r="AB11" t="s">
        <v>31</v>
      </c>
      <c r="AC11">
        <f>1/Z11</f>
        <v>1.3114754098360656E-3</v>
      </c>
    </row>
    <row r="12" spans="1:31" x14ac:dyDescent="0.3">
      <c r="A12" s="2">
        <v>441</v>
      </c>
    </row>
    <row r="13" spans="1:31" x14ac:dyDescent="0.3">
      <c r="A13" s="2">
        <v>459</v>
      </c>
      <c r="W13" t="s">
        <v>34</v>
      </c>
      <c r="Y13">
        <f>AE8</f>
        <v>12.517088794551176</v>
      </c>
    </row>
    <row r="14" spans="1:31" x14ac:dyDescent="0.3">
      <c r="A14" s="2">
        <v>476</v>
      </c>
      <c r="N14" t="s">
        <v>23</v>
      </c>
      <c r="W14" t="s">
        <v>35</v>
      </c>
      <c r="Y14">
        <v>4</v>
      </c>
    </row>
    <row r="15" spans="1:31" x14ac:dyDescent="0.3">
      <c r="A15" s="2">
        <v>520</v>
      </c>
      <c r="N15" t="s">
        <v>24</v>
      </c>
      <c r="W15" t="s">
        <v>36</v>
      </c>
      <c r="Y15">
        <v>0.01</v>
      </c>
    </row>
    <row r="16" spans="1:31" x14ac:dyDescent="0.3">
      <c r="A16" s="2">
        <v>520</v>
      </c>
      <c r="N16">
        <f>J4</f>
        <v>195588.68260869567</v>
      </c>
      <c r="O16" t="s">
        <v>25</v>
      </c>
      <c r="P16">
        <f>Q10+Q11</f>
        <v>192423.20737021649</v>
      </c>
      <c r="W16" t="s">
        <v>37</v>
      </c>
      <c r="Y16">
        <v>13.3</v>
      </c>
      <c r="Z16" t="s">
        <v>38</v>
      </c>
    </row>
    <row r="17" spans="1:14" x14ac:dyDescent="0.3">
      <c r="A17" s="2">
        <v>542</v>
      </c>
    </row>
    <row r="18" spans="1:14" x14ac:dyDescent="0.3">
      <c r="A18" s="3">
        <v>562</v>
      </c>
      <c r="N18" t="s">
        <v>26</v>
      </c>
    </row>
    <row r="19" spans="1:14" x14ac:dyDescent="0.3">
      <c r="A19" s="3">
        <v>573</v>
      </c>
      <c r="N19">
        <f>Q11/J4 * 100</f>
        <v>93.763207993616405</v>
      </c>
    </row>
    <row r="20" spans="1:14" x14ac:dyDescent="0.3">
      <c r="A20" s="3">
        <v>574</v>
      </c>
    </row>
    <row r="21" spans="1:14" x14ac:dyDescent="0.3">
      <c r="A21" s="3">
        <v>579</v>
      </c>
    </row>
    <row r="22" spans="1:14" x14ac:dyDescent="0.3">
      <c r="A22" s="3">
        <v>586</v>
      </c>
    </row>
    <row r="23" spans="1:14" x14ac:dyDescent="0.3">
      <c r="A23" s="3">
        <v>655</v>
      </c>
    </row>
    <row r="24" spans="1:14" x14ac:dyDescent="0.3">
      <c r="A24" s="3">
        <v>712</v>
      </c>
    </row>
    <row r="25" spans="1:14" x14ac:dyDescent="0.3">
      <c r="A25" s="3">
        <v>718</v>
      </c>
    </row>
    <row r="26" spans="1:14" x14ac:dyDescent="0.3">
      <c r="A26" s="3">
        <v>728</v>
      </c>
    </row>
    <row r="27" spans="1:14" x14ac:dyDescent="0.3">
      <c r="A27" s="3">
        <v>734</v>
      </c>
    </row>
    <row r="28" spans="1:14" x14ac:dyDescent="0.3">
      <c r="A28" s="3">
        <v>759</v>
      </c>
    </row>
    <row r="29" spans="1:14" x14ac:dyDescent="0.3">
      <c r="A29" s="3">
        <v>763</v>
      </c>
    </row>
    <row r="30" spans="1:14" x14ac:dyDescent="0.3">
      <c r="A30" s="3">
        <v>777</v>
      </c>
    </row>
    <row r="31" spans="1:14" x14ac:dyDescent="0.3">
      <c r="A31" s="3">
        <v>796</v>
      </c>
      <c r="C31" t="s">
        <v>11</v>
      </c>
      <c r="D31">
        <v>17</v>
      </c>
      <c r="E31">
        <v>15</v>
      </c>
      <c r="F31">
        <v>7</v>
      </c>
      <c r="G31">
        <v>3</v>
      </c>
      <c r="H31">
        <v>2</v>
      </c>
      <c r="I31">
        <v>2</v>
      </c>
    </row>
    <row r="32" spans="1:14" x14ac:dyDescent="0.3">
      <c r="A32" s="3">
        <v>802</v>
      </c>
      <c r="C32" t="s">
        <v>12</v>
      </c>
      <c r="D32">
        <f>AVERAGE(A1:A17)</f>
        <v>398.58823529411762</v>
      </c>
      <c r="E32">
        <f>AVERAGE(A18:A32)</f>
        <v>687.86666666666667</v>
      </c>
      <c r="F32">
        <f>AVERAGE(A33:A39)</f>
        <v>988.71428571428567</v>
      </c>
      <c r="G32">
        <f>AVERAGE(A40:A42)</f>
        <v>1340.3333333333333</v>
      </c>
      <c r="H32">
        <f>AVERAGE(A43:A44)</f>
        <v>1696.5</v>
      </c>
      <c r="I32">
        <f>AVERAGE(A45:A46)</f>
        <v>1987</v>
      </c>
    </row>
    <row r="33" spans="1:9" x14ac:dyDescent="0.3">
      <c r="A33" s="2">
        <v>853</v>
      </c>
      <c r="C33" t="s">
        <v>13</v>
      </c>
      <c r="D33">
        <f>D31/$D$8</f>
        <v>0.36956521739130432</v>
      </c>
      <c r="E33">
        <f t="shared" ref="E33:I33" si="7">E31/$D$8</f>
        <v>0.32608695652173914</v>
      </c>
      <c r="F33">
        <f t="shared" si="7"/>
        <v>0.15217391304347827</v>
      </c>
      <c r="G33">
        <f t="shared" si="7"/>
        <v>6.5217391304347824E-2</v>
      </c>
      <c r="H33">
        <f t="shared" si="7"/>
        <v>4.3478260869565216E-2</v>
      </c>
      <c r="I33">
        <f t="shared" si="7"/>
        <v>4.3478260869565216E-2</v>
      </c>
    </row>
    <row r="34" spans="1:9" x14ac:dyDescent="0.3">
      <c r="A34" s="2">
        <v>862</v>
      </c>
    </row>
    <row r="35" spans="1:9" x14ac:dyDescent="0.3">
      <c r="A35" s="2">
        <v>879</v>
      </c>
    </row>
    <row r="36" spans="1:9" x14ac:dyDescent="0.3">
      <c r="A36" s="2">
        <v>955</v>
      </c>
    </row>
    <row r="37" spans="1:9" x14ac:dyDescent="0.3">
      <c r="A37" s="2">
        <v>1089</v>
      </c>
    </row>
    <row r="38" spans="1:9" x14ac:dyDescent="0.3">
      <c r="A38" s="2">
        <v>1140</v>
      </c>
    </row>
    <row r="39" spans="1:9" x14ac:dyDescent="0.3">
      <c r="A39" s="2">
        <v>1143</v>
      </c>
    </row>
    <row r="40" spans="1:9" x14ac:dyDescent="0.3">
      <c r="A40" s="3">
        <v>1252</v>
      </c>
    </row>
    <row r="41" spans="1:9" x14ac:dyDescent="0.3">
      <c r="A41" s="3">
        <v>1324</v>
      </c>
    </row>
    <row r="42" spans="1:9" x14ac:dyDescent="0.3">
      <c r="A42" s="3">
        <v>1445</v>
      </c>
    </row>
    <row r="43" spans="1:9" x14ac:dyDescent="0.3">
      <c r="A43" s="2">
        <v>1673</v>
      </c>
    </row>
    <row r="44" spans="1:9" x14ac:dyDescent="0.3">
      <c r="A44" s="2">
        <v>1720</v>
      </c>
    </row>
    <row r="45" spans="1:9" x14ac:dyDescent="0.3">
      <c r="A45" s="3">
        <v>1931</v>
      </c>
    </row>
    <row r="46" spans="1:9" x14ac:dyDescent="0.3">
      <c r="A46" s="3">
        <v>2043</v>
      </c>
    </row>
    <row r="47" spans="1:9" x14ac:dyDescent="0.3">
      <c r="A47" s="1">
        <v>2335</v>
      </c>
    </row>
    <row r="48" spans="1:9" x14ac:dyDescent="0.3">
      <c r="A48" s="1">
        <v>2400</v>
      </c>
    </row>
    <row r="49" spans="1:1" x14ac:dyDescent="0.3">
      <c r="A49" s="1">
        <v>2431</v>
      </c>
    </row>
    <row r="50" spans="1:1" x14ac:dyDescent="0.3">
      <c r="A50" s="1">
        <v>2442</v>
      </c>
    </row>
  </sheetData>
  <sortState xmlns:xlrd2="http://schemas.microsoft.com/office/spreadsheetml/2017/richdata2" ref="A1:A50">
    <sortCondition ref="A1:A5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6B7FB-77F3-416D-92E1-66CB89508EC2}">
  <dimension ref="A1:S50"/>
  <sheetViews>
    <sheetView zoomScale="72" workbookViewId="0">
      <selection activeCell="J5" sqref="J5"/>
    </sheetView>
  </sheetViews>
  <sheetFormatPr defaultRowHeight="14.4" x14ac:dyDescent="0.3"/>
  <cols>
    <col min="3" max="3" width="11.88671875" customWidth="1"/>
    <col min="9" max="9" width="10.109375" customWidth="1"/>
    <col min="17" max="17" width="10.33203125" customWidth="1"/>
  </cols>
  <sheetData>
    <row r="1" spans="1:19" ht="15" thickBot="1" x14ac:dyDescent="0.35">
      <c r="A1" s="2">
        <v>249</v>
      </c>
      <c r="C1" t="s">
        <v>0</v>
      </c>
      <c r="D1">
        <f>MODE(A1:A50)</f>
        <v>520</v>
      </c>
      <c r="F1" t="s">
        <v>7</v>
      </c>
      <c r="I1" t="s">
        <v>0</v>
      </c>
      <c r="J1">
        <f>MODE(A1:A46)</f>
        <v>520</v>
      </c>
      <c r="N1" s="5" t="s">
        <v>16</v>
      </c>
      <c r="O1" s="4" t="s">
        <v>17</v>
      </c>
      <c r="P1" s="4" t="s">
        <v>18</v>
      </c>
      <c r="Q1" s="6" t="s">
        <v>19</v>
      </c>
      <c r="S1" s="8" t="s">
        <v>22</v>
      </c>
    </row>
    <row r="2" spans="1:19" x14ac:dyDescent="0.3">
      <c r="A2" s="2">
        <v>287</v>
      </c>
      <c r="C2" t="s">
        <v>1</v>
      </c>
      <c r="D2">
        <f>MEDIAN(A1:A50)</f>
        <v>723</v>
      </c>
      <c r="F2">
        <f>D2/3</f>
        <v>241</v>
      </c>
      <c r="G2">
        <f>D2*3</f>
        <v>2169</v>
      </c>
      <c r="I2" t="s">
        <v>1</v>
      </c>
      <c r="J2">
        <f>MEDIAN(A1:A46)</f>
        <v>683.5</v>
      </c>
      <c r="N2" s="10">
        <f>_xlfn.VAR.S(A1:A14)</f>
        <v>4625.2307692307695</v>
      </c>
      <c r="O2" s="23">
        <f>AVERAGE(A1:A14)</f>
        <v>371</v>
      </c>
      <c r="P2" s="4">
        <v>14</v>
      </c>
      <c r="Q2" s="25">
        <f>P2*(O2-$J$6)^2</f>
        <v>2224687.1294896035</v>
      </c>
      <c r="S2" s="18">
        <f>N2*P2</f>
        <v>64753.230769230773</v>
      </c>
    </row>
    <row r="3" spans="1:19" x14ac:dyDescent="0.3">
      <c r="A3" s="2">
        <v>325</v>
      </c>
      <c r="C3" t="s">
        <v>2</v>
      </c>
      <c r="D3">
        <f>AVERAGE(A1:A50)</f>
        <v>900.22</v>
      </c>
      <c r="F3" t="s">
        <v>8</v>
      </c>
      <c r="I3" t="s">
        <v>2</v>
      </c>
      <c r="J3">
        <f>AVERAGE(A1:A46)</f>
        <v>769.63043478260875</v>
      </c>
      <c r="N3" s="13">
        <f>_xlfn.VAR.S(A15:A28)</f>
        <v>7646.4395604395813</v>
      </c>
      <c r="O3" s="22">
        <f>AVERAGE(A15:A28)</f>
        <v>625.85714285714289</v>
      </c>
      <c r="P3" s="9">
        <v>14</v>
      </c>
      <c r="Q3" s="21">
        <f t="shared" ref="Q3:Q7" si="0">P3*(O3-$J$6)^2</f>
        <v>289390.63259519316</v>
      </c>
      <c r="S3" s="19">
        <f t="shared" ref="S3:S8" si="1">N3*P3</f>
        <v>107050.15384615413</v>
      </c>
    </row>
    <row r="4" spans="1:19" x14ac:dyDescent="0.3">
      <c r="A4" s="2">
        <v>326</v>
      </c>
      <c r="C4" t="s">
        <v>3</v>
      </c>
      <c r="D4">
        <f>_xlfn.VAR.S(A1:A50)</f>
        <v>379882.95061224484</v>
      </c>
      <c r="F4">
        <f>1+INT(LOG(D8,2)) + 1</f>
        <v>7</v>
      </c>
      <c r="I4" t="s">
        <v>3</v>
      </c>
      <c r="J4">
        <f>_xlfn.VAR.S(A1:A46)</f>
        <v>195588.68260869567</v>
      </c>
      <c r="N4" s="13">
        <f>_xlfn.VAR.S(A29:A36)</f>
        <v>4077.2678571428573</v>
      </c>
      <c r="O4" s="22">
        <f>AVERAGE(A29:A36)</f>
        <v>835.875</v>
      </c>
      <c r="P4" s="9">
        <v>8</v>
      </c>
      <c r="Q4" s="21">
        <f t="shared" si="0"/>
        <v>35106.739366729627</v>
      </c>
      <c r="S4" s="19">
        <f t="shared" si="1"/>
        <v>32618.142857142859</v>
      </c>
    </row>
    <row r="5" spans="1:19" x14ac:dyDescent="0.3">
      <c r="A5" s="2">
        <v>330</v>
      </c>
      <c r="C5" t="s">
        <v>4</v>
      </c>
      <c r="D5">
        <f>_xlfn.STDEV.S(A1:A50)</f>
        <v>616.34645339471604</v>
      </c>
      <c r="I5" t="s">
        <v>4</v>
      </c>
      <c r="J5">
        <f>_xlfn.STDEV.S(A1:A46)</f>
        <v>442.25409281169539</v>
      </c>
      <c r="N5" s="13">
        <f>_xlfn.VAR.S(A37:A40)</f>
        <v>4710</v>
      </c>
      <c r="O5" s="22">
        <f>AVERAGE(A37:A40)</f>
        <v>1156</v>
      </c>
      <c r="P5" s="9">
        <v>4</v>
      </c>
      <c r="Q5" s="21">
        <f t="shared" si="0"/>
        <v>597125.76370510377</v>
      </c>
      <c r="S5" s="19">
        <f t="shared" si="1"/>
        <v>18840</v>
      </c>
    </row>
    <row r="6" spans="1:19" x14ac:dyDescent="0.3">
      <c r="A6" s="2">
        <v>334</v>
      </c>
      <c r="C6" t="s">
        <v>6</v>
      </c>
      <c r="D6">
        <f>AVERAGE(A1:A50)</f>
        <v>900.22</v>
      </c>
      <c r="I6" t="s">
        <v>6</v>
      </c>
      <c r="J6">
        <f>AVERAGE(A1:A46)</f>
        <v>769.63043478260875</v>
      </c>
      <c r="N6" s="13">
        <f>_xlfn.VAR.S(A41:A42)</f>
        <v>7320.5</v>
      </c>
      <c r="O6" s="22">
        <f>AVERAGE(A41:A42)</f>
        <v>1384.5</v>
      </c>
      <c r="P6" s="9">
        <v>2</v>
      </c>
      <c r="Q6" s="21">
        <f t="shared" si="0"/>
        <v>756129.16446124751</v>
      </c>
      <c r="S6" s="19">
        <f t="shared" si="1"/>
        <v>14641</v>
      </c>
    </row>
    <row r="7" spans="1:19" x14ac:dyDescent="0.3">
      <c r="A7" s="2">
        <v>345</v>
      </c>
      <c r="C7" t="s">
        <v>5</v>
      </c>
      <c r="D7">
        <f>D5/D6 * 100</f>
        <v>68.466203083103679</v>
      </c>
      <c r="I7" t="s">
        <v>5</v>
      </c>
      <c r="J7">
        <f>J5/J6 * 100</f>
        <v>57.463176197887144</v>
      </c>
      <c r="N7" s="13">
        <f>_xlfn.VAR.S(A43:A44)</f>
        <v>1104.5</v>
      </c>
      <c r="O7" s="22">
        <f>AVERAGE(A43:A44)</f>
        <v>1696.5</v>
      </c>
      <c r="P7" s="9">
        <v>2</v>
      </c>
      <c r="Q7" s="21">
        <f t="shared" si="0"/>
        <v>1718174.3818525518</v>
      </c>
      <c r="S7" s="19">
        <f t="shared" si="1"/>
        <v>2209</v>
      </c>
    </row>
    <row r="8" spans="1:19" ht="15" thickBot="1" x14ac:dyDescent="0.35">
      <c r="A8" s="2">
        <v>382</v>
      </c>
      <c r="B8" t="s">
        <v>9</v>
      </c>
      <c r="C8" t="s">
        <v>10</v>
      </c>
      <c r="D8">
        <v>46</v>
      </c>
      <c r="N8" s="15">
        <f>_xlfn.VAR.S(A45:A46)</f>
        <v>6272</v>
      </c>
      <c r="O8" s="24">
        <f>AVERAGE(A45:A46)</f>
        <v>1987</v>
      </c>
      <c r="P8" s="16">
        <v>2</v>
      </c>
      <c r="Q8" s="26">
        <f t="shared" ref="Q8" si="2">P8*(O8-$J$6)^2</f>
        <v>2963977.3166351602</v>
      </c>
      <c r="S8" s="20">
        <f t="shared" si="1"/>
        <v>12544</v>
      </c>
    </row>
    <row r="9" spans="1:19" x14ac:dyDescent="0.3">
      <c r="A9" s="2">
        <v>390</v>
      </c>
    </row>
    <row r="10" spans="1:19" x14ac:dyDescent="0.3">
      <c r="A10" s="2">
        <v>412</v>
      </c>
      <c r="C10" t="s">
        <v>14</v>
      </c>
      <c r="D10" t="s">
        <v>15</v>
      </c>
      <c r="N10" t="s">
        <v>20</v>
      </c>
      <c r="Q10">
        <f>SUM(S2:S8)/D8</f>
        <v>5492.5114667940825</v>
      </c>
    </row>
    <row r="11" spans="1:19" x14ac:dyDescent="0.3">
      <c r="A11" s="2">
        <v>438</v>
      </c>
      <c r="N11" t="s">
        <v>21</v>
      </c>
      <c r="Q11">
        <f>SUM(Q2:Q8)/D8</f>
        <v>186621.54626316502</v>
      </c>
    </row>
    <row r="12" spans="1:19" x14ac:dyDescent="0.3">
      <c r="A12" s="2">
        <v>441</v>
      </c>
    </row>
    <row r="13" spans="1:19" x14ac:dyDescent="0.3">
      <c r="A13" s="2">
        <v>459</v>
      </c>
    </row>
    <row r="14" spans="1:19" x14ac:dyDescent="0.3">
      <c r="A14" s="2">
        <v>476</v>
      </c>
      <c r="N14" t="s">
        <v>23</v>
      </c>
    </row>
    <row r="15" spans="1:19" x14ac:dyDescent="0.3">
      <c r="A15" s="3">
        <v>520</v>
      </c>
      <c r="N15" t="s">
        <v>24</v>
      </c>
    </row>
    <row r="16" spans="1:19" x14ac:dyDescent="0.3">
      <c r="A16" s="3">
        <v>520</v>
      </c>
      <c r="N16">
        <f>J4</f>
        <v>195588.68260869567</v>
      </c>
      <c r="O16" t="s">
        <v>25</v>
      </c>
      <c r="P16">
        <f>Q10+Q11</f>
        <v>192114.05772995911</v>
      </c>
    </row>
    <row r="17" spans="1:14" x14ac:dyDescent="0.3">
      <c r="A17" s="3">
        <v>542</v>
      </c>
    </row>
    <row r="18" spans="1:14" x14ac:dyDescent="0.3">
      <c r="A18" s="3">
        <v>562</v>
      </c>
      <c r="N18" t="s">
        <v>26</v>
      </c>
    </row>
    <row r="19" spans="1:14" x14ac:dyDescent="0.3">
      <c r="A19" s="3">
        <v>573</v>
      </c>
      <c r="N19">
        <f>Q11/J4 * 100</f>
        <v>95.415309195844046</v>
      </c>
    </row>
    <row r="20" spans="1:14" x14ac:dyDescent="0.3">
      <c r="A20" s="3">
        <v>574</v>
      </c>
    </row>
    <row r="21" spans="1:14" x14ac:dyDescent="0.3">
      <c r="A21" s="3">
        <v>579</v>
      </c>
    </row>
    <row r="22" spans="1:14" x14ac:dyDescent="0.3">
      <c r="A22" s="3">
        <v>586</v>
      </c>
    </row>
    <row r="23" spans="1:14" x14ac:dyDescent="0.3">
      <c r="A23" s="3">
        <v>655</v>
      </c>
    </row>
    <row r="24" spans="1:14" x14ac:dyDescent="0.3">
      <c r="A24" s="3">
        <v>712</v>
      </c>
    </row>
    <row r="25" spans="1:14" x14ac:dyDescent="0.3">
      <c r="A25" s="3">
        <v>718</v>
      </c>
    </row>
    <row r="26" spans="1:14" x14ac:dyDescent="0.3">
      <c r="A26" s="3">
        <v>728</v>
      </c>
    </row>
    <row r="27" spans="1:14" x14ac:dyDescent="0.3">
      <c r="A27" s="3">
        <v>734</v>
      </c>
    </row>
    <row r="28" spans="1:14" x14ac:dyDescent="0.3">
      <c r="A28" s="3">
        <v>759</v>
      </c>
    </row>
    <row r="29" spans="1:14" x14ac:dyDescent="0.3">
      <c r="A29" s="2">
        <v>763</v>
      </c>
    </row>
    <row r="30" spans="1:14" x14ac:dyDescent="0.3">
      <c r="A30" s="2">
        <v>777</v>
      </c>
    </row>
    <row r="31" spans="1:14" x14ac:dyDescent="0.3">
      <c r="A31" s="2">
        <v>796</v>
      </c>
      <c r="C31" t="s">
        <v>11</v>
      </c>
      <c r="D31">
        <v>14</v>
      </c>
      <c r="E31">
        <v>14</v>
      </c>
      <c r="F31">
        <v>8</v>
      </c>
      <c r="G31">
        <v>4</v>
      </c>
      <c r="H31">
        <v>2</v>
      </c>
      <c r="I31">
        <v>2</v>
      </c>
      <c r="J31">
        <v>2</v>
      </c>
    </row>
    <row r="32" spans="1:14" x14ac:dyDescent="0.3">
      <c r="A32" s="2">
        <v>802</v>
      </c>
      <c r="C32" t="s">
        <v>12</v>
      </c>
      <c r="D32">
        <f>AVERAGE(A1:A14)</f>
        <v>371</v>
      </c>
      <c r="E32">
        <f>AVERAGE(A15:A28)</f>
        <v>625.85714285714289</v>
      </c>
      <c r="F32">
        <f>AVERAGE(A29:A36)</f>
        <v>835.875</v>
      </c>
      <c r="G32">
        <f>AVERAGE(A37:A40)</f>
        <v>1156</v>
      </c>
      <c r="H32">
        <f>AVERAGE(A41:A42)</f>
        <v>1384.5</v>
      </c>
      <c r="I32">
        <f>AVERAGE(A43:A44)</f>
        <v>1696.5</v>
      </c>
      <c r="J32">
        <f>AVERAGE(A45:A46)</f>
        <v>1987</v>
      </c>
    </row>
    <row r="33" spans="1:10" x14ac:dyDescent="0.3">
      <c r="A33" s="2">
        <v>853</v>
      </c>
      <c r="C33" t="s">
        <v>13</v>
      </c>
      <c r="D33">
        <f>D31/$D$8</f>
        <v>0.30434782608695654</v>
      </c>
      <c r="E33">
        <f t="shared" ref="E33:J33" si="3">E31/$D$8</f>
        <v>0.30434782608695654</v>
      </c>
      <c r="F33">
        <f t="shared" si="3"/>
        <v>0.17391304347826086</v>
      </c>
      <c r="G33">
        <f t="shared" si="3"/>
        <v>8.6956521739130432E-2</v>
      </c>
      <c r="H33">
        <f t="shared" si="3"/>
        <v>4.3478260869565216E-2</v>
      </c>
      <c r="I33">
        <f t="shared" si="3"/>
        <v>4.3478260869565216E-2</v>
      </c>
      <c r="J33">
        <f t="shared" si="3"/>
        <v>4.3478260869565216E-2</v>
      </c>
    </row>
    <row r="34" spans="1:10" x14ac:dyDescent="0.3">
      <c r="A34" s="2">
        <v>862</v>
      </c>
    </row>
    <row r="35" spans="1:10" x14ac:dyDescent="0.3">
      <c r="A35" s="2">
        <v>879</v>
      </c>
    </row>
    <row r="36" spans="1:10" x14ac:dyDescent="0.3">
      <c r="A36" s="2">
        <v>955</v>
      </c>
    </row>
    <row r="37" spans="1:10" x14ac:dyDescent="0.3">
      <c r="A37" s="3">
        <v>1089</v>
      </c>
    </row>
    <row r="38" spans="1:10" x14ac:dyDescent="0.3">
      <c r="A38" s="3">
        <v>1140</v>
      </c>
    </row>
    <row r="39" spans="1:10" x14ac:dyDescent="0.3">
      <c r="A39" s="3">
        <v>1143</v>
      </c>
    </row>
    <row r="40" spans="1:10" x14ac:dyDescent="0.3">
      <c r="A40" s="3">
        <v>1252</v>
      </c>
    </row>
    <row r="41" spans="1:10" x14ac:dyDescent="0.3">
      <c r="A41" s="2">
        <v>1324</v>
      </c>
    </row>
    <row r="42" spans="1:10" x14ac:dyDescent="0.3">
      <c r="A42" s="2">
        <v>1445</v>
      </c>
    </row>
    <row r="43" spans="1:10" x14ac:dyDescent="0.3">
      <c r="A43" s="3">
        <v>1673</v>
      </c>
    </row>
    <row r="44" spans="1:10" x14ac:dyDescent="0.3">
      <c r="A44" s="3">
        <v>1720</v>
      </c>
    </row>
    <row r="45" spans="1:10" x14ac:dyDescent="0.3">
      <c r="A45" s="2">
        <v>1931</v>
      </c>
    </row>
    <row r="46" spans="1:10" x14ac:dyDescent="0.3">
      <c r="A46" s="2">
        <v>2043</v>
      </c>
    </row>
    <row r="47" spans="1:10" x14ac:dyDescent="0.3">
      <c r="A47" s="1">
        <v>2335</v>
      </c>
    </row>
    <row r="48" spans="1:10" x14ac:dyDescent="0.3">
      <c r="A48" s="1">
        <v>2400</v>
      </c>
    </row>
    <row r="49" spans="1:1" x14ac:dyDescent="0.3">
      <c r="A49" s="1">
        <v>2431</v>
      </c>
    </row>
    <row r="50" spans="1:1" x14ac:dyDescent="0.3">
      <c r="A50" s="1">
        <v>2442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875F3-3F12-4092-9867-E63F24A3EB11}">
  <dimension ref="A1:S50"/>
  <sheetViews>
    <sheetView zoomScale="80" workbookViewId="0">
      <selection activeCell="V1" sqref="V1:W4"/>
    </sheetView>
  </sheetViews>
  <sheetFormatPr defaultRowHeight="14.4" x14ac:dyDescent="0.3"/>
  <cols>
    <col min="3" max="3" width="11.88671875" customWidth="1"/>
    <col min="9" max="9" width="10.109375" customWidth="1"/>
    <col min="17" max="17" width="10.33203125" customWidth="1"/>
  </cols>
  <sheetData>
    <row r="1" spans="1:19" ht="15" thickBot="1" x14ac:dyDescent="0.35">
      <c r="A1" s="2">
        <v>249</v>
      </c>
      <c r="C1" t="s">
        <v>0</v>
      </c>
      <c r="D1">
        <f>MODE(A1:A50)</f>
        <v>520</v>
      </c>
      <c r="F1" t="s">
        <v>7</v>
      </c>
      <c r="I1" t="s">
        <v>0</v>
      </c>
      <c r="J1">
        <f>MODE(A1:A46)</f>
        <v>520</v>
      </c>
      <c r="N1" s="5" t="s">
        <v>16</v>
      </c>
      <c r="O1" s="4" t="s">
        <v>17</v>
      </c>
      <c r="P1" s="4" t="s">
        <v>18</v>
      </c>
      <c r="Q1" s="6" t="s">
        <v>19</v>
      </c>
      <c r="S1" s="8" t="s">
        <v>22</v>
      </c>
    </row>
    <row r="2" spans="1:19" x14ac:dyDescent="0.3">
      <c r="A2" s="2">
        <v>287</v>
      </c>
      <c r="C2" t="s">
        <v>1</v>
      </c>
      <c r="D2">
        <f>MEDIAN(A1:A50)</f>
        <v>723</v>
      </c>
      <c r="F2">
        <f>D2/3</f>
        <v>241</v>
      </c>
      <c r="G2">
        <f>D2*3</f>
        <v>2169</v>
      </c>
      <c r="I2" t="s">
        <v>1</v>
      </c>
      <c r="J2">
        <f>MEDIAN(A1:A46)</f>
        <v>683.5</v>
      </c>
      <c r="N2" s="10">
        <f>_xlfn.VAR.S(A1:A22)</f>
        <v>11481.480519480516</v>
      </c>
      <c r="O2" s="4">
        <f>AVERAGE(A1:A22)</f>
        <v>438.63636363636363</v>
      </c>
      <c r="P2" s="11">
        <v>22</v>
      </c>
      <c r="Q2" s="12">
        <f>P2*(O2-$J$6)^2</f>
        <v>2410255.6529472424</v>
      </c>
      <c r="S2" s="18">
        <f>N2*P2</f>
        <v>252592.57142857136</v>
      </c>
    </row>
    <row r="3" spans="1:19" x14ac:dyDescent="0.3">
      <c r="A3" s="2">
        <v>325</v>
      </c>
      <c r="C3" t="s">
        <v>2</v>
      </c>
      <c r="D3">
        <f>AVERAGE(A1:A50)</f>
        <v>900.22</v>
      </c>
      <c r="F3" t="s">
        <v>8</v>
      </c>
      <c r="I3" t="s">
        <v>2</v>
      </c>
      <c r="J3">
        <f>AVERAGE(A1:A46)</f>
        <v>769.63043478260875</v>
      </c>
      <c r="N3" s="13">
        <f>_xlfn.VAR.S(A23:A36)</f>
        <v>6345.4120879120883</v>
      </c>
      <c r="O3" s="9">
        <f>AVERAGE(A23:A36)</f>
        <v>785.21428571428567</v>
      </c>
      <c r="P3" s="2">
        <v>14</v>
      </c>
      <c r="Q3" s="14">
        <f t="shared" ref="Q3:Q6" si="0">P3*(O3-$J$6)^2</f>
        <v>3399.9897380501866</v>
      </c>
      <c r="S3" s="19">
        <f t="shared" ref="S3:S6" si="1">N3*P3</f>
        <v>88835.769230769234</v>
      </c>
    </row>
    <row r="4" spans="1:19" x14ac:dyDescent="0.3">
      <c r="A4" s="2">
        <v>326</v>
      </c>
      <c r="C4" t="s">
        <v>3</v>
      </c>
      <c r="D4">
        <f>_xlfn.VAR.S(A1:A50)</f>
        <v>379882.95061224484</v>
      </c>
      <c r="F4">
        <f>1+INT(LOG(D8,2)) - 1</f>
        <v>5</v>
      </c>
      <c r="I4" t="s">
        <v>3</v>
      </c>
      <c r="J4">
        <f>_xlfn.VAR.S(A1:A46)</f>
        <v>195588.68260869567</v>
      </c>
      <c r="N4" s="13">
        <f>_xlfn.VAR.S(A37:A41)</f>
        <v>9177.2999999999993</v>
      </c>
      <c r="O4" s="9">
        <f>AVERAGE(A37:A41)</f>
        <v>1189.5999999999999</v>
      </c>
      <c r="P4" s="2">
        <v>5</v>
      </c>
      <c r="Q4" s="14">
        <f t="shared" si="0"/>
        <v>881872.17854442284</v>
      </c>
      <c r="S4" s="19">
        <f t="shared" si="1"/>
        <v>45886.5</v>
      </c>
    </row>
    <row r="5" spans="1:19" x14ac:dyDescent="0.3">
      <c r="A5" s="2">
        <v>330</v>
      </c>
      <c r="C5" t="s">
        <v>4</v>
      </c>
      <c r="D5">
        <f>_xlfn.STDEV.S(A1:A50)</f>
        <v>616.34645339471604</v>
      </c>
      <c r="I5" t="s">
        <v>4</v>
      </c>
      <c r="J5">
        <f>_xlfn.STDEV.S(A1:A46)</f>
        <v>442.25409281169539</v>
      </c>
      <c r="N5" s="13">
        <f>_xlfn.VAR.S(A42:A43)</f>
        <v>25992</v>
      </c>
      <c r="O5" s="9">
        <f>AVERAGE(A42:A43)</f>
        <v>1559</v>
      </c>
      <c r="P5" s="2">
        <v>2</v>
      </c>
      <c r="Q5" s="14">
        <f t="shared" si="0"/>
        <v>1246208.6209829866</v>
      </c>
      <c r="S5" s="19">
        <f t="shared" si="1"/>
        <v>51984</v>
      </c>
    </row>
    <row r="6" spans="1:19" ht="15" thickBot="1" x14ac:dyDescent="0.35">
      <c r="A6" s="2">
        <v>334</v>
      </c>
      <c r="C6" t="s">
        <v>6</v>
      </c>
      <c r="D6">
        <f>AVERAGE(A1:A50)</f>
        <v>900.22</v>
      </c>
      <c r="I6" t="s">
        <v>6</v>
      </c>
      <c r="J6">
        <f>AVERAGE(A1:A46)</f>
        <v>769.63043478260875</v>
      </c>
      <c r="N6" s="15">
        <f>_xlfn.VAR.S(A44:A46)</f>
        <v>26899</v>
      </c>
      <c r="O6" s="16">
        <f>AVERAGE(A44:A46)</f>
        <v>1898</v>
      </c>
      <c r="P6" s="17">
        <v>3</v>
      </c>
      <c r="Q6" s="7">
        <f t="shared" si="0"/>
        <v>3819653.6271266537</v>
      </c>
      <c r="S6" s="20">
        <f t="shared" si="1"/>
        <v>80697</v>
      </c>
    </row>
    <row r="7" spans="1:19" x14ac:dyDescent="0.3">
      <c r="A7" s="2">
        <v>345</v>
      </c>
      <c r="C7" t="s">
        <v>5</v>
      </c>
      <c r="D7">
        <f>D5/D6 * 100</f>
        <v>68.466203083103679</v>
      </c>
      <c r="I7" t="s">
        <v>5</v>
      </c>
      <c r="J7">
        <f>J5/J6 * 100</f>
        <v>57.463176197887144</v>
      </c>
    </row>
    <row r="8" spans="1:19" x14ac:dyDescent="0.3">
      <c r="A8" s="2">
        <v>382</v>
      </c>
      <c r="B8" t="s">
        <v>9</v>
      </c>
      <c r="C8" t="s">
        <v>10</v>
      </c>
      <c r="D8">
        <v>46</v>
      </c>
    </row>
    <row r="9" spans="1:19" x14ac:dyDescent="0.3">
      <c r="A9" s="2">
        <v>390</v>
      </c>
    </row>
    <row r="10" spans="1:19" x14ac:dyDescent="0.3">
      <c r="A10" s="2">
        <v>412</v>
      </c>
      <c r="C10" t="s">
        <v>14</v>
      </c>
      <c r="D10" t="s">
        <v>15</v>
      </c>
      <c r="N10" t="s">
        <v>20</v>
      </c>
      <c r="Q10">
        <f>SUM(S2:S6)/D8</f>
        <v>11304.25740563784</v>
      </c>
    </row>
    <row r="11" spans="1:19" x14ac:dyDescent="0.3">
      <c r="A11" s="2">
        <v>438</v>
      </c>
      <c r="N11" t="s">
        <v>21</v>
      </c>
      <c r="Q11">
        <f>SUM(Q2:Q6)/D8</f>
        <v>181769.34933346426</v>
      </c>
    </row>
    <row r="12" spans="1:19" x14ac:dyDescent="0.3">
      <c r="A12" s="2">
        <v>441</v>
      </c>
    </row>
    <row r="13" spans="1:19" x14ac:dyDescent="0.3">
      <c r="A13" s="2">
        <v>459</v>
      </c>
    </row>
    <row r="14" spans="1:19" x14ac:dyDescent="0.3">
      <c r="A14" s="2">
        <v>476</v>
      </c>
      <c r="N14" t="s">
        <v>23</v>
      </c>
    </row>
    <row r="15" spans="1:19" x14ac:dyDescent="0.3">
      <c r="A15" s="2">
        <v>520</v>
      </c>
      <c r="N15" t="s">
        <v>24</v>
      </c>
    </row>
    <row r="16" spans="1:19" x14ac:dyDescent="0.3">
      <c r="A16" s="2">
        <v>520</v>
      </c>
      <c r="N16">
        <f>J4</f>
        <v>195588.68260869567</v>
      </c>
      <c r="O16" t="s">
        <v>25</v>
      </c>
      <c r="P16">
        <f>Q10+Q11</f>
        <v>193073.60673910211</v>
      </c>
    </row>
    <row r="17" spans="1:14" x14ac:dyDescent="0.3">
      <c r="A17" s="2">
        <v>542</v>
      </c>
    </row>
    <row r="18" spans="1:14" x14ac:dyDescent="0.3">
      <c r="A18" s="2">
        <v>562</v>
      </c>
      <c r="N18" t="s">
        <v>26</v>
      </c>
    </row>
    <row r="19" spans="1:14" x14ac:dyDescent="0.3">
      <c r="A19" s="2">
        <v>573</v>
      </c>
      <c r="N19">
        <f>Q11/J4 * 100</f>
        <v>92.934492379153113</v>
      </c>
    </row>
    <row r="20" spans="1:14" x14ac:dyDescent="0.3">
      <c r="A20" s="2">
        <v>574</v>
      </c>
    </row>
    <row r="21" spans="1:14" x14ac:dyDescent="0.3">
      <c r="A21" s="2">
        <v>579</v>
      </c>
    </row>
    <row r="22" spans="1:14" x14ac:dyDescent="0.3">
      <c r="A22" s="2">
        <v>586</v>
      </c>
    </row>
    <row r="23" spans="1:14" x14ac:dyDescent="0.3">
      <c r="A23" s="3">
        <v>655</v>
      </c>
    </row>
    <row r="24" spans="1:14" x14ac:dyDescent="0.3">
      <c r="A24" s="3">
        <v>712</v>
      </c>
    </row>
    <row r="25" spans="1:14" x14ac:dyDescent="0.3">
      <c r="A25" s="3">
        <v>718</v>
      </c>
    </row>
    <row r="26" spans="1:14" x14ac:dyDescent="0.3">
      <c r="A26" s="3">
        <v>728</v>
      </c>
    </row>
    <row r="27" spans="1:14" x14ac:dyDescent="0.3">
      <c r="A27" s="3">
        <v>734</v>
      </c>
    </row>
    <row r="28" spans="1:14" x14ac:dyDescent="0.3">
      <c r="A28" s="3">
        <v>759</v>
      </c>
    </row>
    <row r="29" spans="1:14" x14ac:dyDescent="0.3">
      <c r="A29" s="3">
        <v>763</v>
      </c>
    </row>
    <row r="30" spans="1:14" x14ac:dyDescent="0.3">
      <c r="A30" s="3">
        <v>777</v>
      </c>
    </row>
    <row r="31" spans="1:14" x14ac:dyDescent="0.3">
      <c r="A31" s="3">
        <v>796</v>
      </c>
      <c r="C31" t="s">
        <v>11</v>
      </c>
      <c r="D31">
        <v>22</v>
      </c>
      <c r="E31">
        <v>14</v>
      </c>
      <c r="F31">
        <v>5</v>
      </c>
      <c r="G31">
        <v>2</v>
      </c>
      <c r="H31">
        <v>3</v>
      </c>
    </row>
    <row r="32" spans="1:14" x14ac:dyDescent="0.3">
      <c r="A32" s="3">
        <v>802</v>
      </c>
      <c r="C32" t="s">
        <v>12</v>
      </c>
      <c r="D32">
        <f>AVERAGE(A1:A22)</f>
        <v>438.63636363636363</v>
      </c>
      <c r="E32">
        <f>AVERAGE(A23:A36)</f>
        <v>785.21428571428567</v>
      </c>
      <c r="F32">
        <f>AVERAGE(A37:A41)</f>
        <v>1189.5999999999999</v>
      </c>
      <c r="G32">
        <f>AVERAGE(A42:A43)</f>
        <v>1559</v>
      </c>
      <c r="H32">
        <f>AVERAGE(A44:A46)</f>
        <v>1898</v>
      </c>
    </row>
    <row r="33" spans="1:8" x14ac:dyDescent="0.3">
      <c r="A33" s="3">
        <v>853</v>
      </c>
      <c r="C33" t="s">
        <v>13</v>
      </c>
      <c r="D33">
        <f>D31/$D$8</f>
        <v>0.47826086956521741</v>
      </c>
      <c r="E33">
        <f t="shared" ref="E33:H33" si="2">E31/$D$8</f>
        <v>0.30434782608695654</v>
      </c>
      <c r="F33">
        <f t="shared" si="2"/>
        <v>0.10869565217391304</v>
      </c>
      <c r="G33">
        <f t="shared" si="2"/>
        <v>4.3478260869565216E-2</v>
      </c>
      <c r="H33">
        <f t="shared" si="2"/>
        <v>6.5217391304347824E-2</v>
      </c>
    </row>
    <row r="34" spans="1:8" x14ac:dyDescent="0.3">
      <c r="A34" s="3">
        <v>862</v>
      </c>
    </row>
    <row r="35" spans="1:8" x14ac:dyDescent="0.3">
      <c r="A35" s="3">
        <v>879</v>
      </c>
    </row>
    <row r="36" spans="1:8" x14ac:dyDescent="0.3">
      <c r="A36" s="3">
        <v>955</v>
      </c>
    </row>
    <row r="37" spans="1:8" x14ac:dyDescent="0.3">
      <c r="A37" s="2">
        <v>1089</v>
      </c>
    </row>
    <row r="38" spans="1:8" x14ac:dyDescent="0.3">
      <c r="A38" s="2">
        <v>1140</v>
      </c>
    </row>
    <row r="39" spans="1:8" x14ac:dyDescent="0.3">
      <c r="A39" s="2">
        <v>1143</v>
      </c>
    </row>
    <row r="40" spans="1:8" x14ac:dyDescent="0.3">
      <c r="A40" s="2">
        <v>1252</v>
      </c>
    </row>
    <row r="41" spans="1:8" x14ac:dyDescent="0.3">
      <c r="A41" s="2">
        <v>1324</v>
      </c>
    </row>
    <row r="42" spans="1:8" x14ac:dyDescent="0.3">
      <c r="A42" s="3">
        <v>1445</v>
      </c>
    </row>
    <row r="43" spans="1:8" x14ac:dyDescent="0.3">
      <c r="A43" s="3">
        <v>1673</v>
      </c>
    </row>
    <row r="44" spans="1:8" x14ac:dyDescent="0.3">
      <c r="A44" s="2">
        <v>1720</v>
      </c>
    </row>
    <row r="45" spans="1:8" x14ac:dyDescent="0.3">
      <c r="A45" s="2">
        <v>1931</v>
      </c>
    </row>
    <row r="46" spans="1:8" x14ac:dyDescent="0.3">
      <c r="A46" s="2">
        <v>2043</v>
      </c>
    </row>
    <row r="47" spans="1:8" x14ac:dyDescent="0.3">
      <c r="A47" s="1">
        <v>2335</v>
      </c>
    </row>
    <row r="48" spans="1:8" x14ac:dyDescent="0.3">
      <c r="A48" s="1">
        <v>2400</v>
      </c>
    </row>
    <row r="49" spans="1:1" x14ac:dyDescent="0.3">
      <c r="A49" s="1">
        <v>2431</v>
      </c>
    </row>
    <row r="50" spans="1:1" x14ac:dyDescent="0.3">
      <c r="A50" s="1">
        <v>2442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часть1(s)</vt:lpstr>
      <vt:lpstr>часть3(s+1)</vt:lpstr>
      <vt:lpstr>часть2(s-1)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Виктория Лозюк</cp:lastModifiedBy>
  <dcterms:created xsi:type="dcterms:W3CDTF">2015-06-05T18:19:34Z</dcterms:created>
  <dcterms:modified xsi:type="dcterms:W3CDTF">2024-09-24T13:39:12Z</dcterms:modified>
</cp:coreProperties>
</file>