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mul\Desktop\ExelParsar\ExelParser\ExelParser\ExcelSheets\"/>
    </mc:Choice>
  </mc:AlternateContent>
  <bookViews>
    <workbookView xWindow="0" yWindow="0" windowWidth="20490" windowHeight="7755" activeTab="4"/>
  </bookViews>
  <sheets>
    <sheet name="Exterior" sheetId="5" r:id="rId1"/>
    <sheet name="Metal,Wood,Cane" sheetId="6" r:id="rId2"/>
    <sheet name="Interior" sheetId="1" r:id="rId3"/>
    <sheet name="Category" sheetId="4" r:id="rId4"/>
    <sheet name="MRP" sheetId="3" r:id="rId5"/>
  </sheets>
  <definedNames>
    <definedName name="_xlnm._FilterDatabase" localSheetId="4" hidden="1">MRP!$A$1:$J$46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0" i="3" l="1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I34" i="6" l="1"/>
  <c r="I33" i="6"/>
  <c r="I32" i="6"/>
  <c r="I27" i="6"/>
  <c r="I26" i="6"/>
  <c r="I25" i="6"/>
  <c r="I19" i="6"/>
  <c r="I18" i="6"/>
  <c r="I17" i="6"/>
  <c r="I16" i="6"/>
  <c r="I30" i="5"/>
  <c r="I29" i="5"/>
  <c r="I25" i="5"/>
  <c r="I24" i="5"/>
  <c r="I23" i="5"/>
  <c r="I18" i="5"/>
  <c r="I17" i="5"/>
  <c r="I16" i="5"/>
  <c r="I30" i="1"/>
  <c r="I29" i="1"/>
  <c r="I25" i="1"/>
  <c r="I24" i="1"/>
  <c r="I23" i="1"/>
  <c r="I18" i="1"/>
  <c r="I17" i="1"/>
  <c r="I16" i="1"/>
  <c r="N34" i="6"/>
  <c r="N33" i="6"/>
  <c r="N32" i="6"/>
  <c r="N27" i="6"/>
  <c r="N26" i="6"/>
  <c r="N25" i="6"/>
  <c r="N19" i="6"/>
  <c r="N18" i="6"/>
  <c r="N17" i="6"/>
  <c r="N16" i="6"/>
  <c r="N30" i="5"/>
  <c r="N29" i="5"/>
  <c r="N25" i="5"/>
  <c r="N24" i="5"/>
  <c r="N23" i="5"/>
  <c r="N18" i="5"/>
  <c r="N17" i="5"/>
  <c r="N16" i="5"/>
  <c r="N30" i="1"/>
  <c r="N29" i="1"/>
  <c r="N25" i="1"/>
  <c r="N24" i="1"/>
  <c r="N23" i="1"/>
  <c r="N18" i="1"/>
  <c r="N17" i="1"/>
  <c r="G25" i="1"/>
  <c r="N16" i="1"/>
  <c r="I7" i="6"/>
  <c r="I9" i="6"/>
  <c r="I5" i="6"/>
  <c r="I9" i="5"/>
  <c r="E12" i="5"/>
  <c r="J25" i="6" l="1"/>
  <c r="I7" i="5" l="1"/>
  <c r="I5" i="5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2" i="3"/>
  <c r="J16" i="3" l="1"/>
  <c r="J15" i="3"/>
  <c r="F14" i="1"/>
  <c r="F13" i="1"/>
  <c r="M9" i="6" l="1"/>
  <c r="G34" i="6"/>
  <c r="H34" i="6" s="1"/>
  <c r="G33" i="6"/>
  <c r="G32" i="6"/>
  <c r="G27" i="6"/>
  <c r="H27" i="6" s="1"/>
  <c r="G26" i="6"/>
  <c r="G25" i="6"/>
  <c r="I3" i="6"/>
  <c r="G19" i="6"/>
  <c r="H19" i="6" s="1"/>
  <c r="G18" i="6"/>
  <c r="G17" i="6"/>
  <c r="G16" i="6"/>
  <c r="E10" i="6"/>
  <c r="E9" i="6"/>
  <c r="H23" i="5"/>
  <c r="G23" i="5"/>
  <c r="J16" i="6" l="1"/>
  <c r="K16" i="6" s="1"/>
  <c r="L16" i="6" s="1"/>
  <c r="J17" i="6" s="1"/>
  <c r="J32" i="6"/>
  <c r="H16" i="6"/>
  <c r="H17" i="6"/>
  <c r="H18" i="6"/>
  <c r="H32" i="6"/>
  <c r="H33" i="6"/>
  <c r="H25" i="6"/>
  <c r="H26" i="6"/>
  <c r="G30" i="5"/>
  <c r="H30" i="5" s="1"/>
  <c r="G29" i="5"/>
  <c r="G25" i="5"/>
  <c r="H25" i="5" s="1"/>
  <c r="G24" i="5"/>
  <c r="G18" i="5"/>
  <c r="H18" i="5" s="1"/>
  <c r="G17" i="5"/>
  <c r="G16" i="5"/>
  <c r="I3" i="5"/>
  <c r="E10" i="5"/>
  <c r="J23" i="5" s="1"/>
  <c r="M16" i="6" l="1"/>
  <c r="O16" i="6" s="1"/>
  <c r="M25" i="6"/>
  <c r="O25" i="6" s="1"/>
  <c r="K25" i="6"/>
  <c r="L25" i="6" s="1"/>
  <c r="J26" i="6" s="1"/>
  <c r="K32" i="6"/>
  <c r="L32" i="6" s="1"/>
  <c r="J33" i="6" s="1"/>
  <c r="M33" i="6" s="1"/>
  <c r="O33" i="6" s="1"/>
  <c r="M32" i="6"/>
  <c r="O32" i="6" s="1"/>
  <c r="H24" i="5"/>
  <c r="H16" i="5"/>
  <c r="M9" i="5"/>
  <c r="J29" i="5"/>
  <c r="J16" i="5"/>
  <c r="H17" i="5"/>
  <c r="H29" i="5"/>
  <c r="G16" i="1"/>
  <c r="K26" i="6" l="1"/>
  <c r="L26" i="6" s="1"/>
  <c r="J27" i="6" s="1"/>
  <c r="M27" i="6" s="1"/>
  <c r="O27" i="6" s="1"/>
  <c r="M26" i="6"/>
  <c r="O26" i="6" s="1"/>
  <c r="K33" i="6"/>
  <c r="L33" i="6" s="1"/>
  <c r="J34" i="6" s="1"/>
  <c r="M34" i="6" s="1"/>
  <c r="O34" i="6" s="1"/>
  <c r="K17" i="6"/>
  <c r="L17" i="6" s="1"/>
  <c r="J18" i="6" s="1"/>
  <c r="M17" i="6"/>
  <c r="O17" i="6" s="1"/>
  <c r="K16" i="5"/>
  <c r="L16" i="5" s="1"/>
  <c r="J17" i="5" s="1"/>
  <c r="M17" i="5" s="1"/>
  <c r="M16" i="5"/>
  <c r="O16" i="5" s="1"/>
  <c r="K29" i="5"/>
  <c r="L29" i="5" s="1"/>
  <c r="J30" i="5" s="1"/>
  <c r="M29" i="5"/>
  <c r="O29" i="5" s="1"/>
  <c r="M23" i="5"/>
  <c r="O23" i="5" s="1"/>
  <c r="K23" i="5"/>
  <c r="L23" i="5" s="1"/>
  <c r="J24" i="5" s="1"/>
  <c r="G18" i="1"/>
  <c r="G17" i="1"/>
  <c r="J2" i="3"/>
  <c r="G30" i="1"/>
  <c r="H30" i="1" s="1"/>
  <c r="G29" i="1"/>
  <c r="K18" i="6" l="1"/>
  <c r="L18" i="6" s="1"/>
  <c r="J19" i="6" s="1"/>
  <c r="M19" i="6" s="1"/>
  <c r="O19" i="6" s="1"/>
  <c r="M18" i="6"/>
  <c r="O18" i="6" s="1"/>
  <c r="O35" i="6"/>
  <c r="M7" i="6" s="1"/>
  <c r="O28" i="6"/>
  <c r="M5" i="6" s="1"/>
  <c r="K30" i="5"/>
  <c r="L30" i="5" s="1"/>
  <c r="M30" i="5"/>
  <c r="M24" i="5"/>
  <c r="O24" i="5" s="1"/>
  <c r="K24" i="5"/>
  <c r="L24" i="5" s="1"/>
  <c r="J25" i="5" s="1"/>
  <c r="M25" i="5" s="1"/>
  <c r="O25" i="5" s="1"/>
  <c r="K17" i="5"/>
  <c r="L17" i="5" s="1"/>
  <c r="M18" i="5" s="1"/>
  <c r="O18" i="5" s="1"/>
  <c r="O17" i="5"/>
  <c r="H29" i="1"/>
  <c r="O20" i="6" l="1"/>
  <c r="M3" i="6" s="1"/>
  <c r="M11" i="6" s="1"/>
  <c r="O30" i="5"/>
  <c r="O31" i="5" s="1"/>
  <c r="M7" i="5" s="1"/>
  <c r="O26" i="5"/>
  <c r="M5" i="5" s="1"/>
  <c r="O19" i="5"/>
  <c r="M3" i="5" s="1"/>
  <c r="G24" i="1"/>
  <c r="G23" i="1"/>
  <c r="M11" i="5" l="1"/>
  <c r="H24" i="1"/>
  <c r="H23" i="1"/>
  <c r="H25" i="1"/>
  <c r="H18" i="1"/>
  <c r="H16" i="1"/>
  <c r="H17" i="1" l="1"/>
  <c r="B9" i="1" l="1"/>
  <c r="I3" i="1" s="1"/>
  <c r="E19" i="1"/>
  <c r="E20" i="1"/>
  <c r="J45" i="3"/>
  <c r="J46" i="3"/>
  <c r="J36" i="3"/>
  <c r="J37" i="3"/>
  <c r="J38" i="3"/>
  <c r="J39" i="3"/>
  <c r="J40" i="3"/>
  <c r="J41" i="3"/>
  <c r="J42" i="3"/>
  <c r="J43" i="3"/>
  <c r="J10" i="3"/>
  <c r="J11" i="3"/>
  <c r="J12" i="3"/>
  <c r="J3" i="3"/>
  <c r="J4" i="3"/>
  <c r="J13" i="3"/>
  <c r="J14" i="3"/>
  <c r="J28" i="3"/>
  <c r="J29" i="3"/>
  <c r="J30" i="3"/>
  <c r="J31" i="3"/>
  <c r="J20" i="3"/>
  <c r="J21" i="3"/>
  <c r="J22" i="3"/>
  <c r="J23" i="3"/>
  <c r="J24" i="3"/>
  <c r="J32" i="3"/>
  <c r="J33" i="3"/>
  <c r="J34" i="3"/>
  <c r="J35" i="3"/>
  <c r="J17" i="3"/>
  <c r="J18" i="3"/>
  <c r="J19" i="3"/>
  <c r="J7" i="3"/>
  <c r="J8" i="3"/>
  <c r="J9" i="3"/>
  <c r="J5" i="3"/>
  <c r="J6" i="3"/>
  <c r="J25" i="3"/>
  <c r="J26" i="3"/>
  <c r="J27" i="3"/>
  <c r="J44" i="3"/>
  <c r="I9" i="1" l="1"/>
  <c r="J29" i="1" s="1"/>
  <c r="K29" i="1" s="1"/>
  <c r="L29" i="1" s="1"/>
  <c r="J30" i="1" s="1"/>
  <c r="I7" i="1"/>
  <c r="J23" i="1" s="1"/>
  <c r="M23" i="1" s="1"/>
  <c r="O23" i="1" s="1"/>
  <c r="I5" i="1"/>
  <c r="J16" i="1"/>
  <c r="K16" i="1" s="1"/>
  <c r="M9" i="1"/>
  <c r="L16" i="1" l="1"/>
  <c r="J17" i="1" s="1"/>
  <c r="M16" i="1"/>
  <c r="O16" i="1" s="1"/>
  <c r="M29" i="1"/>
  <c r="O29" i="1" s="1"/>
  <c r="K23" i="1"/>
  <c r="L23" i="1" s="1"/>
  <c r="J24" i="1" s="1"/>
  <c r="K24" i="1" s="1"/>
  <c r="L24" i="1" s="1"/>
  <c r="J25" i="1" s="1"/>
  <c r="M25" i="1" s="1"/>
  <c r="O25" i="1" s="1"/>
  <c r="M30" i="1"/>
  <c r="O30" i="1" s="1"/>
  <c r="K30" i="1"/>
  <c r="L30" i="1" s="1"/>
  <c r="M17" i="1" l="1"/>
  <c r="O17" i="1" s="1"/>
  <c r="K17" i="1"/>
  <c r="L17" i="1" s="1"/>
  <c r="J18" i="1" s="1"/>
  <c r="M18" i="1" s="1"/>
  <c r="O18" i="1" s="1"/>
  <c r="O31" i="1"/>
  <c r="M7" i="1" s="1"/>
  <c r="M24" i="1"/>
  <c r="O24" i="1" s="1"/>
  <c r="O26" i="1" s="1"/>
  <c r="M5" i="1" s="1"/>
  <c r="O19" i="1" l="1"/>
  <c r="M3" i="1" s="1"/>
  <c r="M11" i="1" s="1"/>
</calcChain>
</file>

<file path=xl/sharedStrings.xml><?xml version="1.0" encoding="utf-8"?>
<sst xmlns="http://schemas.openxmlformats.org/spreadsheetml/2006/main" count="441" uniqueCount="115">
  <si>
    <t>Interior</t>
  </si>
  <si>
    <t>Exterior</t>
  </si>
  <si>
    <t>Length</t>
  </si>
  <si>
    <t>Width</t>
  </si>
  <si>
    <t>Height</t>
  </si>
  <si>
    <t>Sq. Ft</t>
  </si>
  <si>
    <t>No of Door</t>
  </si>
  <si>
    <t>Door</t>
  </si>
  <si>
    <t>Window</t>
  </si>
  <si>
    <t>Area Calculation</t>
  </si>
  <si>
    <t>Painting Cost</t>
  </si>
  <si>
    <t>TK/Sq.Ft</t>
  </si>
  <si>
    <t>Standrad Mesurment for Door = 7' × 3.5'</t>
  </si>
  <si>
    <t>Standrad Mesurment for Window = 4.5' × 5'</t>
  </si>
  <si>
    <t>Length × Width</t>
  </si>
  <si>
    <t>No of Window</t>
  </si>
  <si>
    <t>Product Name</t>
  </si>
  <si>
    <t>Acroflat SPD (Distemper)</t>
  </si>
  <si>
    <t>Feather Silk Emulsion</t>
  </si>
  <si>
    <t>Rangdhanu Synthetic Enamel</t>
  </si>
  <si>
    <t>Synglo Synthetic Enamel</t>
  </si>
  <si>
    <t>Primer</t>
  </si>
  <si>
    <t>Top Coat</t>
  </si>
  <si>
    <t>Total Area</t>
  </si>
  <si>
    <t>Top Coat Quantity</t>
  </si>
  <si>
    <t>Sealer Quantity</t>
  </si>
  <si>
    <t>Putty Quantity</t>
  </si>
  <si>
    <t>Ltr</t>
  </si>
  <si>
    <t>Kg</t>
  </si>
  <si>
    <t>Total Cost</t>
  </si>
  <si>
    <t>TK</t>
  </si>
  <si>
    <t>Top Coat Cost</t>
  </si>
  <si>
    <t>Sealer Cost</t>
  </si>
  <si>
    <t>Putty Cost</t>
  </si>
  <si>
    <t>Metal/ Wood / Cane</t>
  </si>
  <si>
    <t>Ltr/ Sq.ft</t>
  </si>
  <si>
    <t>Item Code</t>
  </si>
  <si>
    <t>Item Name</t>
  </si>
  <si>
    <t>R U</t>
  </si>
  <si>
    <t>MRP</t>
  </si>
  <si>
    <t>Gallon</t>
  </si>
  <si>
    <t>Drum</t>
  </si>
  <si>
    <t>Rainbow Red Oxide Primer 0.455 Ltr</t>
  </si>
  <si>
    <t>Rainbow Red Oxide Primer 0.91 Ltr</t>
  </si>
  <si>
    <t>Rainbow Red Oxide Primer 3.64 Ltr</t>
  </si>
  <si>
    <t>Rainbow Red Oxide Primer 18.2 Ltr</t>
  </si>
  <si>
    <t>All Round Exterior Primer 0.90 Ltr</t>
  </si>
  <si>
    <t>All Round Exterior Primer 3.60 Ltr</t>
  </si>
  <si>
    <t>All Round Exterior Primer 18 Ltr</t>
  </si>
  <si>
    <t>Qty</t>
  </si>
  <si>
    <t>Amount</t>
  </si>
  <si>
    <t>Sealer</t>
  </si>
  <si>
    <t>Putty</t>
  </si>
  <si>
    <t>Weather Care Ext.Sealer</t>
  </si>
  <si>
    <t>Water Base Int.Sealer</t>
  </si>
  <si>
    <t>APE Plastic Paint</t>
  </si>
  <si>
    <t>Weather Care Ext.Emulsion</t>
  </si>
  <si>
    <t>Synthetic Undercoat</t>
  </si>
  <si>
    <t>Rainbow Red Oxide Primer</t>
  </si>
  <si>
    <t xml:space="preserve">All Rounder Exterior Primer </t>
  </si>
  <si>
    <t>All Rounder Ext.Emulsion</t>
  </si>
  <si>
    <t>Rockcem Cement Paint</t>
  </si>
  <si>
    <t>No of Coat</t>
  </si>
  <si>
    <t>Tk</t>
  </si>
  <si>
    <t>Pack Size</t>
  </si>
  <si>
    <t>No of Floor</t>
  </si>
  <si>
    <t>Undercoat</t>
  </si>
  <si>
    <t>Undercoat Quantity</t>
  </si>
  <si>
    <t>Primer Quantity</t>
  </si>
  <si>
    <t>Under Coat Cost</t>
  </si>
  <si>
    <t>Primer Cost</t>
  </si>
  <si>
    <t>Metal/Wood/Cane</t>
  </si>
  <si>
    <t>Class Name</t>
  </si>
  <si>
    <t>WB Wall Putty</t>
  </si>
  <si>
    <t>Min Covarage</t>
  </si>
  <si>
    <t>Max Covarage</t>
  </si>
  <si>
    <t>Avrg Covarage</t>
  </si>
  <si>
    <t>Acroflat SPD (Distemper) 0.91 Ltr</t>
  </si>
  <si>
    <t>Acroflat SPD (Distemper) 3.64 Ltr</t>
  </si>
  <si>
    <t>Acroflat SPD (Distemper) 18 Ltr</t>
  </si>
  <si>
    <t>All Round Ext.Emulsion (3.60 Ltr)</t>
  </si>
  <si>
    <t>All Round Ext.Emulsion (18 Ltr)</t>
  </si>
  <si>
    <t>APE Plastic Paint 0.91 Ltr</t>
  </si>
  <si>
    <t>APE Plastic Paint-3.64 Ltr</t>
  </si>
  <si>
    <t>APE Plastic Paint- 18 Ltr</t>
  </si>
  <si>
    <t>Feather Silk Emulsion-  0.91 Ltr</t>
  </si>
  <si>
    <t>Feather Silk Emulsion- 3.64 Ltr</t>
  </si>
  <si>
    <t>Feather Silk Emulsion- 18.2 Ltr</t>
  </si>
  <si>
    <t>Rangdhanu Synthetic Enamel-  0.200ml</t>
  </si>
  <si>
    <t>Rangdhanu Synthetic Enamel- 0.455 Ltr</t>
  </si>
  <si>
    <t>Rangdhanu Synthetic Enamel- 0.91 Ltr</t>
  </si>
  <si>
    <t>Rangdhanu Synthetic Enamel-  3.64 Ltr</t>
  </si>
  <si>
    <t>Rangdhanu Synthetic Enamel- 18.2 Ltr</t>
  </si>
  <si>
    <t>Rockcem Cement Paint - 5 kg</t>
  </si>
  <si>
    <t>Rockcem Cement Paint - 20 kg</t>
  </si>
  <si>
    <t>Rockcem Cement Paint - 40 kg</t>
  </si>
  <si>
    <t>Synglo Synthetic Enamel Paint-0.455 Ltr</t>
  </si>
  <si>
    <t>Synglo Synthetic Enamel Paint-0.91 Ltr</t>
  </si>
  <si>
    <t>Synglo Synthetic Enamel Paint-3.64 Ltr</t>
  </si>
  <si>
    <t>Synglo Synthetic Enamel Paint-18.2 Ltr</t>
  </si>
  <si>
    <t>Synthetic Undercoat- 0.455 Ltr</t>
  </si>
  <si>
    <t>Synthetic Undercoat- 0.91 Ltr</t>
  </si>
  <si>
    <t>Synthetic Undercoat- 3.64 Ltr</t>
  </si>
  <si>
    <t>Synthetic Undercoat- 18.2 Ltr</t>
  </si>
  <si>
    <t>Water Base Int.Sealer- 0.91 Ltr</t>
  </si>
  <si>
    <t>Water Base Int.Sealer- 3.64 Ltr</t>
  </si>
  <si>
    <t>Water Base Int.Sealer - 18 Ltr</t>
  </si>
  <si>
    <t>WB Wall Putty Sealer- 5 Kg</t>
  </si>
  <si>
    <t>WB Wall Putty Sealer- 25 Kg</t>
  </si>
  <si>
    <t>Weather Care Ext.Emulsion -0.91 Ltr</t>
  </si>
  <si>
    <t>Weather Care Ext.Emulsion -3.64 Ltr</t>
  </si>
  <si>
    <t>Weather Care Ext.Emulsion -18 Ltr</t>
  </si>
  <si>
    <t>Weather Care Ext.Sealer- 0.91 Ltr</t>
  </si>
  <si>
    <t>Weather Care Ext.Sealer- 3.64 Ltr</t>
  </si>
  <si>
    <t>Weather Care Ext.Sealer- 18 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</si>
</sst>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_(* #,##0.0_);_(* \(#,##0.0\);_(* &quot;-&quot;??_);_(@_)"/>
    <numFmt numFmtId="167" formatCode="_(* #,##0.00000_);_(* \(#,##0.000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8"/>
      <color rgb="FF000000"/>
      <name val="Segoe UI"/>
      <family val="2"/>
    </font>
    <font>
      <b/>
      <sz val="12"/>
      <color rgb="FF0A0101"/>
      <name val="Arial"/>
      <family val="2"/>
    </font>
    <font>
      <sz val="11"/>
      <color rgb="FF333333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3" fillId="0" borderId="0" xfId="0" applyFont="1"/>
    <xf numFmtId="0" fontId="3" fillId="0" borderId="0" xfId="0" applyFont="1" applyBorder="1" applyAlignment="1">
      <alignment vertical="center"/>
    </xf>
    <xf numFmtId="0" fontId="0" fillId="0" borderId="1" xfId="0" applyFont="1" applyBorder="1"/>
    <xf numFmtId="0" fontId="0" fillId="0" borderId="0" xfId="0" applyFont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Font="1" applyBorder="1" applyAlignment="1">
      <alignment horizontal="center"/>
    </xf>
    <xf numFmtId="166" fontId="0" fillId="0" borderId="0" xfId="1" applyNumberFormat="1" applyFont="1"/>
    <xf numFmtId="165" fontId="0" fillId="0" borderId="1" xfId="1" applyNumberFormat="1" applyFont="1" applyBorder="1" applyAlignment="1"/>
    <xf numFmtId="165" fontId="0" fillId="0" borderId="1" xfId="0" applyNumberFormat="1" applyBorder="1"/>
    <xf numFmtId="0" fontId="4" fillId="0" borderId="1" xfId="0" applyFont="1" applyBorder="1"/>
    <xf numFmtId="0" fontId="3" fillId="0" borderId="0" xfId="0" applyFont="1" applyBorder="1"/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Font="1" applyBorder="1"/>
    <xf numFmtId="0" fontId="0" fillId="0" borderId="0" xfId="0" applyNumberFormat="1" applyFont="1" applyBorder="1"/>
    <xf numFmtId="165" fontId="0" fillId="0" borderId="1" xfId="0" applyNumberFormat="1" applyFont="1" applyBorder="1"/>
    <xf numFmtId="43" fontId="0" fillId="0" borderId="0" xfId="0" applyNumberFormat="1"/>
    <xf numFmtId="0" fontId="0" fillId="0" borderId="0" xfId="0" applyFont="1" applyBorder="1" applyAlignment="1">
      <alignment horizontal="center"/>
    </xf>
    <xf numFmtId="0" fontId="0" fillId="0" borderId="1" xfId="1" applyNumberFormat="1" applyFont="1" applyBorder="1"/>
    <xf numFmtId="0" fontId="0" fillId="0" borderId="1" xfId="1" applyNumberFormat="1" applyFont="1" applyBorder="1" applyAlignment="1">
      <alignment horizontal="center"/>
    </xf>
    <xf numFmtId="165" fontId="1" fillId="0" borderId="11" xfId="1" applyNumberFormat="1" applyFont="1" applyBorder="1" applyAlignment="1"/>
    <xf numFmtId="0" fontId="0" fillId="0" borderId="12" xfId="0" applyFont="1" applyBorder="1"/>
    <xf numFmtId="0" fontId="0" fillId="0" borderId="12" xfId="0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7" fillId="0" borderId="0" xfId="1" applyNumberFormat="1" applyFont="1" applyFill="1" applyBorder="1" applyAlignment="1">
      <alignment horizontal="center" vertical="top"/>
    </xf>
    <xf numFmtId="13" fontId="0" fillId="0" borderId="0" xfId="0" applyNumberFormat="1"/>
    <xf numFmtId="0" fontId="9" fillId="0" borderId="0" xfId="0" applyFont="1"/>
    <xf numFmtId="0" fontId="0" fillId="0" borderId="0" xfId="0" applyFont="1" applyBorder="1" applyAlignment="1"/>
    <xf numFmtId="0" fontId="10" fillId="0" borderId="0" xfId="0" applyFont="1"/>
    <xf numFmtId="0" fontId="5" fillId="0" borderId="1" xfId="0" applyFont="1" applyBorder="1"/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1" xfId="0" applyFont="1" applyFill="1" applyBorder="1" applyAlignment="1">
      <alignment horizontal="center"/>
    </xf>
    <xf numFmtId="0" fontId="0" fillId="0" borderId="0" xfId="0" applyBorder="1" applyAlignment="1">
      <alignment vertical="top"/>
    </xf>
    <xf numFmtId="166" fontId="1" fillId="0" borderId="5" xfId="1" applyNumberFormat="1" applyFont="1" applyBorder="1"/>
    <xf numFmtId="166" fontId="1" fillId="0" borderId="6" xfId="1" applyNumberFormat="1" applyFont="1" applyBorder="1"/>
    <xf numFmtId="166" fontId="1" fillId="0" borderId="0" xfId="1" applyNumberFormat="1" applyFont="1" applyBorder="1"/>
    <xf numFmtId="164" fontId="1" fillId="0" borderId="7" xfId="1" applyNumberFormat="1" applyFont="1" applyBorder="1"/>
    <xf numFmtId="166" fontId="1" fillId="0" borderId="9" xfId="1" applyNumberFormat="1" applyFont="1" applyBorder="1"/>
    <xf numFmtId="166" fontId="1" fillId="0" borderId="10" xfId="1" applyNumberFormat="1" applyFont="1" applyBorder="1"/>
    <xf numFmtId="0" fontId="1" fillId="0" borderId="0" xfId="0" applyFont="1"/>
    <xf numFmtId="166" fontId="1" fillId="0" borderId="4" xfId="1" applyNumberFormat="1" applyFont="1" applyBorder="1"/>
    <xf numFmtId="166" fontId="1" fillId="0" borderId="3" xfId="1" applyNumberFormat="1" applyFont="1" applyBorder="1"/>
    <xf numFmtId="166" fontId="1" fillId="0" borderId="7" xfId="1" applyNumberFormat="1" applyFont="1" applyBorder="1"/>
    <xf numFmtId="166" fontId="1" fillId="0" borderId="8" xfId="1" applyNumberFormat="1" applyFont="1" applyBorder="1"/>
    <xf numFmtId="0" fontId="0" fillId="0" borderId="0" xfId="0" applyFont="1" applyBorder="1" applyAlignment="1">
      <alignment horizontal="left"/>
    </xf>
    <xf numFmtId="0" fontId="0" fillId="0" borderId="0" xfId="1" applyNumberFormat="1" applyFont="1" applyBorder="1" applyAlignment="1">
      <alignment horizontal="center"/>
    </xf>
    <xf numFmtId="0" fontId="0" fillId="0" borderId="9" xfId="0" applyBorder="1"/>
    <xf numFmtId="165" fontId="0" fillId="0" borderId="6" xfId="1" applyNumberFormat="1" applyFont="1" applyBorder="1" applyAlignment="1"/>
    <xf numFmtId="165" fontId="0" fillId="0" borderId="11" xfId="1" applyNumberFormat="1" applyFont="1" applyBorder="1" applyAlignment="1"/>
    <xf numFmtId="0" fontId="0" fillId="0" borderId="10" xfId="0" applyBorder="1"/>
    <xf numFmtId="165" fontId="0" fillId="0" borderId="0" xfId="0" applyNumberFormat="1" applyBorder="1"/>
    <xf numFmtId="165" fontId="1" fillId="0" borderId="6" xfId="1" applyNumberFormat="1" applyFont="1" applyBorder="1" applyAlignment="1"/>
    <xf numFmtId="166" fontId="0" fillId="0" borderId="13" xfId="1" applyNumberFormat="1" applyFont="1" applyBorder="1" applyAlignment="1">
      <alignment vertical="center"/>
    </xf>
    <xf numFmtId="0" fontId="1" fillId="0" borderId="10" xfId="0" applyFont="1" applyBorder="1"/>
    <xf numFmtId="165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/>
    <xf numFmtId="167" fontId="0" fillId="0" borderId="1" xfId="1" applyNumberFormat="1" applyFont="1" applyBorder="1"/>
    <xf numFmtId="165" fontId="12" fillId="2" borderId="1" xfId="1" applyNumberFormat="1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165" fontId="7" fillId="0" borderId="1" xfId="1" applyNumberFormat="1" applyFont="1" applyBorder="1" applyAlignment="1">
      <alignment vertical="top"/>
    </xf>
    <xf numFmtId="43" fontId="0" fillId="0" borderId="1" xfId="1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D$12" lockText="1" noThreeD="1"/>
</file>

<file path=xl/ctrlProps/ctrlProp2.xml><?xml version="1.0" encoding="utf-8"?>
<formControlPr xmlns="http://schemas.microsoft.com/office/spreadsheetml/2009/9/main" objectType="CheckBox" checked="Checked" fmlaLink="$D$10" lockText="1" noThreeD="1"/>
</file>

<file path=xl/ctrlProps/ctrlProp3.xml><?xml version="1.0" encoding="utf-8"?>
<formControlPr xmlns="http://schemas.microsoft.com/office/spreadsheetml/2009/9/main" objectType="CheckBox" checked="Checked" fmlaLink="$D$10" lockText="1" noThreeD="1"/>
</file>

<file path=xl/ctrlProps/ctrlProp4.xml><?xml version="1.0" encoding="utf-8"?>
<formControlPr xmlns="http://schemas.microsoft.com/office/spreadsheetml/2009/9/main" objectType="CheckBox" checked="Checked" fmlaLink="$D$9" lockText="1" noThreeD="1"/>
</file>

<file path=xl/ctrlProps/ctrlProp5.xml><?xml version="1.0" encoding="utf-8"?>
<formControlPr xmlns="http://schemas.microsoft.com/office/spreadsheetml/2009/9/main" objectType="CheckBox" checked="Checked" fmlaLink="$D$20" lockText="1" noThreeD="1"/>
</file>

<file path=xl/ctrlProps/ctrlProp6.xml><?xml version="1.0" encoding="utf-8"?>
<formControlPr xmlns="http://schemas.microsoft.com/office/spreadsheetml/2009/9/main" objectType="CheckBox" checked="Checked" fmlaLink="$D$19" lockText="1" noThreeD="1"/>
</file>

<file path=xl/ctrlProps/ctrlProp7.xml><?xml version="1.0" encoding="utf-8"?>
<formControlPr xmlns="http://schemas.microsoft.com/office/spreadsheetml/2009/9/main" objectType="CheckBox" checked="Checked" fmlaLink="$A$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152400</xdr:rowOff>
        </xdr:from>
        <xdr:to>
          <xdr:col>0</xdr:col>
          <xdr:colOff>1657350</xdr:colOff>
          <xdr:row>12</xdr:row>
          <xdr:rowOff>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 You Want to Use Putty 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9525</xdr:rowOff>
        </xdr:from>
        <xdr:to>
          <xdr:col>0</xdr:col>
          <xdr:colOff>1666875</xdr:colOff>
          <xdr:row>10</xdr:row>
          <xdr:rowOff>85725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 You Want to Use Sealer ?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66675</xdr:rowOff>
        </xdr:from>
        <xdr:to>
          <xdr:col>1</xdr:col>
          <xdr:colOff>304800</xdr:colOff>
          <xdr:row>10</xdr:row>
          <xdr:rowOff>104775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 You Want to Use Primer 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114300</xdr:rowOff>
        </xdr:from>
        <xdr:to>
          <xdr:col>1</xdr:col>
          <xdr:colOff>600075</xdr:colOff>
          <xdr:row>9</xdr:row>
          <xdr:rowOff>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 You Want to use Undercoat ?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19</xdr:row>
          <xdr:rowOff>0</xdr:rowOff>
        </xdr:from>
        <xdr:to>
          <xdr:col>1</xdr:col>
          <xdr:colOff>323850</xdr:colOff>
          <xdr:row>20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 You Want to Use Putty 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17</xdr:row>
          <xdr:rowOff>133350</xdr:rowOff>
        </xdr:from>
        <xdr:to>
          <xdr:col>1</xdr:col>
          <xdr:colOff>333375</xdr:colOff>
          <xdr:row>19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 You Want to Use Sealer 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9525</xdr:rowOff>
        </xdr:from>
        <xdr:to>
          <xdr:col>0</xdr:col>
          <xdr:colOff>1114425</xdr:colOff>
          <xdr:row>8</xdr:row>
          <xdr:rowOff>180975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Celling(Optional)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1"/>
  <sheetViews>
    <sheetView showGridLines="0" workbookViewId="0">
      <selection activeCell="E1" sqref="E1"/>
    </sheetView>
  </sheetViews>
  <sheetFormatPr defaultRowHeight="15" x14ac:dyDescent="0.25"/>
  <cols>
    <col min="1" max="1" width="25.5703125" bestFit="1" customWidth="1"/>
    <col min="2" max="2" width="11.42578125" bestFit="1" customWidth="1"/>
    <col min="3" max="3" width="2.7109375" customWidth="1"/>
    <col min="4" max="4" width="8" bestFit="1" customWidth="1"/>
    <col min="5" max="5" width="8.42578125" bestFit="1" customWidth="1"/>
    <col min="6" max="6" width="21.85546875" bestFit="1" customWidth="1"/>
    <col min="7" max="7" width="10.140625" bestFit="1" customWidth="1"/>
    <col min="8" max="8" width="36.28515625" customWidth="1"/>
    <col min="9" max="9" width="9" style="5" bestFit="1" customWidth="1"/>
    <col min="10" max="11" width="5.85546875" bestFit="1" customWidth="1"/>
    <col min="12" max="12" width="12.85546875" bestFit="1" customWidth="1"/>
    <col min="13" max="13" width="7" bestFit="1" customWidth="1"/>
    <col min="14" max="14" width="6" bestFit="1" customWidth="1"/>
    <col min="15" max="15" width="9.42578125" bestFit="1" customWidth="1"/>
    <col min="16" max="16" width="9.7109375" bestFit="1" customWidth="1"/>
    <col min="17" max="17" width="9.42578125" bestFit="1" customWidth="1"/>
    <col min="18" max="18" width="10" bestFit="1" customWidth="1"/>
  </cols>
  <sheetData>
    <row r="1" spans="1:17" ht="15.75" thickBot="1" x14ac:dyDescent="0.3"/>
    <row r="2" spans="1:17" ht="15.75" thickBot="1" x14ac:dyDescent="0.3">
      <c r="B2" s="3" t="s">
        <v>1</v>
      </c>
      <c r="C2" s="4"/>
      <c r="D2" s="4"/>
      <c r="E2" s="4"/>
      <c r="F2" s="53"/>
    </row>
    <row r="3" spans="1:17" x14ac:dyDescent="0.25">
      <c r="F3" s="55"/>
      <c r="H3" s="49" t="s">
        <v>23</v>
      </c>
      <c r="I3" s="18">
        <f>((B5*B7)+(B6*B7))*B9</f>
        <v>240</v>
      </c>
      <c r="J3" s="40" t="s">
        <v>5</v>
      </c>
      <c r="K3" s="13"/>
      <c r="L3" s="48" t="s">
        <v>31</v>
      </c>
      <c r="M3" s="31">
        <f>O19</f>
        <v>1400</v>
      </c>
      <c r="N3" s="40" t="s">
        <v>30</v>
      </c>
    </row>
    <row r="4" spans="1:17" x14ac:dyDescent="0.25">
      <c r="F4" s="55"/>
      <c r="H4" s="40"/>
      <c r="I4" s="40"/>
      <c r="J4" s="40"/>
      <c r="K4" s="13"/>
      <c r="L4" s="13"/>
      <c r="M4" s="13"/>
      <c r="N4" s="40"/>
    </row>
    <row r="5" spans="1:17" x14ac:dyDescent="0.25">
      <c r="A5" s="2" t="s">
        <v>2</v>
      </c>
      <c r="B5" s="2">
        <v>10</v>
      </c>
      <c r="C5" s="10" t="s">
        <v>5</v>
      </c>
      <c r="F5" s="55"/>
      <c r="H5" s="50" t="s">
        <v>24</v>
      </c>
      <c r="I5" s="51">
        <f>I3/((VLOOKUP(A16,MRP!A:J,9,0)/B16))</f>
        <v>1.4328358208955223</v>
      </c>
      <c r="J5" s="40" t="s">
        <v>27</v>
      </c>
      <c r="K5" s="13"/>
      <c r="L5" s="12" t="s">
        <v>32</v>
      </c>
      <c r="M5" s="31">
        <f>O26</f>
        <v>460</v>
      </c>
      <c r="N5" s="40" t="s">
        <v>30</v>
      </c>
      <c r="Q5" s="32"/>
    </row>
    <row r="6" spans="1:17" x14ac:dyDescent="0.25">
      <c r="A6" s="2" t="s">
        <v>3</v>
      </c>
      <c r="B6" s="2">
        <v>10</v>
      </c>
      <c r="C6" s="10" t="s">
        <v>5</v>
      </c>
      <c r="F6" s="53"/>
      <c r="H6" s="40"/>
      <c r="I6" s="40"/>
      <c r="J6" s="40"/>
      <c r="K6" s="13"/>
      <c r="L6" s="13"/>
      <c r="M6" s="13"/>
      <c r="N6" s="40"/>
    </row>
    <row r="7" spans="1:17" x14ac:dyDescent="0.25">
      <c r="A7" s="2" t="s">
        <v>4</v>
      </c>
      <c r="B7" s="2">
        <v>12</v>
      </c>
      <c r="C7" s="10" t="s">
        <v>5</v>
      </c>
      <c r="H7" s="18" t="s">
        <v>25</v>
      </c>
      <c r="I7" s="51">
        <f>IFERROR(I3/(VLOOKUP(E10,MRP!A:J,9,0)),0)</f>
        <v>1.4545454545454546</v>
      </c>
      <c r="J7" s="40" t="s">
        <v>27</v>
      </c>
      <c r="K7" s="13"/>
      <c r="L7" s="12" t="s">
        <v>33</v>
      </c>
      <c r="M7" s="31">
        <f>O31</f>
        <v>850</v>
      </c>
      <c r="N7" s="40" t="s">
        <v>30</v>
      </c>
    </row>
    <row r="8" spans="1:17" x14ac:dyDescent="0.25">
      <c r="C8" s="10"/>
      <c r="H8" s="40"/>
      <c r="I8" s="40"/>
      <c r="J8" s="40"/>
      <c r="K8" s="13"/>
      <c r="L8" s="13"/>
      <c r="M8" s="13"/>
      <c r="N8" s="40"/>
    </row>
    <row r="9" spans="1:17" x14ac:dyDescent="0.25">
      <c r="A9" s="54" t="s">
        <v>65</v>
      </c>
      <c r="B9" s="2">
        <v>1</v>
      </c>
      <c r="C9" s="11"/>
      <c r="D9" s="9"/>
      <c r="E9" s="6"/>
      <c r="F9" s="23"/>
      <c r="G9" s="6"/>
      <c r="H9" s="18" t="s">
        <v>26</v>
      </c>
      <c r="I9" s="51">
        <f>IFERROR(I3/(VLOOKUP(E12,MRP!A:J,9,0)),0)</f>
        <v>6.4</v>
      </c>
      <c r="J9" s="40" t="s">
        <v>28</v>
      </c>
      <c r="K9" s="13"/>
      <c r="L9" s="1" t="s">
        <v>10</v>
      </c>
      <c r="M9" s="12">
        <f>I3*B20</f>
        <v>1920</v>
      </c>
      <c r="N9" s="40" t="s">
        <v>30</v>
      </c>
    </row>
    <row r="10" spans="1:17" x14ac:dyDescent="0.25">
      <c r="D10" t="b">
        <v>1</v>
      </c>
      <c r="E10" s="29" t="str">
        <f>IF(EXACT(D10,"TRUE"),"Weather Care Ext.Sealer",0)</f>
        <v>Weather Care Ext.Sealer</v>
      </c>
      <c r="N10" s="5"/>
    </row>
    <row r="11" spans="1:17" x14ac:dyDescent="0.25">
      <c r="C11" s="10"/>
      <c r="E11" s="26"/>
      <c r="F11" s="25"/>
      <c r="G11" s="26"/>
      <c r="L11" s="47" t="s">
        <v>29</v>
      </c>
      <c r="M11" s="18">
        <f>M3+M5+M7+M9</f>
        <v>4630</v>
      </c>
      <c r="N11" s="40" t="s">
        <v>30</v>
      </c>
    </row>
    <row r="12" spans="1:17" x14ac:dyDescent="0.25">
      <c r="C12" s="10"/>
      <c r="D12" t="b">
        <v>1</v>
      </c>
      <c r="E12" s="45" t="str">
        <f>IF(EXACT(D12,"TRUE"),"WB Wall Putty",0)</f>
        <v>WB Wall Putty</v>
      </c>
      <c r="F12" s="45"/>
      <c r="G12" s="26"/>
    </row>
    <row r="13" spans="1:17" x14ac:dyDescent="0.25">
      <c r="A13" s="52"/>
      <c r="B13" s="6"/>
      <c r="C13" s="23"/>
      <c r="D13" s="53"/>
      <c r="E13" s="33"/>
      <c r="F13" s="33"/>
      <c r="G13" s="23"/>
    </row>
    <row r="14" spans="1:17" x14ac:dyDescent="0.25">
      <c r="A14" s="52"/>
      <c r="B14" s="6"/>
      <c r="C14" s="23"/>
      <c r="D14" s="53"/>
      <c r="E14" s="33"/>
      <c r="F14" s="33"/>
      <c r="G14" s="23"/>
      <c r="H14" s="8" t="s">
        <v>22</v>
      </c>
      <c r="J14" s="13"/>
      <c r="K14" s="13"/>
      <c r="L14" s="13"/>
    </row>
    <row r="15" spans="1:17" x14ac:dyDescent="0.25">
      <c r="A15" s="8" t="s">
        <v>16</v>
      </c>
      <c r="B15" s="8" t="s">
        <v>62</v>
      </c>
      <c r="C15" s="13"/>
      <c r="D15" s="13"/>
      <c r="E15" s="29"/>
      <c r="F15" s="29"/>
      <c r="G15" s="12" t="s">
        <v>36</v>
      </c>
      <c r="H15" s="18" t="s">
        <v>37</v>
      </c>
      <c r="I15" s="18" t="s">
        <v>64</v>
      </c>
      <c r="J15" s="29"/>
      <c r="K15" s="29"/>
      <c r="L15" s="29"/>
      <c r="M15" s="2" t="s">
        <v>49</v>
      </c>
      <c r="N15" s="2" t="s">
        <v>39</v>
      </c>
      <c r="O15" s="2" t="s">
        <v>50</v>
      </c>
    </row>
    <row r="16" spans="1:17" s="24" customFormat="1" x14ac:dyDescent="0.25">
      <c r="A16" s="1" t="s">
        <v>56</v>
      </c>
      <c r="B16" s="2">
        <v>1</v>
      </c>
      <c r="C16" s="13"/>
      <c r="D16" s="13"/>
      <c r="E16" s="29"/>
      <c r="F16" s="30"/>
      <c r="G16" s="35">
        <f>IF(EXACT($A$16,"Weather Care Ext.Emulsion"),"844126",IF(EXACT($A$16,"All Rounder Ext.Emulsion"),"845433",IF(EXACT($A$16,"Rockcem Cement Paint"),"844671","0")))*1</f>
        <v>844126</v>
      </c>
      <c r="H16" s="12" t="str">
        <f>VLOOKUP(G16,MRP!B:C,2,0)</f>
        <v>Weather Care Ext.Emulsion -18 Ltr</v>
      </c>
      <c r="I16" s="39">
        <f>VLOOKUP(G16,MRP!B:E,4,0)</f>
        <v>18</v>
      </c>
      <c r="J16" s="56">
        <f>I5/I16</f>
        <v>7.9601990049751242E-2</v>
      </c>
      <c r="K16" s="56">
        <f>ABS(J16-TRUNC(J16))</f>
        <v>7.9601990049751242E-2</v>
      </c>
      <c r="L16" s="57">
        <f>I16*K16</f>
        <v>1.4328358208955223</v>
      </c>
      <c r="M16" s="36">
        <f>ROUNDDOWN(J16,0)</f>
        <v>0</v>
      </c>
      <c r="N16" s="12">
        <f>VLOOKUP(G16,MRP!B:F,5,0)</f>
        <v>6600</v>
      </c>
      <c r="O16" s="31">
        <f>M16*N16</f>
        <v>0</v>
      </c>
    </row>
    <row r="17" spans="1:20" s="24" customFormat="1" x14ac:dyDescent="0.25">
      <c r="A17"/>
      <c r="B17"/>
      <c r="C17" s="13"/>
      <c r="D17" s="13"/>
      <c r="E17" s="29"/>
      <c r="F17" s="29"/>
      <c r="G17" s="35">
        <f>IF(EXACT($A$16,"Weather Care Ext.Emulsion"),"844127",IF(EXACT($A$16,"All Rounder Ext.Emulsion"),"845424",IF(EXACT($A$16,"Rockcem Cement Paint"),"844672","0")))*1</f>
        <v>844127</v>
      </c>
      <c r="H17" s="12" t="str">
        <f>VLOOKUP(G17,MRP!B:C,2,0)</f>
        <v>Weather Care Ext.Emulsion -3.64 Ltr</v>
      </c>
      <c r="I17" s="39">
        <f>VLOOKUP(G17,MRP!B:E,4,0)</f>
        <v>3.64</v>
      </c>
      <c r="J17" s="58">
        <f>L16/I17</f>
        <v>0.39363621453173686</v>
      </c>
      <c r="K17" s="58">
        <f t="shared" ref="K17" si="0">ABS(J17-TRUNC(J17))</f>
        <v>0.39363621453173686</v>
      </c>
      <c r="L17" s="59">
        <f>I17*K17</f>
        <v>1.4328358208955223</v>
      </c>
      <c r="M17" s="36">
        <f>ROUNDUP(J17,0)</f>
        <v>1</v>
      </c>
      <c r="N17" s="12">
        <f>VLOOKUP(G17,MRP!B:F,5,0)</f>
        <v>1400</v>
      </c>
      <c r="O17" s="31">
        <f t="shared" ref="O17:O18" si="1">M17*N17</f>
        <v>1400</v>
      </c>
    </row>
    <row r="18" spans="1:20" x14ac:dyDescent="0.25">
      <c r="C18" s="13"/>
      <c r="D18" s="13"/>
      <c r="E18" s="26"/>
      <c r="F18" s="29"/>
      <c r="G18" s="35">
        <f>IF(EXACT($A$16,"Weather Care Ext.Emulsion"),"844128",IF(EXACT($A$16,"All Rounder Ext.Emulsion"),"845433",IF(EXACT($A$16,"Rockcem Cement Paint"),"844673","0")))*1</f>
        <v>844128</v>
      </c>
      <c r="H18" s="12" t="str">
        <f>VLOOKUP(G18,MRP!B:C,2,0)</f>
        <v>Weather Care Ext.Emulsion -0.91 Ltr</v>
      </c>
      <c r="I18" s="39">
        <f>VLOOKUP(G18,MRP!B:E,4,0)</f>
        <v>0.91</v>
      </c>
      <c r="J18" s="60"/>
      <c r="K18" s="60"/>
      <c r="L18" s="61"/>
      <c r="M18" s="36">
        <f>ROUNDUP(J18,0)</f>
        <v>0</v>
      </c>
      <c r="N18" s="12">
        <f>VLOOKUP(G18,MRP!B:F,5,0)</f>
        <v>370</v>
      </c>
      <c r="O18" s="31">
        <f t="shared" si="1"/>
        <v>0</v>
      </c>
    </row>
    <row r="19" spans="1:20" x14ac:dyDescent="0.25">
      <c r="A19" s="1"/>
      <c r="B19" s="8" t="s">
        <v>11</v>
      </c>
      <c r="C19" s="13"/>
      <c r="D19" s="13"/>
      <c r="E19" s="29"/>
      <c r="F19" s="29"/>
      <c r="G19" s="29"/>
      <c r="H19" s="13"/>
      <c r="I19" s="40"/>
      <c r="J19" s="62"/>
      <c r="K19" s="62"/>
      <c r="L19" s="62"/>
      <c r="O19" s="21">
        <f>SUM(O16:O18)</f>
        <v>1400</v>
      </c>
      <c r="P19" s="19" t="s">
        <v>63</v>
      </c>
    </row>
    <row r="20" spans="1:20" x14ac:dyDescent="0.25">
      <c r="A20" s="2" t="s">
        <v>10</v>
      </c>
      <c r="B20" s="2">
        <v>8</v>
      </c>
      <c r="C20" s="13"/>
      <c r="D20" s="13"/>
      <c r="E20" s="29"/>
      <c r="F20" s="29"/>
      <c r="G20" s="29"/>
      <c r="H20" s="13"/>
      <c r="I20" s="40"/>
      <c r="J20" s="62"/>
      <c r="K20" s="62"/>
      <c r="L20" s="62"/>
    </row>
    <row r="21" spans="1:20" x14ac:dyDescent="0.25">
      <c r="D21" s="24"/>
      <c r="E21" s="29"/>
      <c r="F21" s="29"/>
      <c r="G21" s="29"/>
      <c r="H21" s="8" t="s">
        <v>51</v>
      </c>
      <c r="J21" s="62"/>
      <c r="K21" s="62"/>
      <c r="L21" s="62"/>
    </row>
    <row r="22" spans="1:20" x14ac:dyDescent="0.25">
      <c r="F22" s="13"/>
      <c r="G22" s="37" t="s">
        <v>36</v>
      </c>
      <c r="H22" s="38" t="s">
        <v>37</v>
      </c>
      <c r="I22" s="18" t="s">
        <v>64</v>
      </c>
      <c r="J22" s="62"/>
      <c r="K22" s="62"/>
      <c r="L22" s="62"/>
      <c r="M22" s="2" t="s">
        <v>49</v>
      </c>
      <c r="N22" s="2" t="s">
        <v>39</v>
      </c>
      <c r="O22" s="2" t="s">
        <v>50</v>
      </c>
    </row>
    <row r="23" spans="1:20" x14ac:dyDescent="0.25">
      <c r="G23" s="35">
        <f>IF(EXACT($A$16,"Weather Care Ext.Emulsion"),"844001",IF(EXACT($A$16,"All Rounder Ext.Emulsion"),"845097",IF(EXACT($A$16,"Rockcem Cement Paint"),"844001","0")))*1</f>
        <v>844001</v>
      </c>
      <c r="H23" s="12" t="str">
        <f>IFERROR(VLOOKUP(G23,MRP!B:C,2,0),0)</f>
        <v>Weather Care Ext.Sealer- 18 Ltr</v>
      </c>
      <c r="I23" s="39">
        <f>VLOOKUP(G23,MRP!B:E,4,0)</f>
        <v>18</v>
      </c>
      <c r="J23" s="63">
        <f>I7/I23</f>
        <v>8.0808080808080815E-2</v>
      </c>
      <c r="K23" s="56">
        <f>ABS(J23-TRUNC(J23))</f>
        <v>8.0808080808080815E-2</v>
      </c>
      <c r="L23" s="57">
        <f>I23*K23</f>
        <v>1.4545454545454546</v>
      </c>
      <c r="M23" s="20">
        <f>ROUNDDOWN(J23,0)</f>
        <v>0</v>
      </c>
      <c r="N23" s="12">
        <f>VLOOKUP(G23,MRP!B:F,5,0)</f>
        <v>4070</v>
      </c>
      <c r="O23" s="21">
        <f>IFERROR((M23*N23),0)</f>
        <v>0</v>
      </c>
    </row>
    <row r="24" spans="1:20" x14ac:dyDescent="0.25">
      <c r="G24" s="35">
        <f>IF(EXACT($A$16,"Weather Care Ext.Emulsion"),"844002",IF(EXACT($A$16,"All Rounder Ext.Emulsion"),"845098","0"))*1</f>
        <v>844002</v>
      </c>
      <c r="H24" s="12" t="str">
        <f>IFERROR(VLOOKUP(G24,MRP!B:C,2,0),0)</f>
        <v>Weather Care Ext.Sealer- 3.64 Ltr</v>
      </c>
      <c r="I24" s="39">
        <f>VLOOKUP(G24,MRP!B:E,4,0)</f>
        <v>3.64</v>
      </c>
      <c r="J24" s="64">
        <f>L23/I24</f>
        <v>0.39960039960039961</v>
      </c>
      <c r="K24" s="58">
        <f>ABS(J24-TRUNC(J24))</f>
        <v>0.39960039960039961</v>
      </c>
      <c r="L24" s="65">
        <f>I24*K24</f>
        <v>1.4545454545454546</v>
      </c>
      <c r="M24" s="20">
        <f t="shared" ref="M24" si="2">ROUNDDOWN(J24,0)</f>
        <v>0</v>
      </c>
      <c r="N24" s="12">
        <f>VLOOKUP(G24,MRP!B:F,5,0)</f>
        <v>850</v>
      </c>
      <c r="O24" s="21">
        <f t="shared" ref="O24:O25" si="3">IFERROR((M24*N24),0)</f>
        <v>0</v>
      </c>
    </row>
    <row r="25" spans="1:20" x14ac:dyDescent="0.25">
      <c r="G25" s="35">
        <f>IF(EXACT($A$16,"Weather Care Ext.Emulsion"),"803893",IF(EXACT($A$16,"All Rounder Ext.Emulsion"),"845099","0"))*1</f>
        <v>803893</v>
      </c>
      <c r="H25" s="12" t="str">
        <f>IFERROR(VLOOKUP(G25,MRP!B:C,2,0),0)</f>
        <v>Weather Care Ext.Sealer- 0.91 Ltr</v>
      </c>
      <c r="I25" s="39">
        <f>VLOOKUP(G25,MRP!B:E,4,0)</f>
        <v>0.91</v>
      </c>
      <c r="J25" s="66">
        <f>L24/I25</f>
        <v>1.5984015984015985</v>
      </c>
      <c r="K25" s="60"/>
      <c r="L25" s="61"/>
      <c r="M25" s="20">
        <f>ROUNDUP(J25,0)</f>
        <v>2</v>
      </c>
      <c r="N25" s="12">
        <f>VLOOKUP(G25,MRP!B:F,5,0)</f>
        <v>230</v>
      </c>
      <c r="O25" s="21">
        <f t="shared" si="3"/>
        <v>460</v>
      </c>
    </row>
    <row r="26" spans="1:20" x14ac:dyDescent="0.25">
      <c r="F26" s="13"/>
      <c r="G26" s="13"/>
      <c r="H26" s="13"/>
      <c r="I26" s="40"/>
      <c r="J26" s="62"/>
      <c r="K26" s="62"/>
      <c r="L26" s="62"/>
      <c r="O26" s="21">
        <f>SUM(O23:O25)</f>
        <v>460</v>
      </c>
      <c r="P26" s="19" t="s">
        <v>63</v>
      </c>
    </row>
    <row r="27" spans="1:20" x14ac:dyDescent="0.25">
      <c r="F27" s="13"/>
      <c r="G27" s="13"/>
      <c r="H27" s="8" t="s">
        <v>52</v>
      </c>
      <c r="J27" s="62"/>
      <c r="K27" s="62"/>
      <c r="L27" s="62"/>
    </row>
    <row r="28" spans="1:20" x14ac:dyDescent="0.25">
      <c r="F28" s="13"/>
      <c r="G28" s="37" t="s">
        <v>36</v>
      </c>
      <c r="H28" s="38" t="s">
        <v>37</v>
      </c>
      <c r="I28" s="18" t="s">
        <v>64</v>
      </c>
      <c r="J28" s="62"/>
      <c r="K28" s="62"/>
      <c r="L28" s="62"/>
      <c r="M28" s="2" t="s">
        <v>49</v>
      </c>
      <c r="N28" s="2" t="s">
        <v>39</v>
      </c>
      <c r="O28" s="2" t="s">
        <v>50</v>
      </c>
    </row>
    <row r="29" spans="1:20" x14ac:dyDescent="0.25">
      <c r="F29" s="13"/>
      <c r="G29" s="35">
        <f>IF(EXACT($A$16,"Weather Care Ext.Emulsion"),"844431",IF(EXACT($A$16,"All Rounder Ext.Emulsion"),"844431","0"))*1</f>
        <v>844431</v>
      </c>
      <c r="H29" s="12" t="str">
        <f>VLOOKUP(G29,MRP!B:C,2,0)</f>
        <v>WB Wall Putty Sealer- 25 Kg</v>
      </c>
      <c r="I29" s="39">
        <f>VLOOKUP(G29,MRP!B:E,4,0)</f>
        <v>25</v>
      </c>
      <c r="J29" s="63">
        <f>I9/I29</f>
        <v>0.25600000000000001</v>
      </c>
      <c r="K29" s="56">
        <f>ABS(J29-TRUNC(J29))</f>
        <v>0.25600000000000001</v>
      </c>
      <c r="L29" s="57">
        <f>I29*K29</f>
        <v>6.4</v>
      </c>
      <c r="M29" s="20">
        <f>ROUNDDOWN(J29,0)</f>
        <v>0</v>
      </c>
      <c r="N29" s="12">
        <f>VLOOKUP(G29,MRP!B:F,5,0)</f>
        <v>1950</v>
      </c>
      <c r="O29" s="21">
        <f>IFERROR((M29*N29),0)</f>
        <v>0</v>
      </c>
    </row>
    <row r="30" spans="1:20" x14ac:dyDescent="0.25">
      <c r="F30" s="13"/>
      <c r="G30" s="35">
        <f>IF(EXACT($A$16,"Weather Care Ext.Emulsion"),"844432",IF(EXACT($A$16,"All Rounder Ext.Emulsion"),"844432","0"))*1</f>
        <v>844432</v>
      </c>
      <c r="H30" s="12" t="str">
        <f>VLOOKUP(G30,MRP!B:C,2,0)</f>
        <v>WB Wall Putty Sealer- 5 Kg</v>
      </c>
      <c r="I30" s="39">
        <f>VLOOKUP(G30,MRP!B:E,4,0)</f>
        <v>5</v>
      </c>
      <c r="J30" s="66">
        <f>L29/I30</f>
        <v>1.28</v>
      </c>
      <c r="K30" s="60">
        <f t="shared" ref="K30" si="4">ABS(J30-TRUNC(J30))</f>
        <v>0.28000000000000003</v>
      </c>
      <c r="L30" s="61">
        <f>I30*K30</f>
        <v>1.4000000000000001</v>
      </c>
      <c r="M30" s="20">
        <f>ROUNDUP(J30,0)</f>
        <v>2</v>
      </c>
      <c r="N30" s="12">
        <f>VLOOKUP(G30,MRP!B:F,5,0)</f>
        <v>425</v>
      </c>
      <c r="O30" s="21">
        <f t="shared" ref="O30" si="5">IFERROR((M30*N30),0)</f>
        <v>850</v>
      </c>
    </row>
    <row r="31" spans="1:20" x14ac:dyDescent="0.25">
      <c r="N31" s="19"/>
      <c r="O31" s="41">
        <f>SUM(O29:O30)</f>
        <v>850</v>
      </c>
      <c r="P31" s="19" t="s">
        <v>63</v>
      </c>
      <c r="Q31" s="19"/>
      <c r="R31" s="20"/>
      <c r="S31" s="1"/>
      <c r="T31" s="1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10</xdr:row>
                    <xdr:rowOff>152400</xdr:rowOff>
                  </from>
                  <to>
                    <xdr:col>0</xdr:col>
                    <xdr:colOff>1657350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0</xdr:col>
                    <xdr:colOff>0</xdr:colOff>
                    <xdr:row>9</xdr:row>
                    <xdr:rowOff>9525</xdr:rowOff>
                  </from>
                  <to>
                    <xdr:col>0</xdr:col>
                    <xdr:colOff>1666875</xdr:colOff>
                    <xdr:row>10</xdr:row>
                    <xdr:rowOff>85725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Category!$B$2:$B$8</xm:f>
          </x14:formula1>
          <xm:sqref>A16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35"/>
  <sheetViews>
    <sheetView showGridLines="0" workbookViewId="0">
      <selection activeCell="E1" sqref="E1"/>
    </sheetView>
  </sheetViews>
  <sheetFormatPr defaultRowHeight="15" x14ac:dyDescent="0.25"/>
  <cols>
    <col min="1" max="1" width="20.28515625" customWidth="1"/>
    <col min="2" max="2" width="11.42578125" bestFit="1" customWidth="1"/>
    <col min="3" max="3" width="2.7109375" customWidth="1"/>
    <col min="4" max="4" width="8" bestFit="1" customWidth="1"/>
    <col min="5" max="5" width="8.42578125" bestFit="1" customWidth="1"/>
    <col min="6" max="6" width="21.85546875" bestFit="1" customWidth="1"/>
    <col min="7" max="7" width="10.140625" bestFit="1" customWidth="1"/>
    <col min="8" max="8" width="42.42578125" bestFit="1" customWidth="1"/>
    <col min="9" max="9" width="9" style="5" bestFit="1" customWidth="1"/>
    <col min="10" max="11" width="5.85546875" bestFit="1" customWidth="1"/>
    <col min="12" max="12" width="12.85546875" bestFit="1" customWidth="1"/>
    <col min="13" max="13" width="8" bestFit="1" customWidth="1"/>
    <col min="14" max="14" width="5" bestFit="1" customWidth="1"/>
    <col min="15" max="15" width="9.42578125" bestFit="1" customWidth="1"/>
    <col min="16" max="16" width="9.7109375" bestFit="1" customWidth="1"/>
    <col min="17" max="17" width="9.42578125" bestFit="1" customWidth="1"/>
    <col min="18" max="18" width="10" bestFit="1" customWidth="1"/>
  </cols>
  <sheetData>
    <row r="2" spans="1:17" x14ac:dyDescent="0.25">
      <c r="B2" s="90" t="s">
        <v>71</v>
      </c>
      <c r="C2" s="91"/>
      <c r="D2" s="92"/>
      <c r="E2" s="4"/>
      <c r="F2" s="4"/>
    </row>
    <row r="3" spans="1:17" x14ac:dyDescent="0.25">
      <c r="H3" s="49" t="s">
        <v>23</v>
      </c>
      <c r="I3" s="18">
        <f>(B5*B6)</f>
        <v>800</v>
      </c>
      <c r="J3" s="40" t="s">
        <v>5</v>
      </c>
      <c r="K3" s="13"/>
      <c r="L3" s="48" t="s">
        <v>31</v>
      </c>
      <c r="M3" s="31">
        <f>O20</f>
        <v>3720</v>
      </c>
      <c r="N3" s="40" t="s">
        <v>30</v>
      </c>
    </row>
    <row r="4" spans="1:17" x14ac:dyDescent="0.25">
      <c r="H4" s="40"/>
      <c r="I4" s="40"/>
      <c r="J4" s="40"/>
      <c r="K4" s="13"/>
      <c r="L4" s="13"/>
      <c r="M4" s="13"/>
      <c r="N4" s="40"/>
    </row>
    <row r="5" spans="1:17" x14ac:dyDescent="0.25">
      <c r="A5" s="2" t="s">
        <v>2</v>
      </c>
      <c r="B5" s="2">
        <v>40</v>
      </c>
      <c r="C5" s="10" t="s">
        <v>5</v>
      </c>
      <c r="H5" s="50" t="s">
        <v>24</v>
      </c>
      <c r="I5" s="51">
        <f>I3/((VLOOKUP(A15,MRP!A:J,9,0)/B15))</f>
        <v>9.6969696969696972</v>
      </c>
      <c r="J5" s="40" t="s">
        <v>27</v>
      </c>
      <c r="K5" s="13"/>
      <c r="L5" s="12" t="s">
        <v>69</v>
      </c>
      <c r="M5" s="31">
        <f>O28</f>
        <v>2080</v>
      </c>
      <c r="N5" s="40" t="s">
        <v>30</v>
      </c>
      <c r="Q5" s="32"/>
    </row>
    <row r="6" spans="1:17" x14ac:dyDescent="0.25">
      <c r="A6" s="2" t="s">
        <v>3</v>
      </c>
      <c r="B6" s="2">
        <v>20</v>
      </c>
      <c r="C6" s="10" t="s">
        <v>5</v>
      </c>
      <c r="H6" s="40"/>
      <c r="I6" s="40"/>
      <c r="J6" s="40"/>
      <c r="K6" s="13"/>
      <c r="L6" s="13"/>
      <c r="M6" s="13"/>
      <c r="N6" s="40"/>
    </row>
    <row r="7" spans="1:17" x14ac:dyDescent="0.25">
      <c r="A7" s="6"/>
      <c r="B7" s="6"/>
      <c r="C7" s="10"/>
      <c r="H7" s="18" t="s">
        <v>67</v>
      </c>
      <c r="I7" s="51">
        <f>IFERROR(I3/(VLOOKUP(E9,MRP!A:J,9,0)),0)</f>
        <v>5.9259259259259256</v>
      </c>
      <c r="J7" s="40" t="s">
        <v>27</v>
      </c>
      <c r="K7" s="13"/>
      <c r="L7" s="12" t="s">
        <v>70</v>
      </c>
      <c r="M7" s="31">
        <f>O35</f>
        <v>1665</v>
      </c>
      <c r="N7" s="40" t="s">
        <v>30</v>
      </c>
    </row>
    <row r="8" spans="1:17" x14ac:dyDescent="0.25">
      <c r="C8" s="10"/>
      <c r="H8" s="40"/>
      <c r="I8" s="40"/>
      <c r="J8" s="40"/>
      <c r="K8" s="13"/>
      <c r="L8" s="13"/>
      <c r="M8" s="13"/>
      <c r="N8" s="40"/>
    </row>
    <row r="9" spans="1:17" x14ac:dyDescent="0.25">
      <c r="A9" s="26" t="b">
        <v>1</v>
      </c>
      <c r="B9" s="6"/>
      <c r="C9" s="11"/>
      <c r="D9" s="9" t="b">
        <v>1</v>
      </c>
      <c r="E9" s="29" t="str">
        <f>IF(EXACT(D9,"TRUE"),"Synthetic Undercoat",0)</f>
        <v>Synthetic Undercoat</v>
      </c>
      <c r="F9" s="23"/>
      <c r="G9" s="6"/>
      <c r="H9" s="18" t="s">
        <v>68</v>
      </c>
      <c r="I9" s="51">
        <f>IFERROR(I3/(VLOOKUP(E10,MRP!A:J,9,0)),0)</f>
        <v>5.9259259259259256</v>
      </c>
      <c r="J9" s="40" t="s">
        <v>28</v>
      </c>
      <c r="K9" s="13"/>
      <c r="L9" s="1" t="s">
        <v>10</v>
      </c>
      <c r="M9" s="12">
        <f>I3*B19</f>
        <v>6400</v>
      </c>
      <c r="N9" s="40" t="s">
        <v>30</v>
      </c>
    </row>
    <row r="10" spans="1:17" x14ac:dyDescent="0.25">
      <c r="A10" s="53"/>
      <c r="B10" s="53"/>
      <c r="C10" s="53"/>
      <c r="D10" s="53" t="b">
        <v>1</v>
      </c>
      <c r="E10" s="29" t="str">
        <f>IF(EXACT(D10,"TRUE"),"Rainbow Red Oxide Primer",0)</f>
        <v>Rainbow Red Oxide Primer</v>
      </c>
      <c r="F10" s="53"/>
      <c r="N10" s="5"/>
    </row>
    <row r="11" spans="1:17" x14ac:dyDescent="0.25">
      <c r="A11" s="53"/>
      <c r="B11" s="53"/>
      <c r="C11" s="23"/>
      <c r="D11" s="53"/>
      <c r="E11" s="26"/>
      <c r="F11" s="25"/>
      <c r="G11" s="26"/>
      <c r="L11" s="47" t="s">
        <v>29</v>
      </c>
      <c r="M11" s="77">
        <f>M3+M5+M7+M9</f>
        <v>13865</v>
      </c>
      <c r="N11" s="40" t="s">
        <v>30</v>
      </c>
    </row>
    <row r="12" spans="1:17" x14ac:dyDescent="0.25">
      <c r="A12" s="53"/>
      <c r="B12" s="53"/>
      <c r="C12" s="23"/>
      <c r="D12" s="53"/>
      <c r="E12" s="26"/>
      <c r="F12" s="27" t="s">
        <v>9</v>
      </c>
      <c r="G12" s="26"/>
    </row>
    <row r="13" spans="1:17" x14ac:dyDescent="0.25">
      <c r="A13" s="67"/>
      <c r="B13" s="33"/>
      <c r="C13" s="23"/>
      <c r="D13" s="29"/>
      <c r="E13" s="33"/>
      <c r="F13" s="33"/>
      <c r="G13" s="23"/>
    </row>
    <row r="14" spans="1:17" x14ac:dyDescent="0.25">
      <c r="A14" s="7" t="s">
        <v>16</v>
      </c>
      <c r="B14" s="7" t="s">
        <v>62</v>
      </c>
      <c r="C14" s="23"/>
      <c r="D14" s="29"/>
      <c r="E14" s="33"/>
      <c r="F14" s="33"/>
      <c r="G14" s="23"/>
      <c r="H14" s="8" t="s">
        <v>22</v>
      </c>
      <c r="J14" s="13"/>
      <c r="K14" s="13"/>
      <c r="L14" s="13"/>
    </row>
    <row r="15" spans="1:17" x14ac:dyDescent="0.25">
      <c r="A15" s="1" t="s">
        <v>20</v>
      </c>
      <c r="B15" s="1">
        <v>2</v>
      </c>
      <c r="C15" s="29"/>
      <c r="D15" s="29"/>
      <c r="E15" s="29"/>
      <c r="F15" s="29"/>
      <c r="G15" s="12" t="s">
        <v>36</v>
      </c>
      <c r="H15" s="18" t="s">
        <v>37</v>
      </c>
      <c r="I15" s="18" t="s">
        <v>64</v>
      </c>
      <c r="J15" s="29"/>
      <c r="K15" s="29"/>
      <c r="L15" s="29"/>
      <c r="M15" s="2" t="s">
        <v>49</v>
      </c>
      <c r="N15" s="2" t="s">
        <v>39</v>
      </c>
      <c r="O15" s="2" t="s">
        <v>50</v>
      </c>
    </row>
    <row r="16" spans="1:17" s="24" customFormat="1" x14ac:dyDescent="0.25">
      <c r="A16"/>
      <c r="B16"/>
      <c r="C16" s="29"/>
      <c r="D16" s="29"/>
      <c r="E16" s="29"/>
      <c r="F16" s="30"/>
      <c r="G16" s="35">
        <f>IF(EXACT($A$15,"Rangdhanu Synthetic Enamel"),"844999",IF(EXACT($A$15,"Synglo Synthetic Enamel"),"844225","0"))*1</f>
        <v>844225</v>
      </c>
      <c r="H16" s="12" t="str">
        <f>VLOOKUP(G16,MRP!B:C,2,0)</f>
        <v>Synglo Synthetic Enamel Paint-18.2 Ltr</v>
      </c>
      <c r="I16" s="75">
        <f>VLOOKUP(G16,MRP!B:E,4,0)</f>
        <v>18.2</v>
      </c>
      <c r="J16" s="63">
        <f>I5/I16</f>
        <v>0.53280053280053286</v>
      </c>
      <c r="K16" s="56">
        <f>ABS(J16-TRUNC(J16))</f>
        <v>0.53280053280053286</v>
      </c>
      <c r="L16" s="57">
        <f>I16*K16</f>
        <v>9.6969696969696972</v>
      </c>
      <c r="M16" s="36">
        <f>ROUNDDOWN(J16,0)</f>
        <v>0</v>
      </c>
      <c r="N16" s="12">
        <f>VLOOKUP(G16,MRP!B:F,5,0)</f>
        <v>6450</v>
      </c>
      <c r="O16" s="31">
        <f>M16*N16</f>
        <v>0</v>
      </c>
    </row>
    <row r="17" spans="1:17" s="24" customFormat="1" x14ac:dyDescent="0.25">
      <c r="A17"/>
      <c r="B17"/>
      <c r="C17" s="13"/>
      <c r="D17" s="13"/>
      <c r="E17" s="29"/>
      <c r="F17" s="29"/>
      <c r="G17" s="35">
        <f>IF(EXACT($A$15,"Rangdhanu Synthetic Enamel"),"844943",IF(EXACT($A$15,"Synglo Synthetic Enamel"),"844226","0"))*1</f>
        <v>844226</v>
      </c>
      <c r="H17" s="12" t="str">
        <f>VLOOKUP(G17,MRP!B:C,2,0)</f>
        <v>Synglo Synthetic Enamel Paint-3.64 Ltr</v>
      </c>
      <c r="I17" s="75">
        <f>VLOOKUP(G17,MRP!B:E,4,0)</f>
        <v>3.64</v>
      </c>
      <c r="J17" s="64">
        <f>L16/I17</f>
        <v>2.6640026640026639</v>
      </c>
      <c r="K17" s="58">
        <f t="shared" ref="K17:K18" si="0">ABS(J17-TRUNC(J17))</f>
        <v>0.66400266400266394</v>
      </c>
      <c r="L17" s="59">
        <f>I17*K17</f>
        <v>2.416969696969697</v>
      </c>
      <c r="M17" s="74">
        <f t="shared" ref="M17" si="1">ROUNDDOWN(J17,0)</f>
        <v>2</v>
      </c>
      <c r="N17" s="12">
        <f>VLOOKUP(G17,MRP!B:F,5,0)</f>
        <v>1320</v>
      </c>
      <c r="O17" s="31">
        <f t="shared" ref="O17:O19" si="2">M17*N17</f>
        <v>2640</v>
      </c>
      <c r="Q17" s="13"/>
    </row>
    <row r="18" spans="1:17" x14ac:dyDescent="0.25">
      <c r="A18" s="1"/>
      <c r="B18" s="1" t="s">
        <v>11</v>
      </c>
      <c r="C18" s="13"/>
      <c r="D18" s="13"/>
      <c r="E18" s="29"/>
      <c r="F18" s="29"/>
      <c r="G18" s="35">
        <f>IF(EXACT($A$15,"Rangdhanu Synthetic Enamel"),"844944",IF(EXACT($A$15,"Synglo Synthetic Enamel"),"803881","0"))*1</f>
        <v>803881</v>
      </c>
      <c r="H18" s="12" t="str">
        <f>VLOOKUP(G18,MRP!B:C,2,0)</f>
        <v>Synglo Synthetic Enamel Paint-0.91 Ltr</v>
      </c>
      <c r="I18" s="75">
        <f>VLOOKUP(G18,MRP!B:E,4,0)</f>
        <v>0.91</v>
      </c>
      <c r="J18" s="64">
        <f>L17/I18</f>
        <v>2.6560106560106558</v>
      </c>
      <c r="K18" s="58">
        <f t="shared" si="0"/>
        <v>0.65601065601065578</v>
      </c>
      <c r="L18" s="59">
        <f>I18*K18</f>
        <v>0.59696969696969682</v>
      </c>
      <c r="M18" s="36">
        <f>ROUNDDOWN(J18,0)</f>
        <v>2</v>
      </c>
      <c r="N18" s="12">
        <f>VLOOKUP(G18,MRP!B:F,5,0)</f>
        <v>350</v>
      </c>
      <c r="O18" s="31">
        <f t="shared" si="2"/>
        <v>700</v>
      </c>
      <c r="Q18" s="13"/>
    </row>
    <row r="19" spans="1:17" x14ac:dyDescent="0.25">
      <c r="A19" s="2" t="s">
        <v>10</v>
      </c>
      <c r="B19" s="2">
        <v>8</v>
      </c>
      <c r="C19" s="13"/>
      <c r="D19" s="13"/>
      <c r="F19" s="29"/>
      <c r="G19" s="35">
        <f>IF(EXACT($A$15,"Rangdhanu Synthetic Enamel"),"844945",IF(EXACT($A$15,"Synglo Synthetic Enamel"),"844227","0"))*1</f>
        <v>844227</v>
      </c>
      <c r="H19" s="12" t="str">
        <f>VLOOKUP(G19,MRP!B:C,2,0)</f>
        <v>Synglo Synthetic Enamel Paint-0.455 Ltr</v>
      </c>
      <c r="I19" s="75">
        <f>VLOOKUP(G19,MRP!B:E,4,0)</f>
        <v>0.45500000000000002</v>
      </c>
      <c r="J19" s="66">
        <f>L18/I19</f>
        <v>1.3120213120213116</v>
      </c>
      <c r="K19" s="60"/>
      <c r="L19" s="76"/>
      <c r="M19" s="36">
        <f>ROUNDUP(J19,0)</f>
        <v>2</v>
      </c>
      <c r="N19" s="12">
        <f>VLOOKUP(G19,MRP!B:F,5,0)</f>
        <v>190</v>
      </c>
      <c r="O19" s="31">
        <f t="shared" si="2"/>
        <v>380</v>
      </c>
      <c r="Q19" s="13"/>
    </row>
    <row r="20" spans="1:17" x14ac:dyDescent="0.25">
      <c r="A20" s="10"/>
      <c r="B20" s="13"/>
      <c r="C20" s="13"/>
      <c r="D20" s="13"/>
      <c r="F20" s="29"/>
      <c r="G20" s="68"/>
      <c r="H20" s="29"/>
      <c r="I20" s="40"/>
      <c r="J20" s="62"/>
      <c r="K20" s="62"/>
      <c r="L20" s="62"/>
      <c r="O20" s="21">
        <f>SUM(O16:O19)</f>
        <v>3720</v>
      </c>
      <c r="P20" s="19" t="s">
        <v>63</v>
      </c>
      <c r="Q20" s="13"/>
    </row>
    <row r="21" spans="1:17" x14ac:dyDescent="0.25">
      <c r="A21" s="10"/>
      <c r="B21" s="13"/>
      <c r="C21" s="13"/>
      <c r="D21" s="13"/>
      <c r="F21" s="29"/>
      <c r="G21" s="29"/>
      <c r="H21" s="29"/>
      <c r="I21" s="40"/>
      <c r="J21" s="62"/>
      <c r="K21" s="62"/>
      <c r="L21" s="62"/>
    </row>
    <row r="22" spans="1:17" x14ac:dyDescent="0.25">
      <c r="A22" s="10"/>
      <c r="B22" s="13"/>
      <c r="C22" s="13"/>
      <c r="D22" s="13"/>
      <c r="F22" s="29"/>
      <c r="G22" s="29"/>
      <c r="H22" s="13"/>
      <c r="I22" s="40"/>
      <c r="J22" s="62"/>
      <c r="K22" s="62"/>
      <c r="L22" s="62"/>
    </row>
    <row r="23" spans="1:17" x14ac:dyDescent="0.25">
      <c r="A23" s="13"/>
      <c r="B23" s="13"/>
      <c r="C23" s="13"/>
      <c r="D23" s="13"/>
      <c r="E23" s="29"/>
      <c r="F23" s="29"/>
      <c r="G23" s="29"/>
      <c r="H23" s="8" t="s">
        <v>66</v>
      </c>
      <c r="J23" s="62"/>
      <c r="K23" s="62"/>
      <c r="L23" s="62"/>
    </row>
    <row r="24" spans="1:17" x14ac:dyDescent="0.25">
      <c r="F24" s="13"/>
      <c r="G24" s="37" t="s">
        <v>36</v>
      </c>
      <c r="H24" s="38" t="s">
        <v>37</v>
      </c>
      <c r="I24" s="18" t="s">
        <v>64</v>
      </c>
      <c r="J24" s="62"/>
      <c r="K24" s="62"/>
      <c r="L24" s="62"/>
      <c r="M24" s="2" t="s">
        <v>49</v>
      </c>
      <c r="N24" s="2" t="s">
        <v>39</v>
      </c>
      <c r="O24" s="2" t="s">
        <v>50</v>
      </c>
    </row>
    <row r="25" spans="1:17" x14ac:dyDescent="0.25">
      <c r="G25" s="34">
        <f>IF(EXACT($A$15,"Synglo Synthetic Enamel"),"844481",IF(EXACT($A$15,"Rangdhanu Synthetic Enamel"),"844481","0"))*1</f>
        <v>844481</v>
      </c>
      <c r="H25" s="12" t="str">
        <f>VLOOKUP(G25,MRP!B:C,2,0)</f>
        <v>Synthetic Undercoat- 18.2 Ltr</v>
      </c>
      <c r="I25" s="75">
        <f>VLOOKUP(G25,MRP!B:E,4,0)</f>
        <v>18.2</v>
      </c>
      <c r="J25" s="63">
        <f>I7/I25</f>
        <v>0.32560032560032559</v>
      </c>
      <c r="K25" s="56">
        <f>ABS(J25-TRUNC(J25))</f>
        <v>0.32560032560032559</v>
      </c>
      <c r="L25" s="57">
        <f>I25*K25</f>
        <v>5.9259259259259256</v>
      </c>
      <c r="M25" s="20">
        <f>ROUNDDOWN(J25,0)</f>
        <v>0</v>
      </c>
      <c r="N25" s="12">
        <f>VLOOKUP(G25,MRP!B:F,5,0)</f>
        <v>5950</v>
      </c>
      <c r="O25" s="21">
        <f>M25*N25</f>
        <v>0</v>
      </c>
    </row>
    <row r="26" spans="1:17" x14ac:dyDescent="0.25">
      <c r="G26" s="34">
        <f>IF(EXACT($A$15,"Synglo Synthetic Enamel"),"844482",IF(EXACT($A$15,"Rangdhanu Synthetic Enamel"),"844482","0"))*1</f>
        <v>844482</v>
      </c>
      <c r="H26" s="12" t="str">
        <f>VLOOKUP(G26,MRP!B:C,2,0)</f>
        <v>Synthetic Undercoat- 3.64 Ltr</v>
      </c>
      <c r="I26" s="75">
        <f>VLOOKUP(G26,MRP!B:E,4,0)</f>
        <v>3.64</v>
      </c>
      <c r="J26" s="64">
        <f>L25/I26</f>
        <v>1.6280016280016278</v>
      </c>
      <c r="K26" s="58">
        <f>ABS(J26-TRUNC(J26))</f>
        <v>0.62800162800162784</v>
      </c>
      <c r="L26" s="65">
        <f>I26*K26</f>
        <v>2.2859259259259255</v>
      </c>
      <c r="M26" s="20">
        <f t="shared" ref="M26" si="3">ROUNDDOWN(J26,0)</f>
        <v>1</v>
      </c>
      <c r="N26" s="12">
        <f>VLOOKUP(G26,MRP!B:F,5,0)</f>
        <v>1150</v>
      </c>
      <c r="O26" s="21">
        <f t="shared" ref="O26:O27" si="4">M26*N26</f>
        <v>1150</v>
      </c>
    </row>
    <row r="27" spans="1:17" x14ac:dyDescent="0.25">
      <c r="G27" s="34">
        <f>IF(EXACT($A$15,"Synglo Synthetic Enamel"),"844483",IF(EXACT($A$15,"Rangdhanu Synthetic Enamel"),"844483","0"))*1</f>
        <v>844483</v>
      </c>
      <c r="H27" s="12" t="str">
        <f>VLOOKUP(G27,MRP!B:C,2,0)</f>
        <v>Synthetic Undercoat- 0.91 Ltr</v>
      </c>
      <c r="I27" s="75">
        <f>VLOOKUP(G27,MRP!B:E,4,0)</f>
        <v>0.91</v>
      </c>
      <c r="J27" s="66">
        <f>L26/I27</f>
        <v>2.5120065120065114</v>
      </c>
      <c r="K27" s="60"/>
      <c r="L27" s="61"/>
      <c r="M27" s="20">
        <f>ROUNDUP(J27,0)</f>
        <v>3</v>
      </c>
      <c r="N27" s="12">
        <f>VLOOKUP(G27,MRP!B:F,5,0)</f>
        <v>310</v>
      </c>
      <c r="O27" s="21">
        <f t="shared" si="4"/>
        <v>930</v>
      </c>
    </row>
    <row r="28" spans="1:17" x14ac:dyDescent="0.25">
      <c r="F28" s="13"/>
      <c r="G28" s="13"/>
      <c r="H28" s="13"/>
      <c r="I28" s="40"/>
      <c r="J28" s="62"/>
      <c r="K28" s="62"/>
      <c r="L28" s="62"/>
      <c r="O28" s="21">
        <f>SUM(O25:O27)</f>
        <v>2080</v>
      </c>
      <c r="P28" s="19" t="s">
        <v>63</v>
      </c>
    </row>
    <row r="29" spans="1:17" x14ac:dyDescent="0.25">
      <c r="F29" s="13"/>
      <c r="G29" s="13"/>
      <c r="H29" s="13"/>
      <c r="I29" s="40"/>
      <c r="J29" s="62"/>
      <c r="K29" s="62"/>
      <c r="L29" s="62"/>
      <c r="O29" s="73"/>
      <c r="P29" s="19"/>
    </row>
    <row r="30" spans="1:17" x14ac:dyDescent="0.25">
      <c r="F30" s="13"/>
      <c r="G30" s="13"/>
      <c r="H30" s="8" t="s">
        <v>21</v>
      </c>
      <c r="J30" s="62"/>
      <c r="K30" s="62"/>
      <c r="L30" s="62"/>
    </row>
    <row r="31" spans="1:17" x14ac:dyDescent="0.25">
      <c r="F31" s="13"/>
      <c r="G31" s="37" t="s">
        <v>36</v>
      </c>
      <c r="H31" s="38" t="s">
        <v>37</v>
      </c>
      <c r="I31" s="18" t="s">
        <v>64</v>
      </c>
      <c r="J31" s="62"/>
      <c r="K31" s="62"/>
      <c r="L31" s="62"/>
      <c r="M31" s="2" t="s">
        <v>49</v>
      </c>
      <c r="N31" s="2" t="s">
        <v>39</v>
      </c>
      <c r="O31" s="2" t="s">
        <v>50</v>
      </c>
    </row>
    <row r="32" spans="1:17" x14ac:dyDescent="0.25">
      <c r="F32" s="13"/>
      <c r="G32" s="34">
        <f>IF(EXACT($A$15,"Synglo Synthetic Enamel"),"844461",IF(EXACT($A$15,"Rangdhanu Synthetic Enamel"),"844461","0"))*1</f>
        <v>844461</v>
      </c>
      <c r="H32" s="12" t="str">
        <f>VLOOKUP(G32,MRP!B:C,2,0)</f>
        <v>Rainbow Red Oxide Primer 18.2 Ltr</v>
      </c>
      <c r="I32" s="75">
        <f>VLOOKUP(G32,MRP!B:E,4,0)</f>
        <v>18.2</v>
      </c>
      <c r="J32" s="63">
        <f>I9/I32</f>
        <v>0.32560032560032559</v>
      </c>
      <c r="K32" s="56">
        <f>ABS(J32-TRUNC(J32))</f>
        <v>0.32560032560032559</v>
      </c>
      <c r="L32" s="57">
        <f>I32*K32</f>
        <v>5.9259259259259256</v>
      </c>
      <c r="M32" s="70">
        <f>ROUNDDOWN(J32,0)</f>
        <v>0</v>
      </c>
      <c r="N32" s="12">
        <f>VLOOKUP(G32,MRP!B:F,5,0)</f>
        <v>4300</v>
      </c>
      <c r="O32" s="21">
        <f>M32*N32</f>
        <v>0</v>
      </c>
    </row>
    <row r="33" spans="6:20" x14ac:dyDescent="0.25">
      <c r="F33" s="13"/>
      <c r="G33" s="34">
        <f>IF(EXACT($A$15,"Synglo Synthetic Enamel"),"844462",IF(EXACT($A$15,"Rangdhanu Synthetic Enamel"),"844462","0"))*1</f>
        <v>844462</v>
      </c>
      <c r="H33" s="37" t="str">
        <f>VLOOKUP(G33,MRP!B:C,2,0)</f>
        <v>Rainbow Red Oxide Primer 3.64 Ltr</v>
      </c>
      <c r="I33" s="75">
        <f>VLOOKUP(G33,MRP!B:E,4,0)</f>
        <v>3.64</v>
      </c>
      <c r="J33" s="64">
        <f>L32/I33</f>
        <v>1.6280016280016278</v>
      </c>
      <c r="K33" s="58">
        <f t="shared" ref="K33" si="5">ABS(J33-TRUNC(J33))</f>
        <v>0.62800162800162784</v>
      </c>
      <c r="L33" s="65">
        <f>I33*K33</f>
        <v>2.2859259259259255</v>
      </c>
      <c r="M33" s="71">
        <f>ROUNDDOWN(J33,0)</f>
        <v>1</v>
      </c>
      <c r="N33" s="12">
        <f>VLOOKUP(G33,MRP!B:F,5,0)</f>
        <v>900</v>
      </c>
      <c r="O33" s="21">
        <f t="shared" ref="O33:O34" si="6">M33*N33</f>
        <v>900</v>
      </c>
    </row>
    <row r="34" spans="6:20" x14ac:dyDescent="0.25">
      <c r="G34" s="34">
        <f>IF(EXACT($A$15,"Synglo Synthetic Enamel"),"803890",IF(EXACT($A$15,"Rangdhanu Synthetic Enamel"),"803890","0"))*1</f>
        <v>803890</v>
      </c>
      <c r="H34" s="12" t="str">
        <f>VLOOKUP(G34,MRP!B:C,2,0)</f>
        <v>Rainbow Red Oxide Primer 0.91 Ltr</v>
      </c>
      <c r="I34" s="75">
        <f>VLOOKUP(G34,MRP!B:E,4,0)</f>
        <v>0.91</v>
      </c>
      <c r="J34" s="66">
        <f t="shared" ref="J34" si="7">L33/I34</f>
        <v>2.5120065120065114</v>
      </c>
      <c r="K34" s="69"/>
      <c r="L34" s="72"/>
      <c r="M34" s="71">
        <f>ROUNDUP(J34,0)</f>
        <v>3</v>
      </c>
      <c r="N34" s="12">
        <f>VLOOKUP(G34,MRP!B:F,5,0)</f>
        <v>255</v>
      </c>
      <c r="O34" s="21">
        <f t="shared" si="6"/>
        <v>765</v>
      </c>
      <c r="Q34" s="19"/>
      <c r="R34" s="20"/>
      <c r="S34" s="1"/>
      <c r="T34" s="1"/>
    </row>
    <row r="35" spans="6:20" x14ac:dyDescent="0.25">
      <c r="O35" s="21">
        <f>SUM(O32:O34)</f>
        <v>1665</v>
      </c>
      <c r="P35" s="19" t="s">
        <v>63</v>
      </c>
    </row>
  </sheetData>
  <mergeCells count="1">
    <mergeCell ref="B2:D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9</xdr:row>
                    <xdr:rowOff>66675</xdr:rowOff>
                  </from>
                  <to>
                    <xdr:col>1</xdr:col>
                    <xdr:colOff>304800</xdr:colOff>
                    <xdr:row>10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114300</xdr:rowOff>
                  </from>
                  <to>
                    <xdr:col>1</xdr:col>
                    <xdr:colOff>600075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Category!$C$2:$C$3</xm:f>
          </x14:formula1>
          <xm:sqref>A15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1"/>
  <sheetViews>
    <sheetView showGridLines="0" workbookViewId="0">
      <selection activeCell="F4" sqref="F4"/>
    </sheetView>
  </sheetViews>
  <sheetFormatPr defaultRowHeight="15" x14ac:dyDescent="0.25"/>
  <cols>
    <col min="1" max="1" width="20.28515625" customWidth="1"/>
    <col min="2" max="2" width="11.42578125" bestFit="1" customWidth="1"/>
    <col min="3" max="3" width="2.7109375" customWidth="1"/>
    <col min="4" max="4" width="8" bestFit="1" customWidth="1"/>
    <col min="5" max="5" width="8.42578125" bestFit="1" customWidth="1"/>
    <col min="6" max="6" width="21.85546875" bestFit="1" customWidth="1"/>
    <col min="7" max="7" width="10.140625" bestFit="1" customWidth="1"/>
    <col min="8" max="8" width="36.28515625" customWidth="1"/>
    <col min="9" max="9" width="9" style="5" bestFit="1" customWidth="1"/>
    <col min="10" max="11" width="5.85546875" bestFit="1" customWidth="1"/>
    <col min="12" max="12" width="12.85546875" bestFit="1" customWidth="1"/>
    <col min="13" max="13" width="7" bestFit="1" customWidth="1"/>
    <col min="14" max="14" width="5.85546875" bestFit="1" customWidth="1"/>
    <col min="15" max="15" width="9.42578125" bestFit="1" customWidth="1"/>
    <col min="16" max="16" width="9.7109375" bestFit="1" customWidth="1"/>
    <col min="17" max="17" width="9.42578125" bestFit="1" customWidth="1"/>
    <col min="18" max="18" width="10" bestFit="1" customWidth="1"/>
  </cols>
  <sheetData>
    <row r="1" spans="1:17" ht="15.75" thickBot="1" x14ac:dyDescent="0.3"/>
    <row r="2" spans="1:17" ht="15.75" thickBot="1" x14ac:dyDescent="0.3">
      <c r="B2" s="3" t="s">
        <v>0</v>
      </c>
      <c r="C2" s="4"/>
      <c r="D2" s="4"/>
      <c r="E2" s="4"/>
      <c r="F2" s="4"/>
    </row>
    <row r="3" spans="1:17" x14ac:dyDescent="0.25">
      <c r="H3" s="49" t="s">
        <v>23</v>
      </c>
      <c r="I3" s="18">
        <f>((B5*B7)*2)+((B6*B7)*2)+B9-(F13+F14)</f>
        <v>424.5</v>
      </c>
      <c r="J3" s="40" t="s">
        <v>5</v>
      </c>
      <c r="K3" s="13"/>
      <c r="L3" s="48" t="s">
        <v>31</v>
      </c>
      <c r="M3" s="31">
        <f>O19</f>
        <v>855</v>
      </c>
      <c r="N3" s="40" t="s">
        <v>30</v>
      </c>
    </row>
    <row r="4" spans="1:17" x14ac:dyDescent="0.25">
      <c r="H4" s="40"/>
      <c r="I4" s="40"/>
      <c r="J4" s="40"/>
      <c r="K4" s="13"/>
      <c r="L4" s="13"/>
      <c r="M4" s="13"/>
      <c r="N4" s="40"/>
    </row>
    <row r="5" spans="1:17" x14ac:dyDescent="0.25">
      <c r="A5" s="2" t="s">
        <v>2</v>
      </c>
      <c r="B5" s="2">
        <v>12</v>
      </c>
      <c r="C5" s="10" t="s">
        <v>5</v>
      </c>
      <c r="H5" s="50" t="s">
        <v>24</v>
      </c>
      <c r="I5" s="51">
        <f>I3/((VLOOKUP(A23,MRP!A:J,9,0)/B23))</f>
        <v>2.5727272727272728</v>
      </c>
      <c r="J5" s="40" t="s">
        <v>27</v>
      </c>
      <c r="K5" s="13"/>
      <c r="L5" s="12" t="s">
        <v>32</v>
      </c>
      <c r="M5" s="31">
        <f>O26</f>
        <v>945</v>
      </c>
      <c r="N5" s="40" t="s">
        <v>30</v>
      </c>
      <c r="Q5" s="32"/>
    </row>
    <row r="6" spans="1:17" x14ac:dyDescent="0.25">
      <c r="A6" s="2" t="s">
        <v>3</v>
      </c>
      <c r="B6" s="2">
        <v>8</v>
      </c>
      <c r="C6" s="10" t="s">
        <v>5</v>
      </c>
      <c r="H6" s="40"/>
      <c r="I6" s="40"/>
      <c r="J6" s="40"/>
      <c r="K6" s="13"/>
      <c r="L6" s="13"/>
      <c r="M6" s="13"/>
      <c r="N6" s="40"/>
    </row>
    <row r="7" spans="1:17" x14ac:dyDescent="0.25">
      <c r="A7" s="2" t="s">
        <v>4</v>
      </c>
      <c r="B7" s="2">
        <v>10</v>
      </c>
      <c r="C7" s="10" t="s">
        <v>5</v>
      </c>
      <c r="H7" s="18" t="s">
        <v>25</v>
      </c>
      <c r="I7" s="51">
        <f>IFERROR(I3/(VLOOKUP(E19,MRP!A:J,9,0)),0)</f>
        <v>3.6913043478260867</v>
      </c>
      <c r="J7" s="40" t="s">
        <v>27</v>
      </c>
      <c r="K7" s="13"/>
      <c r="L7" s="12" t="s">
        <v>33</v>
      </c>
      <c r="M7" s="31">
        <f>O31</f>
        <v>1275</v>
      </c>
      <c r="N7" s="40" t="s">
        <v>30</v>
      </c>
    </row>
    <row r="8" spans="1:17" x14ac:dyDescent="0.25">
      <c r="C8" s="10"/>
      <c r="D8" s="13"/>
      <c r="E8" s="13"/>
      <c r="F8" s="13"/>
      <c r="H8" s="40"/>
      <c r="I8" s="40"/>
      <c r="J8" s="40"/>
      <c r="K8" s="13"/>
      <c r="L8" s="13"/>
      <c r="M8" s="13"/>
      <c r="N8" s="40"/>
    </row>
    <row r="9" spans="1:17" x14ac:dyDescent="0.25">
      <c r="A9" s="22" t="b">
        <v>1</v>
      </c>
      <c r="B9" s="2">
        <f>IF(EXACT(A9,"TRUE"),(B5*B6),"0")</f>
        <v>96</v>
      </c>
      <c r="C9" s="11" t="s">
        <v>5</v>
      </c>
      <c r="D9" s="78"/>
      <c r="E9" s="33" t="s">
        <v>14</v>
      </c>
      <c r="F9" s="23"/>
      <c r="G9" s="6"/>
      <c r="H9" s="18" t="s">
        <v>26</v>
      </c>
      <c r="I9" s="51">
        <f>IFERROR(I3/(VLOOKUP(E20,MRP!A:I,9,0)),0)</f>
        <v>11.32</v>
      </c>
      <c r="J9" s="40" t="s">
        <v>28</v>
      </c>
      <c r="K9" s="13"/>
      <c r="L9" s="1" t="s">
        <v>10</v>
      </c>
      <c r="M9" s="12">
        <f>I3*B27</f>
        <v>3396</v>
      </c>
      <c r="N9" s="40" t="s">
        <v>30</v>
      </c>
    </row>
    <row r="10" spans="1:17" x14ac:dyDescent="0.25">
      <c r="D10" s="13"/>
      <c r="E10" s="13"/>
      <c r="F10" s="13"/>
      <c r="N10" s="5"/>
    </row>
    <row r="11" spans="1:17" x14ac:dyDescent="0.25">
      <c r="C11" s="10"/>
      <c r="D11" s="13"/>
      <c r="E11" s="29"/>
      <c r="F11" s="33"/>
      <c r="G11" s="26"/>
      <c r="L11" s="47" t="s">
        <v>29</v>
      </c>
      <c r="M11" s="18">
        <f>M3+M5+M7+M9</f>
        <v>6471</v>
      </c>
      <c r="N11" s="40" t="s">
        <v>30</v>
      </c>
    </row>
    <row r="12" spans="1:17" x14ac:dyDescent="0.25">
      <c r="C12" s="10"/>
      <c r="D12" s="13"/>
      <c r="E12" s="29"/>
      <c r="F12" s="79" t="s">
        <v>9</v>
      </c>
      <c r="G12" s="26"/>
    </row>
    <row r="13" spans="1:17" x14ac:dyDescent="0.25">
      <c r="A13" s="28" t="s">
        <v>6</v>
      </c>
      <c r="B13" s="2">
        <v>2</v>
      </c>
      <c r="C13" s="10" t="s">
        <v>5</v>
      </c>
      <c r="E13" s="33" t="s">
        <v>7</v>
      </c>
      <c r="F13" s="18">
        <f>B13*(7*3.5)</f>
        <v>49</v>
      </c>
      <c r="G13" s="23" t="s">
        <v>5</v>
      </c>
    </row>
    <row r="14" spans="1:17" x14ac:dyDescent="0.25">
      <c r="A14" s="28" t="s">
        <v>15</v>
      </c>
      <c r="B14" s="2">
        <v>1</v>
      </c>
      <c r="C14" s="10" t="s">
        <v>5</v>
      </c>
      <c r="E14" s="33" t="s">
        <v>8</v>
      </c>
      <c r="F14" s="18">
        <f>B14*(4.5*5)</f>
        <v>22.5</v>
      </c>
      <c r="G14" s="23" t="s">
        <v>5</v>
      </c>
      <c r="H14" s="8" t="s">
        <v>22</v>
      </c>
      <c r="J14" s="13"/>
      <c r="K14" s="13"/>
      <c r="L14" s="13"/>
    </row>
    <row r="15" spans="1:17" x14ac:dyDescent="0.25">
      <c r="A15" s="45"/>
      <c r="B15" s="45"/>
      <c r="C15" s="13"/>
      <c r="D15" s="13"/>
      <c r="E15" s="29"/>
      <c r="F15" s="29"/>
      <c r="G15" s="12" t="s">
        <v>36</v>
      </c>
      <c r="H15" s="18" t="s">
        <v>37</v>
      </c>
      <c r="I15" s="18" t="s">
        <v>64</v>
      </c>
      <c r="J15" s="29"/>
      <c r="K15" s="29"/>
      <c r="L15" s="29"/>
      <c r="M15" s="2" t="s">
        <v>49</v>
      </c>
      <c r="N15" s="2" t="s">
        <v>39</v>
      </c>
      <c r="O15" s="2" t="s">
        <v>50</v>
      </c>
    </row>
    <row r="16" spans="1:17" s="24" customFormat="1" x14ac:dyDescent="0.25">
      <c r="A16" s="13" t="s">
        <v>12</v>
      </c>
      <c r="B16" s="13"/>
      <c r="C16" s="13"/>
      <c r="D16" s="13"/>
      <c r="E16" s="29"/>
      <c r="F16" s="30"/>
      <c r="G16" s="35">
        <f>IF(EXACT($A$23,"Acroflat SPD (Distemper)"),"844321",IF(EXACT($A$23,"APE Plastic Paint"),"844021",IF(EXACT($A$23,"Feather Silk Emulsion"),"845531","0")))*1</f>
        <v>844021</v>
      </c>
      <c r="H16" s="12" t="str">
        <f>VLOOKUP(G16,MRP!B:C,2,0)</f>
        <v>APE Plastic Paint- 18 Ltr</v>
      </c>
      <c r="I16" s="39">
        <f>VLOOKUP(G16,MRP!B:E,4,0)</f>
        <v>18</v>
      </c>
      <c r="J16" s="56">
        <f>I5/I16</f>
        <v>0.14292929292929293</v>
      </c>
      <c r="K16" s="56">
        <f>ABS(J16-TRUNC(J16))</f>
        <v>0.14292929292929293</v>
      </c>
      <c r="L16" s="57">
        <f>I16*K16</f>
        <v>2.5727272727272728</v>
      </c>
      <c r="M16" s="36">
        <f>ROUNDDOWN(J16,0)</f>
        <v>0</v>
      </c>
      <c r="N16" s="12">
        <f>VLOOKUP(G16,MRP!B:F,5,0)</f>
        <v>5110</v>
      </c>
      <c r="O16" s="31">
        <f>M16*N16</f>
        <v>0</v>
      </c>
    </row>
    <row r="17" spans="1:20" s="24" customFormat="1" x14ac:dyDescent="0.25">
      <c r="A17" s="13" t="s">
        <v>13</v>
      </c>
      <c r="B17" s="13"/>
      <c r="C17" s="13"/>
      <c r="D17" s="13"/>
      <c r="E17" s="29"/>
      <c r="F17" s="29"/>
      <c r="G17" s="35">
        <f>IF(EXACT($A$23,"Acroflat SPD (Distemper)"),"844322",IF(EXACT($A$23,"APE Plastic Paint"),"844020",IF(EXACT($A$23,"Feather Silk Emulsion"),"844895","0")))*1</f>
        <v>844020</v>
      </c>
      <c r="H17" s="12" t="str">
        <f>VLOOKUP(G17,MRP!B:C,2,0)</f>
        <v>APE Plastic Paint-3.64 Ltr</v>
      </c>
      <c r="I17" s="88">
        <f>VLOOKUP(G17,MRP!B:E,4,0)</f>
        <v>3.64</v>
      </c>
      <c r="J17" s="58">
        <f>L16/I17</f>
        <v>0.70679320679320679</v>
      </c>
      <c r="K17" s="58">
        <f t="shared" ref="K17" si="0">ABS(J17-TRUNC(J17))</f>
        <v>0.70679320679320679</v>
      </c>
      <c r="L17" s="59">
        <f>I17*K17</f>
        <v>2.5727272727272728</v>
      </c>
      <c r="M17" s="36">
        <f t="shared" ref="M17" si="1">ROUNDDOWN(J17,0)</f>
        <v>0</v>
      </c>
      <c r="N17" s="12">
        <f>VLOOKUP(G17,MRP!B:F,5,0)</f>
        <v>1080</v>
      </c>
      <c r="O17" s="31">
        <f t="shared" ref="O17:O18" si="2">M17*N17</f>
        <v>0</v>
      </c>
    </row>
    <row r="18" spans="1:20" x14ac:dyDescent="0.25">
      <c r="E18" s="26"/>
      <c r="F18" s="29"/>
      <c r="G18" s="35">
        <f>IF(EXACT($A$23,"Acroflat SPD (Distemper)"),"844323",IF(EXACT($A$23,"APE Plastic Paint"),"844022",IF(EXACT($A$23,"Feather Silk Emulsion"),"844896","0")))*1</f>
        <v>844022</v>
      </c>
      <c r="H18" s="12" t="str">
        <f>VLOOKUP(G18,MRP!B:C,2,0)</f>
        <v>APE Plastic Paint 0.91 Ltr</v>
      </c>
      <c r="I18" s="88">
        <f>VLOOKUP(G18,MRP!B:E,4,0)</f>
        <v>0.91</v>
      </c>
      <c r="J18" s="60">
        <f>L17/I18</f>
        <v>2.8271728271728271</v>
      </c>
      <c r="K18" s="60"/>
      <c r="L18" s="61"/>
      <c r="M18" s="36">
        <f>ROUNDUP(J18,0)</f>
        <v>3</v>
      </c>
      <c r="N18" s="12">
        <f>VLOOKUP(G18,MRP!B:F,5,0)</f>
        <v>285</v>
      </c>
      <c r="O18" s="31">
        <f t="shared" si="2"/>
        <v>855</v>
      </c>
    </row>
    <row r="19" spans="1:20" x14ac:dyDescent="0.25">
      <c r="A19" s="10"/>
      <c r="B19" s="13"/>
      <c r="C19" s="13"/>
      <c r="D19" s="13" t="b">
        <v>1</v>
      </c>
      <c r="E19" s="29" t="str">
        <f>IF(EXACT(D19,"TRUE"),Category!D3,0)</f>
        <v>Water Base Int.Sealer</v>
      </c>
      <c r="F19" s="29"/>
      <c r="G19" s="29"/>
      <c r="H19" s="13"/>
      <c r="I19" s="40"/>
      <c r="J19" s="62"/>
      <c r="K19" s="62"/>
      <c r="L19" s="62"/>
      <c r="O19" s="21">
        <f>SUM(O16:O18)</f>
        <v>855</v>
      </c>
      <c r="P19" s="19" t="s">
        <v>63</v>
      </c>
    </row>
    <row r="20" spans="1:20" x14ac:dyDescent="0.25">
      <c r="A20" s="10"/>
      <c r="B20" s="13"/>
      <c r="C20" s="13"/>
      <c r="D20" s="13" t="b">
        <v>1</v>
      </c>
      <c r="E20" s="29" t="str">
        <f>IF(EXACT(D20,"TRUE"),Category!E2,0)</f>
        <v>WB Wall Putty</v>
      </c>
      <c r="F20" s="29"/>
      <c r="G20" s="29"/>
      <c r="H20" s="13"/>
      <c r="I20" s="40"/>
      <c r="J20" s="62"/>
      <c r="K20" s="62"/>
      <c r="L20" s="62"/>
    </row>
    <row r="21" spans="1:20" x14ac:dyDescent="0.25">
      <c r="B21" s="13"/>
      <c r="C21" s="13"/>
      <c r="D21" s="13"/>
      <c r="E21" s="29"/>
      <c r="F21" s="29"/>
      <c r="G21" s="29"/>
      <c r="H21" s="8" t="s">
        <v>51</v>
      </c>
      <c r="J21" s="62"/>
      <c r="K21" s="62"/>
      <c r="L21" s="62"/>
    </row>
    <row r="22" spans="1:20" x14ac:dyDescent="0.25">
      <c r="A22" s="7" t="s">
        <v>16</v>
      </c>
      <c r="B22" s="7" t="s">
        <v>62</v>
      </c>
      <c r="F22" s="13"/>
      <c r="G22" s="37" t="s">
        <v>36</v>
      </c>
      <c r="H22" s="38" t="s">
        <v>37</v>
      </c>
      <c r="I22" s="18" t="s">
        <v>64</v>
      </c>
      <c r="J22" s="62"/>
      <c r="K22" s="62"/>
      <c r="L22" s="62"/>
      <c r="M22" s="2" t="s">
        <v>49</v>
      </c>
      <c r="N22" s="2" t="s">
        <v>39</v>
      </c>
      <c r="O22" s="2" t="s">
        <v>50</v>
      </c>
    </row>
    <row r="23" spans="1:20" x14ac:dyDescent="0.25">
      <c r="A23" s="1" t="s">
        <v>55</v>
      </c>
      <c r="B23" s="1">
        <v>1</v>
      </c>
      <c r="G23" s="34">
        <f>IF(EXACT($A$23,"Acroflat SPD (Distemper)"),"844421",IF(EXACT($A$23,"APE Plastic Paint"),"844421",IF(EXACT($A$23,"Feather Silk Emulsion"),"844421","0")))*1</f>
        <v>844421</v>
      </c>
      <c r="H23" s="12" t="str">
        <f>VLOOKUP(G23,MRP!B:C,2,0)</f>
        <v>Water Base Int.Sealer - 18 Ltr</v>
      </c>
      <c r="I23" s="39">
        <f>VLOOKUP(G23,MRP!B:E,4,0)</f>
        <v>18</v>
      </c>
      <c r="J23" s="63">
        <f>I7/I23</f>
        <v>0.20507246376811594</v>
      </c>
      <c r="K23" s="56">
        <f>ABS(J23-TRUNC(J23))</f>
        <v>0.20507246376811594</v>
      </c>
      <c r="L23" s="57">
        <f>I23*K23</f>
        <v>3.6913043478260867</v>
      </c>
      <c r="M23" s="20">
        <f>ROUNDDOWN(J23,0)</f>
        <v>0</v>
      </c>
      <c r="N23" s="12">
        <f>VLOOKUP(G23,MRP!B:F,5,0)</f>
        <v>3600</v>
      </c>
      <c r="O23" s="21">
        <f t="shared" ref="O23:O25" si="3">M23*N23</f>
        <v>0</v>
      </c>
    </row>
    <row r="24" spans="1:20" x14ac:dyDescent="0.25">
      <c r="G24" s="34">
        <f>IF(EXACT($A$23,"Acroflat SPD (Distemper)"),"844422",IF(EXACT($A$23,"APE Plastic Paint"),"844422",IF(EXACT($A$23,"Feather Silk Emulsion"),"844422","0")))*1</f>
        <v>844422</v>
      </c>
      <c r="H24" s="12" t="str">
        <f>VLOOKUP(G24,MRP!B:C,2,0)</f>
        <v>Water Base Int.Sealer- 3.64 Ltr</v>
      </c>
      <c r="I24" s="39">
        <f>VLOOKUP(G24,MRP!B:E,4,0)</f>
        <v>3.64</v>
      </c>
      <c r="J24" s="64">
        <f>L23/I24</f>
        <v>1.0140946010511227</v>
      </c>
      <c r="K24" s="58">
        <f>ABS(J24-TRUNC(J24))</f>
        <v>1.4094601051122702E-2</v>
      </c>
      <c r="L24" s="65">
        <f>I24*K24</f>
        <v>5.1304347826086637E-2</v>
      </c>
      <c r="M24" s="20">
        <f t="shared" ref="M24" si="4">ROUNDDOWN(J24,0)</f>
        <v>1</v>
      </c>
      <c r="N24" s="12">
        <f>VLOOKUP(G24,MRP!B:F,5,0)</f>
        <v>755</v>
      </c>
      <c r="O24" s="21">
        <f t="shared" si="3"/>
        <v>755</v>
      </c>
    </row>
    <row r="25" spans="1:20" x14ac:dyDescent="0.25">
      <c r="G25" s="34">
        <f>IF(EXACT($A$23,"Acroflat SPD (Distemper)"),"844423",IF(EXACT($A$23,"APE Plastic Paint"),"844423",IF(EXACT($A$23,"Feather Silk Emulsion"),"844423","0")))*1</f>
        <v>844423</v>
      </c>
      <c r="H25" s="12" t="str">
        <f>VLOOKUP(G25,MRP!B:C,2,0)</f>
        <v>Water Base Int.Sealer- 0.91 Ltr</v>
      </c>
      <c r="I25" s="39">
        <f>VLOOKUP(G25,MRP!B:E,4,0)</f>
        <v>0.91</v>
      </c>
      <c r="J25" s="66">
        <f>L24/I25</f>
        <v>5.6378404204490806E-2</v>
      </c>
      <c r="K25" s="60"/>
      <c r="L25" s="61"/>
      <c r="M25" s="20">
        <f>ROUNDUP(J25,0)</f>
        <v>1</v>
      </c>
      <c r="N25" s="12">
        <f>VLOOKUP(G25,MRP!B:F,5,0)</f>
        <v>190</v>
      </c>
      <c r="O25" s="21">
        <f t="shared" si="3"/>
        <v>190</v>
      </c>
    </row>
    <row r="26" spans="1:20" x14ac:dyDescent="0.25">
      <c r="A26" s="1"/>
      <c r="B26" s="1" t="s">
        <v>11</v>
      </c>
      <c r="F26" s="13"/>
      <c r="G26" s="13"/>
      <c r="H26" s="13"/>
      <c r="I26" s="40"/>
      <c r="J26" s="62"/>
      <c r="K26" s="62"/>
      <c r="L26" s="62"/>
      <c r="O26" s="21">
        <f>SUM(O23:O25)</f>
        <v>945</v>
      </c>
      <c r="P26" s="19" t="s">
        <v>63</v>
      </c>
    </row>
    <row r="27" spans="1:20" x14ac:dyDescent="0.25">
      <c r="A27" s="2" t="s">
        <v>10</v>
      </c>
      <c r="B27" s="1">
        <v>8</v>
      </c>
      <c r="F27" s="13"/>
      <c r="G27" s="13"/>
      <c r="H27" s="8" t="s">
        <v>52</v>
      </c>
      <c r="J27" s="62"/>
      <c r="K27" s="62"/>
      <c r="L27" s="62"/>
    </row>
    <row r="28" spans="1:20" x14ac:dyDescent="0.25">
      <c r="F28" s="13"/>
      <c r="G28" s="37" t="s">
        <v>36</v>
      </c>
      <c r="H28" s="38" t="s">
        <v>37</v>
      </c>
      <c r="I28" s="18" t="s">
        <v>64</v>
      </c>
      <c r="J28" s="62"/>
      <c r="K28" s="62"/>
      <c r="L28" s="62"/>
      <c r="M28" s="2" t="s">
        <v>49</v>
      </c>
      <c r="N28" s="2" t="s">
        <v>39</v>
      </c>
      <c r="O28" s="2" t="s">
        <v>50</v>
      </c>
    </row>
    <row r="29" spans="1:20" x14ac:dyDescent="0.25">
      <c r="F29" s="13"/>
      <c r="G29" s="34">
        <f>IF(EXACT($A$23,"Acroflat SPD (Distemper)"),"844431",IF(EXACT($A$23,"APE Plastic Paint"),"844431",IF(EXACT($A$23,"Feather Silk Emulsion"),"844431","0")))*1</f>
        <v>844431</v>
      </c>
      <c r="H29" s="12" t="str">
        <f>VLOOKUP(G29,MRP!B:C,2,0)</f>
        <v>WB Wall Putty Sealer- 25 Kg</v>
      </c>
      <c r="I29" s="39">
        <f>VLOOKUP(G29,MRP!B:E,4,0)</f>
        <v>25</v>
      </c>
      <c r="J29" s="63">
        <f>I9/I29</f>
        <v>0.45280000000000004</v>
      </c>
      <c r="K29" s="56">
        <f>ABS(J29-TRUNC(J29))</f>
        <v>0.45280000000000004</v>
      </c>
      <c r="L29" s="57">
        <f>I29*K29</f>
        <v>11.32</v>
      </c>
      <c r="M29" s="20">
        <f>ROUNDDOWN(J29,0)</f>
        <v>0</v>
      </c>
      <c r="N29" s="12">
        <f>VLOOKUP(G29,MRP!B:F,5,0)</f>
        <v>1950</v>
      </c>
      <c r="O29" s="21">
        <f>M29*N29</f>
        <v>0</v>
      </c>
    </row>
    <row r="30" spans="1:20" x14ac:dyDescent="0.25">
      <c r="F30" s="13"/>
      <c r="G30" s="34">
        <f>IF(EXACT($A$23,"Acroflat SPD (Distemper)"),"844432",IF(EXACT($A$23,"APE Plastic Paint"),"844432",IF(EXACT($A$23,"Feather Silk Emulsion"),"844432","0")))*1</f>
        <v>844432</v>
      </c>
      <c r="H30" s="12" t="str">
        <f>VLOOKUP(G30,MRP!B:C,2,0)</f>
        <v>WB Wall Putty Sealer- 5 Kg</v>
      </c>
      <c r="I30" s="39">
        <f>VLOOKUP(G30,MRP!B:E,4,0)</f>
        <v>5</v>
      </c>
      <c r="J30" s="66">
        <f>L29/I30</f>
        <v>2.2640000000000002</v>
      </c>
      <c r="K30" s="60">
        <f t="shared" ref="K30" si="5">ABS(J30-TRUNC(J30))</f>
        <v>0.26400000000000023</v>
      </c>
      <c r="L30" s="61">
        <f>I30*K30</f>
        <v>1.3200000000000012</v>
      </c>
      <c r="M30" s="20">
        <f>ROUNDUP(J30,0)</f>
        <v>3</v>
      </c>
      <c r="N30" s="12">
        <f>VLOOKUP(G30,MRP!B:F,5,0)</f>
        <v>425</v>
      </c>
      <c r="O30" s="21">
        <f t="shared" ref="O30" si="6">M30*N30</f>
        <v>1275</v>
      </c>
    </row>
    <row r="31" spans="1:20" x14ac:dyDescent="0.25">
      <c r="N31" s="19"/>
      <c r="O31" s="41">
        <f>SUM(O29:O30)</f>
        <v>1275</v>
      </c>
      <c r="P31" s="19" t="s">
        <v>63</v>
      </c>
      <c r="Q31" s="19"/>
      <c r="R31" s="20"/>
      <c r="S31" s="1"/>
      <c r="T31" s="1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>
                <anchor moveWithCells="1">
                  <from>
                    <xdr:col>0</xdr:col>
                    <xdr:colOff>19050</xdr:colOff>
                    <xdr:row>19</xdr:row>
                    <xdr:rowOff>0</xdr:rowOff>
                  </from>
                  <to>
                    <xdr:col>1</xdr:col>
                    <xdr:colOff>323850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19050</xdr:colOff>
                    <xdr:row>17</xdr:row>
                    <xdr:rowOff>133350</xdr:rowOff>
                  </from>
                  <to>
                    <xdr:col>1</xdr:col>
                    <xdr:colOff>333375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9525</xdr:rowOff>
                  </from>
                  <to>
                    <xdr:col>0</xdr:col>
                    <xdr:colOff>1114425</xdr:colOff>
                    <xdr:row>8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Category!$A$2:$A$11</xm:f>
          </x14:formula1>
          <xm:sqref>A23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GridLines="0" workbookViewId="0">
      <selection activeCell="D14" sqref="D14"/>
    </sheetView>
  </sheetViews>
  <sheetFormatPr defaultRowHeight="15" x14ac:dyDescent="0.25"/>
  <cols>
    <col min="1" max="1" width="23.42578125" bestFit="1" customWidth="1"/>
    <col min="2" max="2" width="25.5703125" bestFit="1" customWidth="1"/>
    <col min="3" max="3" width="27.140625" bestFit="1" customWidth="1"/>
    <col min="4" max="4" width="22.85546875" bestFit="1" customWidth="1"/>
    <col min="5" max="5" width="13.7109375" bestFit="1" customWidth="1"/>
    <col min="6" max="6" width="19.140625" bestFit="1" customWidth="1"/>
    <col min="7" max="7" width="26.28515625" bestFit="1" customWidth="1"/>
  </cols>
  <sheetData>
    <row r="1" spans="1:7" x14ac:dyDescent="0.25">
      <c r="A1" s="8" t="s">
        <v>0</v>
      </c>
      <c r="B1" s="8" t="s">
        <v>1</v>
      </c>
      <c r="C1" s="8" t="s">
        <v>34</v>
      </c>
      <c r="D1" s="8" t="s">
        <v>51</v>
      </c>
      <c r="E1" s="89" t="s">
        <v>52</v>
      </c>
      <c r="F1" s="89" t="s">
        <v>66</v>
      </c>
      <c r="G1" s="89" t="s">
        <v>21</v>
      </c>
    </row>
    <row r="2" spans="1:7" x14ac:dyDescent="0.25">
      <c r="A2" s="1" t="s">
        <v>55</v>
      </c>
      <c r="B2" s="1" t="s">
        <v>56</v>
      </c>
      <c r="C2" s="1" t="s">
        <v>20</v>
      </c>
      <c r="D2" s="1" t="s">
        <v>53</v>
      </c>
      <c r="E2" s="1" t="s">
        <v>73</v>
      </c>
      <c r="F2" s="1" t="s">
        <v>57</v>
      </c>
      <c r="G2" s="1" t="s">
        <v>58</v>
      </c>
    </row>
    <row r="3" spans="1:7" x14ac:dyDescent="0.25">
      <c r="A3" s="1" t="s">
        <v>17</v>
      </c>
      <c r="B3" s="15" t="s">
        <v>60</v>
      </c>
      <c r="C3" s="1" t="s">
        <v>19</v>
      </c>
      <c r="D3" s="1" t="s">
        <v>54</v>
      </c>
      <c r="E3" s="1"/>
      <c r="F3" s="1"/>
      <c r="G3" s="15" t="s">
        <v>59</v>
      </c>
    </row>
    <row r="4" spans="1:7" x14ac:dyDescent="0.25">
      <c r="A4" s="1" t="s">
        <v>18</v>
      </c>
      <c r="B4" s="15" t="s">
        <v>61</v>
      </c>
      <c r="C4" s="1"/>
      <c r="D4" s="1"/>
      <c r="E4" s="1"/>
      <c r="F4" s="1"/>
      <c r="G4" s="1"/>
    </row>
    <row r="5" spans="1:7" x14ac:dyDescent="0.25">
      <c r="A5" s="1" t="s">
        <v>55</v>
      </c>
      <c r="B5" s="1" t="s">
        <v>56</v>
      </c>
      <c r="C5" s="1" t="s">
        <v>20</v>
      </c>
      <c r="D5" s="1" t="s">
        <v>53</v>
      </c>
      <c r="E5" s="1" t="s">
        <v>73</v>
      </c>
      <c r="F5" s="1" t="s">
        <v>57</v>
      </c>
      <c r="G5" s="1" t="s">
        <v>58</v>
      </c>
    </row>
    <row r="6" spans="1:7" x14ac:dyDescent="0.25">
      <c r="A6" s="1" t="s">
        <v>17</v>
      </c>
      <c r="B6" s="15" t="s">
        <v>60</v>
      </c>
      <c r="C6" s="1" t="s">
        <v>19</v>
      </c>
      <c r="D6" s="1" t="s">
        <v>54</v>
      </c>
      <c r="E6" s="1"/>
      <c r="F6" s="1"/>
      <c r="G6" s="15" t="s">
        <v>59</v>
      </c>
    </row>
    <row r="7" spans="1:7" x14ac:dyDescent="0.25">
      <c r="A7" s="1" t="s">
        <v>18</v>
      </c>
      <c r="B7" s="15" t="s">
        <v>61</v>
      </c>
      <c r="C7" s="1"/>
      <c r="D7" s="1"/>
      <c r="E7" s="1"/>
      <c r="F7" s="1"/>
      <c r="G7" s="1"/>
    </row>
    <row r="8" spans="1:7" x14ac:dyDescent="0.25">
      <c r="A8" s="1" t="s">
        <v>55</v>
      </c>
      <c r="B8" s="1" t="s">
        <v>56</v>
      </c>
      <c r="C8" s="1" t="s">
        <v>20</v>
      </c>
      <c r="D8" s="1" t="s">
        <v>53</v>
      </c>
      <c r="E8" s="1" t="s">
        <v>73</v>
      </c>
      <c r="F8" s="1" t="s">
        <v>57</v>
      </c>
      <c r="G8" s="1" t="s">
        <v>58</v>
      </c>
    </row>
    <row r="9" spans="1:7" x14ac:dyDescent="0.25">
      <c r="A9" s="1" t="s">
        <v>17</v>
      </c>
      <c r="B9" s="15" t="s">
        <v>60</v>
      </c>
      <c r="C9" s="1" t="s">
        <v>19</v>
      </c>
      <c r="D9" s="1" t="s">
        <v>54</v>
      </c>
      <c r="E9" s="1"/>
      <c r="F9" s="1"/>
      <c r="G9" s="15" t="s">
        <v>59</v>
      </c>
    </row>
    <row r="10" spans="1:7" x14ac:dyDescent="0.25">
      <c r="A10" s="1" t="s">
        <v>18</v>
      </c>
      <c r="B10" s="15" t="s">
        <v>61</v>
      </c>
      <c r="C10" s="1"/>
      <c r="D10" s="1"/>
      <c r="E10" s="1"/>
      <c r="F10" s="1"/>
      <c r="G10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showGridLines="0" tabSelected="1" topLeftCell="A25" workbookViewId="0">
      <selection activeCell="K37" sqref="K37"/>
    </sheetView>
  </sheetViews>
  <sheetFormatPr defaultRowHeight="15" x14ac:dyDescent="0.25"/>
  <cols>
    <col min="1" max="1" width="25.5703125" bestFit="1" customWidth="1"/>
    <col min="2" max="2" width="10.28515625" bestFit="1" customWidth="1"/>
    <col min="3" max="3" width="42.5703125" bestFit="1" customWidth="1"/>
    <col min="4" max="4" width="6.7109375" style="5" bestFit="1" customWidth="1"/>
    <col min="5" max="5" width="10.42578125" style="5" bestFit="1" customWidth="1"/>
    <col min="6" max="6" width="7.7109375" style="83" bestFit="1" customWidth="1"/>
    <col min="7" max="7" width="13.7109375" style="83" bestFit="1" customWidth="1"/>
    <col min="8" max="8" width="14.28515625" style="83" bestFit="1" customWidth="1"/>
    <col min="9" max="9" width="14.5703125" style="83" bestFit="1" customWidth="1"/>
  </cols>
  <sheetData>
    <row r="1" spans="1:11" x14ac:dyDescent="0.25">
      <c r="A1" s="80" t="s">
        <v>72</v>
      </c>
      <c r="B1" s="81" t="s">
        <v>36</v>
      </c>
      <c r="C1" s="81" t="s">
        <v>37</v>
      </c>
      <c r="D1" s="81" t="s">
        <v>38</v>
      </c>
      <c r="E1" s="81" t="s">
        <v>64</v>
      </c>
      <c r="F1" s="85" t="s">
        <v>39</v>
      </c>
      <c r="G1" s="86" t="s">
        <v>74</v>
      </c>
      <c r="H1" s="86" t="s">
        <v>75</v>
      </c>
      <c r="I1" s="86" t="s">
        <v>76</v>
      </c>
      <c r="J1" s="82" t="s">
        <v>35</v>
      </c>
    </row>
    <row r="2" spans="1:11" x14ac:dyDescent="0.25">
      <c r="A2" s="1" t="s">
        <v>17</v>
      </c>
      <c r="B2" s="14">
        <v>844323</v>
      </c>
      <c r="C2" s="15" t="s">
        <v>77</v>
      </c>
      <c r="D2" s="14" t="s">
        <v>27</v>
      </c>
      <c r="E2" s="14">
        <v>0.91</v>
      </c>
      <c r="F2" s="87">
        <v>120</v>
      </c>
      <c r="G2" s="87">
        <v>140</v>
      </c>
      <c r="H2" s="87">
        <v>150</v>
      </c>
      <c r="I2" s="87">
        <f>(G2+H2)/2</f>
        <v>145</v>
      </c>
      <c r="J2" s="84">
        <f t="shared" ref="J2:J16" si="0">1/H2</f>
        <v>6.6666666666666671E-3</v>
      </c>
      <c r="K2" s="42"/>
    </row>
    <row r="3" spans="1:11" x14ac:dyDescent="0.25">
      <c r="A3" s="1" t="s">
        <v>17</v>
      </c>
      <c r="B3" s="14">
        <v>844322</v>
      </c>
      <c r="C3" s="15" t="s">
        <v>78</v>
      </c>
      <c r="D3" s="14" t="s">
        <v>40</v>
      </c>
      <c r="E3" s="14">
        <v>3.64</v>
      </c>
      <c r="F3" s="87">
        <v>430</v>
      </c>
      <c r="G3" s="87">
        <v>140</v>
      </c>
      <c r="H3" s="87">
        <v>150</v>
      </c>
      <c r="I3" s="87">
        <f t="shared" ref="I3:I46" si="1">(G3+H3)/2</f>
        <v>145</v>
      </c>
      <c r="J3" s="84">
        <f t="shared" si="0"/>
        <v>6.6666666666666671E-3</v>
      </c>
    </row>
    <row r="4" spans="1:11" x14ac:dyDescent="0.25">
      <c r="A4" s="1" t="s">
        <v>17</v>
      </c>
      <c r="B4" s="14">
        <v>844321</v>
      </c>
      <c r="C4" s="15" t="s">
        <v>79</v>
      </c>
      <c r="D4" s="14" t="s">
        <v>41</v>
      </c>
      <c r="E4" s="14">
        <v>18</v>
      </c>
      <c r="F4" s="87">
        <v>2070</v>
      </c>
      <c r="G4" s="87">
        <v>140</v>
      </c>
      <c r="H4" s="87">
        <v>150</v>
      </c>
      <c r="I4" s="87">
        <f t="shared" si="1"/>
        <v>145</v>
      </c>
      <c r="J4" s="84">
        <f t="shared" si="0"/>
        <v>6.6666666666666671E-3</v>
      </c>
    </row>
    <row r="5" spans="1:11" x14ac:dyDescent="0.25">
      <c r="A5" s="15" t="s">
        <v>60</v>
      </c>
      <c r="B5" s="14">
        <v>845424</v>
      </c>
      <c r="C5" s="15" t="s">
        <v>80</v>
      </c>
      <c r="D5" s="14" t="s">
        <v>40</v>
      </c>
      <c r="E5" s="14">
        <v>3.6</v>
      </c>
      <c r="F5" s="87">
        <v>2600</v>
      </c>
      <c r="G5" s="87">
        <v>100</v>
      </c>
      <c r="H5" s="87">
        <v>100</v>
      </c>
      <c r="I5" s="87">
        <f t="shared" si="1"/>
        <v>100</v>
      </c>
      <c r="J5" s="84">
        <f t="shared" si="0"/>
        <v>0.01</v>
      </c>
    </row>
    <row r="6" spans="1:11" x14ac:dyDescent="0.25">
      <c r="A6" s="15" t="s">
        <v>60</v>
      </c>
      <c r="B6" s="14">
        <v>845433</v>
      </c>
      <c r="C6" s="15" t="s">
        <v>81</v>
      </c>
      <c r="D6" s="14" t="s">
        <v>41</v>
      </c>
      <c r="E6" s="14">
        <v>18</v>
      </c>
      <c r="F6" s="87">
        <v>13000</v>
      </c>
      <c r="G6" s="87">
        <v>100</v>
      </c>
      <c r="H6" s="87">
        <v>100</v>
      </c>
      <c r="I6" s="87">
        <f t="shared" si="1"/>
        <v>100</v>
      </c>
      <c r="J6" s="84">
        <f t="shared" si="0"/>
        <v>0.01</v>
      </c>
    </row>
    <row r="7" spans="1:11" x14ac:dyDescent="0.25">
      <c r="A7" s="15" t="s">
        <v>59</v>
      </c>
      <c r="B7" s="14">
        <v>845099</v>
      </c>
      <c r="C7" s="15" t="s">
        <v>46</v>
      </c>
      <c r="D7" s="14" t="s">
        <v>40</v>
      </c>
      <c r="E7" s="14">
        <v>0.9</v>
      </c>
      <c r="F7" s="87">
        <v>390</v>
      </c>
      <c r="G7" s="87">
        <v>60</v>
      </c>
      <c r="H7" s="87">
        <v>70</v>
      </c>
      <c r="I7" s="87">
        <f t="shared" si="1"/>
        <v>65</v>
      </c>
      <c r="J7" s="84">
        <f t="shared" si="0"/>
        <v>1.4285714285714285E-2</v>
      </c>
    </row>
    <row r="8" spans="1:11" x14ac:dyDescent="0.25">
      <c r="A8" s="15" t="s">
        <v>59</v>
      </c>
      <c r="B8" s="14">
        <v>845098</v>
      </c>
      <c r="C8" s="15" t="s">
        <v>47</v>
      </c>
      <c r="D8" s="14" t="s">
        <v>40</v>
      </c>
      <c r="E8" s="14">
        <v>3.6</v>
      </c>
      <c r="F8" s="87">
        <v>1480</v>
      </c>
      <c r="G8" s="87">
        <v>60</v>
      </c>
      <c r="H8" s="87">
        <v>70</v>
      </c>
      <c r="I8" s="87">
        <f t="shared" si="1"/>
        <v>65</v>
      </c>
      <c r="J8" s="84">
        <f t="shared" si="0"/>
        <v>1.4285714285714285E-2</v>
      </c>
    </row>
    <row r="9" spans="1:11" x14ac:dyDescent="0.25">
      <c r="A9" s="15" t="s">
        <v>59</v>
      </c>
      <c r="B9" s="14">
        <v>845097</v>
      </c>
      <c r="C9" s="15" t="s">
        <v>48</v>
      </c>
      <c r="D9" s="14" t="s">
        <v>41</v>
      </c>
      <c r="E9" s="14">
        <v>18</v>
      </c>
      <c r="F9" s="87">
        <v>7000</v>
      </c>
      <c r="G9" s="87">
        <v>60</v>
      </c>
      <c r="H9" s="87">
        <v>70</v>
      </c>
      <c r="I9" s="87">
        <f t="shared" si="1"/>
        <v>65</v>
      </c>
      <c r="J9" s="84">
        <f t="shared" si="0"/>
        <v>1.4285714285714285E-2</v>
      </c>
    </row>
    <row r="10" spans="1:11" x14ac:dyDescent="0.25">
      <c r="A10" s="1" t="s">
        <v>55</v>
      </c>
      <c r="B10" s="14">
        <v>844022</v>
      </c>
      <c r="C10" s="16" t="s">
        <v>82</v>
      </c>
      <c r="D10" s="14" t="s">
        <v>27</v>
      </c>
      <c r="E10" s="14">
        <v>0.91</v>
      </c>
      <c r="F10" s="87">
        <v>285</v>
      </c>
      <c r="G10" s="87">
        <v>160</v>
      </c>
      <c r="H10" s="87">
        <v>170</v>
      </c>
      <c r="I10" s="87">
        <f t="shared" si="1"/>
        <v>165</v>
      </c>
      <c r="J10" s="84">
        <f t="shared" si="0"/>
        <v>5.8823529411764705E-3</v>
      </c>
    </row>
    <row r="11" spans="1:11" x14ac:dyDescent="0.25">
      <c r="A11" s="1" t="s">
        <v>55</v>
      </c>
      <c r="B11" s="14">
        <v>844020</v>
      </c>
      <c r="C11" s="15" t="s">
        <v>83</v>
      </c>
      <c r="D11" s="14" t="s">
        <v>40</v>
      </c>
      <c r="E11" s="14">
        <v>3.64</v>
      </c>
      <c r="F11" s="87">
        <v>1080</v>
      </c>
      <c r="G11" s="87">
        <v>160</v>
      </c>
      <c r="H11" s="87">
        <v>170</v>
      </c>
      <c r="I11" s="87">
        <f t="shared" si="1"/>
        <v>165</v>
      </c>
      <c r="J11" s="84">
        <f t="shared" si="0"/>
        <v>5.8823529411764705E-3</v>
      </c>
    </row>
    <row r="12" spans="1:11" x14ac:dyDescent="0.25">
      <c r="A12" s="1" t="s">
        <v>55</v>
      </c>
      <c r="B12" s="14">
        <v>844021</v>
      </c>
      <c r="C12" s="15" t="s">
        <v>84</v>
      </c>
      <c r="D12" s="14" t="s">
        <v>41</v>
      </c>
      <c r="E12" s="14">
        <v>18</v>
      </c>
      <c r="F12" s="87">
        <v>5110</v>
      </c>
      <c r="G12" s="87">
        <v>160</v>
      </c>
      <c r="H12" s="87">
        <v>170</v>
      </c>
      <c r="I12" s="87">
        <f t="shared" si="1"/>
        <v>165</v>
      </c>
      <c r="J12" s="84">
        <f t="shared" si="0"/>
        <v>5.8823529411764705E-3</v>
      </c>
    </row>
    <row r="13" spans="1:11" x14ac:dyDescent="0.25">
      <c r="A13" s="1" t="s">
        <v>18</v>
      </c>
      <c r="B13" s="14">
        <v>844896</v>
      </c>
      <c r="C13" s="15" t="s">
        <v>85</v>
      </c>
      <c r="D13" s="14" t="s">
        <v>27</v>
      </c>
      <c r="E13" s="14">
        <v>0.91</v>
      </c>
      <c r="F13" s="87">
        <v>450</v>
      </c>
      <c r="G13" s="87">
        <v>165</v>
      </c>
      <c r="H13" s="87">
        <v>185</v>
      </c>
      <c r="I13" s="87">
        <f t="shared" si="1"/>
        <v>175</v>
      </c>
      <c r="J13" s="84">
        <f t="shared" si="0"/>
        <v>5.4054054054054057E-3</v>
      </c>
    </row>
    <row r="14" spans="1:11" x14ac:dyDescent="0.25">
      <c r="A14" s="1" t="s">
        <v>18</v>
      </c>
      <c r="B14" s="14">
        <v>844895</v>
      </c>
      <c r="C14" s="15" t="s">
        <v>86</v>
      </c>
      <c r="D14" s="14" t="s">
        <v>40</v>
      </c>
      <c r="E14" s="14">
        <v>3.64</v>
      </c>
      <c r="F14" s="87">
        <v>1870</v>
      </c>
      <c r="G14" s="87">
        <v>165</v>
      </c>
      <c r="H14" s="87">
        <v>185</v>
      </c>
      <c r="I14" s="87">
        <f t="shared" si="1"/>
        <v>175</v>
      </c>
      <c r="J14" s="84">
        <f t="shared" si="0"/>
        <v>5.4054054054054057E-3</v>
      </c>
    </row>
    <row r="15" spans="1:11" x14ac:dyDescent="0.25">
      <c r="A15" s="1" t="s">
        <v>18</v>
      </c>
      <c r="B15" s="14">
        <v>845531</v>
      </c>
      <c r="C15" s="15" t="s">
        <v>87</v>
      </c>
      <c r="D15" s="15" t="s">
        <v>41</v>
      </c>
      <c r="E15" s="14">
        <v>18.2</v>
      </c>
      <c r="F15" s="87">
        <v>8900</v>
      </c>
      <c r="G15" s="87">
        <v>165</v>
      </c>
      <c r="H15" s="87">
        <v>185</v>
      </c>
      <c r="I15" s="87">
        <f t="shared" si="1"/>
        <v>175</v>
      </c>
      <c r="J15" s="84">
        <f t="shared" si="0"/>
        <v>5.4054054054054057E-3</v>
      </c>
    </row>
    <row r="16" spans="1:11" x14ac:dyDescent="0.25">
      <c r="A16" s="1" t="s">
        <v>58</v>
      </c>
      <c r="B16" s="14">
        <v>844464</v>
      </c>
      <c r="C16" s="15" t="s">
        <v>42</v>
      </c>
      <c r="D16" s="14" t="s">
        <v>27</v>
      </c>
      <c r="E16" s="14">
        <v>0.45500000000000002</v>
      </c>
      <c r="F16" s="87">
        <v>130</v>
      </c>
      <c r="G16" s="87">
        <v>130</v>
      </c>
      <c r="H16" s="87">
        <v>140</v>
      </c>
      <c r="I16" s="87">
        <f t="shared" si="1"/>
        <v>135</v>
      </c>
      <c r="J16" s="84">
        <f t="shared" si="0"/>
        <v>7.1428571428571426E-3</v>
      </c>
      <c r="K16" s="43"/>
    </row>
    <row r="17" spans="1:11" x14ac:dyDescent="0.25">
      <c r="A17" s="1" t="s">
        <v>58</v>
      </c>
      <c r="B17" s="14">
        <v>803890</v>
      </c>
      <c r="C17" s="15" t="s">
        <v>43</v>
      </c>
      <c r="D17" s="14" t="s">
        <v>27</v>
      </c>
      <c r="E17" s="14">
        <v>0.91</v>
      </c>
      <c r="F17" s="87">
        <v>255</v>
      </c>
      <c r="G17" s="87">
        <v>130</v>
      </c>
      <c r="H17" s="87">
        <v>140</v>
      </c>
      <c r="I17" s="87">
        <f t="shared" si="1"/>
        <v>135</v>
      </c>
      <c r="J17" s="84">
        <f t="shared" ref="J17:J46" si="2">1/H17</f>
        <v>7.1428571428571426E-3</v>
      </c>
      <c r="K17" s="46"/>
    </row>
    <row r="18" spans="1:11" ht="15.75" x14ac:dyDescent="0.25">
      <c r="A18" s="1" t="s">
        <v>58</v>
      </c>
      <c r="B18" s="14">
        <v>844462</v>
      </c>
      <c r="C18" s="15" t="s">
        <v>44</v>
      </c>
      <c r="D18" s="14" t="s">
        <v>40</v>
      </c>
      <c r="E18" s="14">
        <v>3.64</v>
      </c>
      <c r="F18" s="87">
        <v>900</v>
      </c>
      <c r="G18" s="87">
        <v>130</v>
      </c>
      <c r="H18" s="87">
        <v>140</v>
      </c>
      <c r="I18" s="87">
        <f t="shared" si="1"/>
        <v>135</v>
      </c>
      <c r="J18" s="84">
        <f t="shared" si="2"/>
        <v>7.1428571428571426E-3</v>
      </c>
      <c r="K18" s="44"/>
    </row>
    <row r="19" spans="1:11" x14ac:dyDescent="0.25">
      <c r="A19" s="1" t="s">
        <v>58</v>
      </c>
      <c r="B19" s="14">
        <v>844461</v>
      </c>
      <c r="C19" s="15" t="s">
        <v>45</v>
      </c>
      <c r="D19" s="14" t="s">
        <v>41</v>
      </c>
      <c r="E19" s="14">
        <v>18.2</v>
      </c>
      <c r="F19" s="87">
        <v>4300</v>
      </c>
      <c r="G19" s="87">
        <v>130</v>
      </c>
      <c r="H19" s="87">
        <v>140</v>
      </c>
      <c r="I19" s="87">
        <f t="shared" si="1"/>
        <v>135</v>
      </c>
      <c r="J19" s="84">
        <f t="shared" si="2"/>
        <v>7.1428571428571426E-3</v>
      </c>
    </row>
    <row r="20" spans="1:11" x14ac:dyDescent="0.25">
      <c r="A20" s="1" t="s">
        <v>19</v>
      </c>
      <c r="B20" s="14">
        <v>844946</v>
      </c>
      <c r="C20" s="15" t="s">
        <v>88</v>
      </c>
      <c r="D20" s="14" t="s">
        <v>27</v>
      </c>
      <c r="E20" s="14">
        <v>0.2</v>
      </c>
      <c r="F20" s="87">
        <v>65</v>
      </c>
      <c r="G20" s="87">
        <v>140</v>
      </c>
      <c r="H20" s="87">
        <v>160</v>
      </c>
      <c r="I20" s="87">
        <f t="shared" si="1"/>
        <v>150</v>
      </c>
      <c r="J20" s="84">
        <f t="shared" si="2"/>
        <v>6.2500000000000003E-3</v>
      </c>
    </row>
    <row r="21" spans="1:11" x14ac:dyDescent="0.25">
      <c r="A21" s="1" t="s">
        <v>19</v>
      </c>
      <c r="B21" s="14">
        <v>844945</v>
      </c>
      <c r="C21" s="15" t="s">
        <v>89</v>
      </c>
      <c r="D21" s="14" t="s">
        <v>27</v>
      </c>
      <c r="E21" s="14">
        <v>0.45500000000000002</v>
      </c>
      <c r="F21" s="87">
        <v>135</v>
      </c>
      <c r="G21" s="87">
        <v>140</v>
      </c>
      <c r="H21" s="87">
        <v>160</v>
      </c>
      <c r="I21" s="87">
        <f t="shared" si="1"/>
        <v>150</v>
      </c>
      <c r="J21" s="84">
        <f t="shared" si="2"/>
        <v>6.2500000000000003E-3</v>
      </c>
    </row>
    <row r="22" spans="1:11" x14ac:dyDescent="0.25">
      <c r="A22" s="1" t="s">
        <v>19</v>
      </c>
      <c r="B22" s="14">
        <v>844944</v>
      </c>
      <c r="C22" s="15" t="s">
        <v>90</v>
      </c>
      <c r="D22" s="14" t="s">
        <v>27</v>
      </c>
      <c r="E22" s="14">
        <v>0.91</v>
      </c>
      <c r="F22" s="87">
        <v>260</v>
      </c>
      <c r="G22" s="87">
        <v>140</v>
      </c>
      <c r="H22" s="87">
        <v>160</v>
      </c>
      <c r="I22" s="87">
        <f t="shared" si="1"/>
        <v>150</v>
      </c>
      <c r="J22" s="84">
        <f t="shared" si="2"/>
        <v>6.2500000000000003E-3</v>
      </c>
    </row>
    <row r="23" spans="1:11" x14ac:dyDescent="0.25">
      <c r="A23" s="1" t="s">
        <v>19</v>
      </c>
      <c r="B23" s="14">
        <v>844943</v>
      </c>
      <c r="C23" s="15" t="s">
        <v>91</v>
      </c>
      <c r="D23" s="14" t="s">
        <v>40</v>
      </c>
      <c r="E23" s="14">
        <v>3.64</v>
      </c>
      <c r="F23" s="87">
        <v>985</v>
      </c>
      <c r="G23" s="87">
        <v>140</v>
      </c>
      <c r="H23" s="87">
        <v>160</v>
      </c>
      <c r="I23" s="87">
        <f t="shared" si="1"/>
        <v>150</v>
      </c>
      <c r="J23" s="84">
        <f t="shared" si="2"/>
        <v>6.2500000000000003E-3</v>
      </c>
    </row>
    <row r="24" spans="1:11" x14ac:dyDescent="0.25">
      <c r="A24" s="1" t="s">
        <v>19</v>
      </c>
      <c r="B24" s="14">
        <v>844999</v>
      </c>
      <c r="C24" s="15" t="s">
        <v>92</v>
      </c>
      <c r="D24" s="14" t="s">
        <v>41</v>
      </c>
      <c r="E24" s="14">
        <v>18.2</v>
      </c>
      <c r="F24" s="87">
        <v>4750</v>
      </c>
      <c r="G24" s="87">
        <v>140</v>
      </c>
      <c r="H24" s="87">
        <v>160</v>
      </c>
      <c r="I24" s="87">
        <f t="shared" si="1"/>
        <v>150</v>
      </c>
      <c r="J24" s="84">
        <f t="shared" si="2"/>
        <v>6.2500000000000003E-3</v>
      </c>
    </row>
    <row r="25" spans="1:11" x14ac:dyDescent="0.25">
      <c r="A25" s="15" t="s">
        <v>61</v>
      </c>
      <c r="B25" s="14">
        <v>844673</v>
      </c>
      <c r="C25" s="15" t="s">
        <v>93</v>
      </c>
      <c r="D25" s="15" t="s">
        <v>28</v>
      </c>
      <c r="E25" s="14">
        <v>5</v>
      </c>
      <c r="F25" s="87">
        <v>475</v>
      </c>
      <c r="G25" s="87">
        <v>90</v>
      </c>
      <c r="H25" s="87">
        <v>100</v>
      </c>
      <c r="I25" s="87">
        <f t="shared" si="1"/>
        <v>95</v>
      </c>
      <c r="J25" s="84">
        <f t="shared" si="2"/>
        <v>0.01</v>
      </c>
    </row>
    <row r="26" spans="1:11" x14ac:dyDescent="0.25">
      <c r="A26" s="15" t="s">
        <v>61</v>
      </c>
      <c r="B26" s="14">
        <v>844672</v>
      </c>
      <c r="C26" s="15" t="s">
        <v>94</v>
      </c>
      <c r="D26" s="15" t="s">
        <v>40</v>
      </c>
      <c r="E26" s="14">
        <v>20</v>
      </c>
      <c r="F26" s="87">
        <v>1695</v>
      </c>
      <c r="G26" s="87">
        <v>90</v>
      </c>
      <c r="H26" s="87">
        <v>100</v>
      </c>
      <c r="I26" s="87">
        <f t="shared" si="1"/>
        <v>95</v>
      </c>
      <c r="J26" s="84">
        <f t="shared" si="2"/>
        <v>0.01</v>
      </c>
    </row>
    <row r="27" spans="1:11" x14ac:dyDescent="0.25">
      <c r="A27" s="15" t="s">
        <v>61</v>
      </c>
      <c r="B27" s="14">
        <v>844671</v>
      </c>
      <c r="C27" s="15" t="s">
        <v>95</v>
      </c>
      <c r="D27" s="15" t="s">
        <v>41</v>
      </c>
      <c r="E27" s="14">
        <v>40</v>
      </c>
      <c r="F27" s="87">
        <v>3150</v>
      </c>
      <c r="G27" s="87">
        <v>90</v>
      </c>
      <c r="H27" s="87">
        <v>100</v>
      </c>
      <c r="I27" s="87">
        <f t="shared" si="1"/>
        <v>95</v>
      </c>
      <c r="J27" s="84">
        <f t="shared" si="2"/>
        <v>0.01</v>
      </c>
    </row>
    <row r="28" spans="1:11" x14ac:dyDescent="0.25">
      <c r="A28" s="1" t="s">
        <v>20</v>
      </c>
      <c r="B28" s="14">
        <v>844227</v>
      </c>
      <c r="C28" s="15" t="s">
        <v>96</v>
      </c>
      <c r="D28" s="14" t="s">
        <v>27</v>
      </c>
      <c r="E28" s="14">
        <v>0.45500000000000002</v>
      </c>
      <c r="F28" s="87">
        <v>190</v>
      </c>
      <c r="G28" s="87">
        <v>160</v>
      </c>
      <c r="H28" s="87">
        <v>170</v>
      </c>
      <c r="I28" s="87">
        <f t="shared" si="1"/>
        <v>165</v>
      </c>
      <c r="J28" s="84">
        <f t="shared" si="2"/>
        <v>5.8823529411764705E-3</v>
      </c>
    </row>
    <row r="29" spans="1:11" x14ac:dyDescent="0.25">
      <c r="A29" s="1" t="s">
        <v>20</v>
      </c>
      <c r="B29" s="14">
        <v>803881</v>
      </c>
      <c r="C29" s="15" t="s">
        <v>97</v>
      </c>
      <c r="D29" s="14" t="s">
        <v>27</v>
      </c>
      <c r="E29" s="14">
        <v>0.91</v>
      </c>
      <c r="F29" s="87">
        <v>350</v>
      </c>
      <c r="G29" s="87">
        <v>160</v>
      </c>
      <c r="H29" s="87">
        <v>170</v>
      </c>
      <c r="I29" s="87">
        <f t="shared" si="1"/>
        <v>165</v>
      </c>
      <c r="J29" s="84">
        <f t="shared" si="2"/>
        <v>5.8823529411764705E-3</v>
      </c>
    </row>
    <row r="30" spans="1:11" x14ac:dyDescent="0.25">
      <c r="A30" s="1" t="s">
        <v>20</v>
      </c>
      <c r="B30" s="14">
        <v>844226</v>
      </c>
      <c r="C30" s="15" t="s">
        <v>98</v>
      </c>
      <c r="D30" s="14" t="s">
        <v>40</v>
      </c>
      <c r="E30" s="14">
        <v>3.64</v>
      </c>
      <c r="F30" s="87">
        <v>1320</v>
      </c>
      <c r="G30" s="87">
        <v>160</v>
      </c>
      <c r="H30" s="87">
        <v>170</v>
      </c>
      <c r="I30" s="87">
        <f t="shared" si="1"/>
        <v>165</v>
      </c>
      <c r="J30" s="84">
        <f t="shared" si="2"/>
        <v>5.8823529411764705E-3</v>
      </c>
    </row>
    <row r="31" spans="1:11" x14ac:dyDescent="0.25">
      <c r="A31" s="1" t="s">
        <v>20</v>
      </c>
      <c r="B31" s="14">
        <v>844225</v>
      </c>
      <c r="C31" s="15" t="s">
        <v>99</v>
      </c>
      <c r="D31" s="14" t="s">
        <v>41</v>
      </c>
      <c r="E31" s="14">
        <v>18.2</v>
      </c>
      <c r="F31" s="87">
        <v>6450</v>
      </c>
      <c r="G31" s="87">
        <v>160</v>
      </c>
      <c r="H31" s="87">
        <v>170</v>
      </c>
      <c r="I31" s="87">
        <f t="shared" si="1"/>
        <v>165</v>
      </c>
      <c r="J31" s="84">
        <f t="shared" si="2"/>
        <v>5.8823529411764705E-3</v>
      </c>
    </row>
    <row r="32" spans="1:11" x14ac:dyDescent="0.25">
      <c r="A32" s="1" t="s">
        <v>57</v>
      </c>
      <c r="B32" s="14">
        <v>845688</v>
      </c>
      <c r="C32" s="15" t="s">
        <v>100</v>
      </c>
      <c r="D32" s="14" t="s">
        <v>27</v>
      </c>
      <c r="E32" s="14">
        <v>0.45500000000000002</v>
      </c>
      <c r="F32" s="87">
        <v>168</v>
      </c>
      <c r="G32" s="87">
        <v>130</v>
      </c>
      <c r="H32" s="87">
        <v>140</v>
      </c>
      <c r="I32" s="87">
        <f t="shared" si="1"/>
        <v>135</v>
      </c>
      <c r="J32" s="84">
        <f t="shared" si="2"/>
        <v>7.1428571428571426E-3</v>
      </c>
    </row>
    <row r="33" spans="1:10" x14ac:dyDescent="0.25">
      <c r="A33" s="1" t="s">
        <v>57</v>
      </c>
      <c r="B33" s="14">
        <v>844483</v>
      </c>
      <c r="C33" s="15" t="s">
        <v>101</v>
      </c>
      <c r="D33" s="14" t="s">
        <v>27</v>
      </c>
      <c r="E33" s="14">
        <v>0.91</v>
      </c>
      <c r="F33" s="87">
        <v>310</v>
      </c>
      <c r="G33" s="87">
        <v>130</v>
      </c>
      <c r="H33" s="87">
        <v>140</v>
      </c>
      <c r="I33" s="87">
        <f t="shared" si="1"/>
        <v>135</v>
      </c>
      <c r="J33" s="84">
        <f t="shared" si="2"/>
        <v>7.1428571428571426E-3</v>
      </c>
    </row>
    <row r="34" spans="1:10" x14ac:dyDescent="0.25">
      <c r="A34" s="1" t="s">
        <v>57</v>
      </c>
      <c r="B34" s="14">
        <v>844482</v>
      </c>
      <c r="C34" s="15" t="s">
        <v>102</v>
      </c>
      <c r="D34" s="14" t="s">
        <v>40</v>
      </c>
      <c r="E34" s="14">
        <v>3.64</v>
      </c>
      <c r="F34" s="87">
        <v>1150</v>
      </c>
      <c r="G34" s="87">
        <v>130</v>
      </c>
      <c r="H34" s="87">
        <v>140</v>
      </c>
      <c r="I34" s="87">
        <f t="shared" si="1"/>
        <v>135</v>
      </c>
      <c r="J34" s="84">
        <f t="shared" si="2"/>
        <v>7.1428571428571426E-3</v>
      </c>
    </row>
    <row r="35" spans="1:10" x14ac:dyDescent="0.25">
      <c r="A35" s="1" t="s">
        <v>57</v>
      </c>
      <c r="B35" s="14">
        <v>844481</v>
      </c>
      <c r="C35" s="15" t="s">
        <v>103</v>
      </c>
      <c r="D35" s="14" t="s">
        <v>41</v>
      </c>
      <c r="E35" s="14">
        <v>18.2</v>
      </c>
      <c r="F35" s="87">
        <v>5950</v>
      </c>
      <c r="G35" s="87">
        <v>130</v>
      </c>
      <c r="H35" s="87">
        <v>140</v>
      </c>
      <c r="I35" s="87">
        <f t="shared" si="1"/>
        <v>135</v>
      </c>
      <c r="J35" s="84">
        <f t="shared" si="2"/>
        <v>7.1428571428571426E-3</v>
      </c>
    </row>
    <row r="36" spans="1:10" x14ac:dyDescent="0.25">
      <c r="A36" s="1" t="s">
        <v>54</v>
      </c>
      <c r="B36" s="14">
        <v>844423</v>
      </c>
      <c r="C36" s="15" t="s">
        <v>104</v>
      </c>
      <c r="D36" s="14" t="s">
        <v>27</v>
      </c>
      <c r="E36" s="14">
        <v>0.91</v>
      </c>
      <c r="F36" s="87">
        <v>190</v>
      </c>
      <c r="G36" s="87">
        <v>110</v>
      </c>
      <c r="H36" s="87">
        <v>120</v>
      </c>
      <c r="I36" s="87">
        <f t="shared" si="1"/>
        <v>115</v>
      </c>
      <c r="J36" s="84">
        <f t="shared" si="2"/>
        <v>8.3333333333333332E-3</v>
      </c>
    </row>
    <row r="37" spans="1:10" x14ac:dyDescent="0.25">
      <c r="A37" s="1" t="s">
        <v>54</v>
      </c>
      <c r="B37" s="14">
        <v>844422</v>
      </c>
      <c r="C37" s="15" t="s">
        <v>105</v>
      </c>
      <c r="D37" s="14" t="s">
        <v>40</v>
      </c>
      <c r="E37" s="14">
        <v>3.64</v>
      </c>
      <c r="F37" s="87">
        <v>755</v>
      </c>
      <c r="G37" s="87">
        <v>110</v>
      </c>
      <c r="H37" s="87">
        <v>120</v>
      </c>
      <c r="I37" s="87">
        <f t="shared" si="1"/>
        <v>115</v>
      </c>
      <c r="J37" s="84">
        <f t="shared" si="2"/>
        <v>8.3333333333333332E-3</v>
      </c>
    </row>
    <row r="38" spans="1:10" s="17" customFormat="1" x14ac:dyDescent="0.25">
      <c r="A38" s="1" t="s">
        <v>54</v>
      </c>
      <c r="B38" s="14">
        <v>844421</v>
      </c>
      <c r="C38" s="15" t="s">
        <v>106</v>
      </c>
      <c r="D38" s="14" t="s">
        <v>41</v>
      </c>
      <c r="E38" s="14">
        <v>18</v>
      </c>
      <c r="F38" s="87">
        <v>3600</v>
      </c>
      <c r="G38" s="87">
        <v>110</v>
      </c>
      <c r="H38" s="87">
        <v>120</v>
      </c>
      <c r="I38" s="87">
        <f t="shared" si="1"/>
        <v>115</v>
      </c>
      <c r="J38" s="84">
        <f t="shared" si="2"/>
        <v>8.3333333333333332E-3</v>
      </c>
    </row>
    <row r="39" spans="1:10" s="17" customFormat="1" x14ac:dyDescent="0.25">
      <c r="A39" s="1" t="s">
        <v>73</v>
      </c>
      <c r="B39" s="14">
        <v>844432</v>
      </c>
      <c r="C39" s="15" t="s">
        <v>107</v>
      </c>
      <c r="D39" s="14" t="s">
        <v>40</v>
      </c>
      <c r="E39" s="14">
        <v>5</v>
      </c>
      <c r="F39" s="87">
        <v>425</v>
      </c>
      <c r="G39" s="87">
        <v>35</v>
      </c>
      <c r="H39" s="87">
        <v>40</v>
      </c>
      <c r="I39" s="87">
        <f t="shared" si="1"/>
        <v>37.5</v>
      </c>
      <c r="J39" s="84">
        <f t="shared" si="2"/>
        <v>2.5000000000000001E-2</v>
      </c>
    </row>
    <row r="40" spans="1:10" s="17" customFormat="1" x14ac:dyDescent="0.25">
      <c r="A40" s="1" t="s">
        <v>73</v>
      </c>
      <c r="B40" s="14">
        <v>844431</v>
      </c>
      <c r="C40" s="15" t="s">
        <v>108</v>
      </c>
      <c r="D40" s="14" t="s">
        <v>41</v>
      </c>
      <c r="E40" s="14">
        <v>25</v>
      </c>
      <c r="F40" s="87">
        <v>1950</v>
      </c>
      <c r="G40" s="87">
        <v>35</v>
      </c>
      <c r="H40" s="87">
        <v>40</v>
      </c>
      <c r="I40" s="87">
        <f t="shared" si="1"/>
        <v>37.5</v>
      </c>
      <c r="J40" s="84">
        <f t="shared" si="2"/>
        <v>2.5000000000000001E-2</v>
      </c>
    </row>
    <row r="41" spans="1:10" s="17" customFormat="1" x14ac:dyDescent="0.25">
      <c r="A41" s="1" t="s">
        <v>56</v>
      </c>
      <c r="B41" s="14">
        <v>844128</v>
      </c>
      <c r="C41" s="15" t="s">
        <v>109</v>
      </c>
      <c r="D41" s="14" t="s">
        <v>27</v>
      </c>
      <c r="E41" s="14">
        <v>0.91</v>
      </c>
      <c r="F41" s="87">
        <v>370</v>
      </c>
      <c r="G41" s="87">
        <v>165</v>
      </c>
      <c r="H41" s="87">
        <v>170</v>
      </c>
      <c r="I41" s="87">
        <f t="shared" si="1"/>
        <v>167.5</v>
      </c>
      <c r="J41" s="84">
        <f t="shared" si="2"/>
        <v>5.8823529411764705E-3</v>
      </c>
    </row>
    <row r="42" spans="1:10" s="17" customFormat="1" x14ac:dyDescent="0.25">
      <c r="A42" s="1" t="s">
        <v>56</v>
      </c>
      <c r="B42" s="14">
        <v>844127</v>
      </c>
      <c r="C42" s="15" t="s">
        <v>110</v>
      </c>
      <c r="D42" s="14" t="s">
        <v>40</v>
      </c>
      <c r="E42" s="14">
        <v>3.64</v>
      </c>
      <c r="F42" s="87">
        <v>1400</v>
      </c>
      <c r="G42" s="87">
        <v>165</v>
      </c>
      <c r="H42" s="87">
        <v>170</v>
      </c>
      <c r="I42" s="87">
        <f t="shared" si="1"/>
        <v>167.5</v>
      </c>
      <c r="J42" s="84">
        <f t="shared" si="2"/>
        <v>5.8823529411764705E-3</v>
      </c>
    </row>
    <row r="43" spans="1:10" s="17" customFormat="1" x14ac:dyDescent="0.25">
      <c r="A43" s="1" t="s">
        <v>56</v>
      </c>
      <c r="B43" s="14">
        <v>844126</v>
      </c>
      <c r="C43" s="15" t="s">
        <v>111</v>
      </c>
      <c r="D43" s="14" t="s">
        <v>41</v>
      </c>
      <c r="E43" s="14">
        <v>18</v>
      </c>
      <c r="F43" s="87">
        <v>6600</v>
      </c>
      <c r="G43" s="87">
        <v>165</v>
      </c>
      <c r="H43" s="87">
        <v>170</v>
      </c>
      <c r="I43" s="87">
        <f t="shared" si="1"/>
        <v>167.5</v>
      </c>
      <c r="J43" s="84">
        <f t="shared" si="2"/>
        <v>5.8823529411764705E-3</v>
      </c>
    </row>
    <row r="44" spans="1:10" s="17" customFormat="1" x14ac:dyDescent="0.25">
      <c r="A44" s="1" t="s">
        <v>53</v>
      </c>
      <c r="B44" s="14">
        <v>803893</v>
      </c>
      <c r="C44" s="15" t="s">
        <v>112</v>
      </c>
      <c r="D44" s="14" t="s">
        <v>27</v>
      </c>
      <c r="E44" s="14">
        <v>0.91</v>
      </c>
      <c r="F44" s="87">
        <v>230</v>
      </c>
      <c r="G44" s="87">
        <v>160</v>
      </c>
      <c r="H44" s="87">
        <v>170</v>
      </c>
      <c r="I44" s="87">
        <f t="shared" si="1"/>
        <v>165</v>
      </c>
      <c r="J44" s="84">
        <f t="shared" si="2"/>
        <v>5.8823529411764705E-3</v>
      </c>
    </row>
    <row r="45" spans="1:10" s="17" customFormat="1" x14ac:dyDescent="0.25">
      <c r="A45" s="1" t="s">
        <v>53</v>
      </c>
      <c r="B45" s="14">
        <v>844002</v>
      </c>
      <c r="C45" s="15" t="s">
        <v>113</v>
      </c>
      <c r="D45" s="14" t="s">
        <v>40</v>
      </c>
      <c r="E45" s="14">
        <v>3.64</v>
      </c>
      <c r="F45" s="87">
        <v>850</v>
      </c>
      <c r="G45" s="87">
        <v>160</v>
      </c>
      <c r="H45" s="87">
        <v>170</v>
      </c>
      <c r="I45" s="87">
        <f t="shared" si="1"/>
        <v>165</v>
      </c>
      <c r="J45" s="84">
        <f t="shared" si="2"/>
        <v>5.8823529411764705E-3</v>
      </c>
    </row>
    <row r="46" spans="1:10" x14ac:dyDescent="0.25">
      <c r="A46" s="1" t="s">
        <v>53</v>
      </c>
      <c r="B46" s="14">
        <v>844001</v>
      </c>
      <c r="C46" s="15" t="s">
        <v>114</v>
      </c>
      <c r="D46" s="14" t="s">
        <v>41</v>
      </c>
      <c r="E46" s="14">
        <v>18</v>
      </c>
      <c r="F46" s="87">
        <v>4070</v>
      </c>
      <c r="G46" s="87">
        <v>160</v>
      </c>
      <c r="H46" s="87">
        <v>170</v>
      </c>
      <c r="I46" s="87">
        <f t="shared" si="1"/>
        <v>165</v>
      </c>
      <c r="J46" s="84">
        <f t="shared" si="2"/>
        <v>5.8823529411764705E-3</v>
      </c>
    </row>
    <row r="47" spans="1:10" x14ac:dyDescent="0.25">
      <c r="A47" s="1" t="s">
        <v>57</v>
      </c>
      <c r="B47" s="14">
        <v>844481</v>
      </c>
      <c r="C47" s="15" t="s">
        <v>103</v>
      </c>
      <c r="D47" s="14" t="s">
        <v>41</v>
      </c>
      <c r="E47" s="14">
        <v>18.2</v>
      </c>
      <c r="F47" s="87">
        <v>5950</v>
      </c>
      <c r="G47" s="87">
        <v>130</v>
      </c>
      <c r="H47" s="87">
        <v>140</v>
      </c>
      <c r="I47" s="87">
        <f t="shared" ref="I47:I70" si="3">(G47+H47)/2</f>
        <v>135</v>
      </c>
      <c r="J47" s="84">
        <f t="shared" ref="J47:J70" si="4">1/H47</f>
        <v>7.1428571428571426E-3</v>
      </c>
    </row>
    <row r="48" spans="1:10" x14ac:dyDescent="0.25">
      <c r="A48" s="1" t="s">
        <v>54</v>
      </c>
      <c r="B48" s="14">
        <v>844423</v>
      </c>
      <c r="C48" s="15" t="s">
        <v>104</v>
      </c>
      <c r="D48" s="14" t="s">
        <v>27</v>
      </c>
      <c r="E48" s="14">
        <v>0.91</v>
      </c>
      <c r="F48" s="87">
        <v>190</v>
      </c>
      <c r="G48" s="87">
        <v>110</v>
      </c>
      <c r="H48" s="87">
        <v>120</v>
      </c>
      <c r="I48" s="87">
        <f t="shared" si="3"/>
        <v>115</v>
      </c>
      <c r="J48" s="84">
        <f t="shared" si="4"/>
        <v>8.3333333333333332E-3</v>
      </c>
    </row>
    <row r="49" spans="1:10" x14ac:dyDescent="0.25">
      <c r="A49" s="1" t="s">
        <v>54</v>
      </c>
      <c r="B49" s="14">
        <v>844422</v>
      </c>
      <c r="C49" s="15" t="s">
        <v>105</v>
      </c>
      <c r="D49" s="14" t="s">
        <v>40</v>
      </c>
      <c r="E49" s="14">
        <v>3.64</v>
      </c>
      <c r="F49" s="87">
        <v>755</v>
      </c>
      <c r="G49" s="87">
        <v>110</v>
      </c>
      <c r="H49" s="87">
        <v>120</v>
      </c>
      <c r="I49" s="87">
        <f t="shared" si="3"/>
        <v>115</v>
      </c>
      <c r="J49" s="84">
        <f t="shared" si="4"/>
        <v>8.3333333333333332E-3</v>
      </c>
    </row>
    <row r="50" spans="1:10" x14ac:dyDescent="0.25">
      <c r="A50" s="1" t="s">
        <v>54</v>
      </c>
      <c r="B50" s="14">
        <v>844421</v>
      </c>
      <c r="C50" s="15" t="s">
        <v>106</v>
      </c>
      <c r="D50" s="14" t="s">
        <v>41</v>
      </c>
      <c r="E50" s="14">
        <v>18</v>
      </c>
      <c r="F50" s="87">
        <v>3600</v>
      </c>
      <c r="G50" s="87">
        <v>110</v>
      </c>
      <c r="H50" s="87">
        <v>120</v>
      </c>
      <c r="I50" s="87">
        <f t="shared" si="3"/>
        <v>115</v>
      </c>
      <c r="J50" s="84">
        <f t="shared" si="4"/>
        <v>8.3333333333333332E-3</v>
      </c>
    </row>
    <row r="51" spans="1:10" x14ac:dyDescent="0.25">
      <c r="A51" s="1" t="s">
        <v>73</v>
      </c>
      <c r="B51" s="14">
        <v>844432</v>
      </c>
      <c r="C51" s="15" t="s">
        <v>107</v>
      </c>
      <c r="D51" s="14" t="s">
        <v>40</v>
      </c>
      <c r="E51" s="14">
        <v>5</v>
      </c>
      <c r="F51" s="87">
        <v>425</v>
      </c>
      <c r="G51" s="87">
        <v>35</v>
      </c>
      <c r="H51" s="87">
        <v>40</v>
      </c>
      <c r="I51" s="87">
        <f t="shared" si="3"/>
        <v>37.5</v>
      </c>
      <c r="J51" s="84">
        <f t="shared" si="4"/>
        <v>2.5000000000000001E-2</v>
      </c>
    </row>
    <row r="52" spans="1:10" x14ac:dyDescent="0.25">
      <c r="A52" s="1" t="s">
        <v>73</v>
      </c>
      <c r="B52" s="14">
        <v>844431</v>
      </c>
      <c r="C52" s="15" t="s">
        <v>108</v>
      </c>
      <c r="D52" s="14" t="s">
        <v>41</v>
      </c>
      <c r="E52" s="14">
        <v>25</v>
      </c>
      <c r="F52" s="87">
        <v>1950</v>
      </c>
      <c r="G52" s="87">
        <v>35</v>
      </c>
      <c r="H52" s="87">
        <v>40</v>
      </c>
      <c r="I52" s="87">
        <f t="shared" si="3"/>
        <v>37.5</v>
      </c>
      <c r="J52" s="84">
        <f t="shared" si="4"/>
        <v>2.5000000000000001E-2</v>
      </c>
    </row>
    <row r="53" spans="1:10" x14ac:dyDescent="0.25">
      <c r="A53" s="1" t="s">
        <v>56</v>
      </c>
      <c r="B53" s="14">
        <v>844128</v>
      </c>
      <c r="C53" s="15" t="s">
        <v>109</v>
      </c>
      <c r="D53" s="14" t="s">
        <v>27</v>
      </c>
      <c r="E53" s="14">
        <v>0.91</v>
      </c>
      <c r="F53" s="87">
        <v>370</v>
      </c>
      <c r="G53" s="87">
        <v>165</v>
      </c>
      <c r="H53" s="87">
        <v>170</v>
      </c>
      <c r="I53" s="87">
        <f t="shared" si="3"/>
        <v>167.5</v>
      </c>
      <c r="J53" s="84">
        <f t="shared" si="4"/>
        <v>5.8823529411764705E-3</v>
      </c>
    </row>
    <row r="54" spans="1:10" x14ac:dyDescent="0.25">
      <c r="A54" s="1" t="s">
        <v>56</v>
      </c>
      <c r="B54" s="14">
        <v>844127</v>
      </c>
      <c r="C54" s="15" t="s">
        <v>110</v>
      </c>
      <c r="D54" s="14" t="s">
        <v>40</v>
      </c>
      <c r="E54" s="14">
        <v>3.64</v>
      </c>
      <c r="F54" s="87">
        <v>1400</v>
      </c>
      <c r="G54" s="87">
        <v>165</v>
      </c>
      <c r="H54" s="87">
        <v>170</v>
      </c>
      <c r="I54" s="87">
        <f t="shared" si="3"/>
        <v>167.5</v>
      </c>
      <c r="J54" s="84">
        <f t="shared" si="4"/>
        <v>5.8823529411764705E-3</v>
      </c>
    </row>
    <row r="55" spans="1:10" x14ac:dyDescent="0.25">
      <c r="A55" s="1" t="s">
        <v>56</v>
      </c>
      <c r="B55" s="14">
        <v>844126</v>
      </c>
      <c r="C55" s="15" t="s">
        <v>111</v>
      </c>
      <c r="D55" s="14" t="s">
        <v>41</v>
      </c>
      <c r="E55" s="14">
        <v>18</v>
      </c>
      <c r="F55" s="87">
        <v>6600</v>
      </c>
      <c r="G55" s="87">
        <v>165</v>
      </c>
      <c r="H55" s="87">
        <v>170</v>
      </c>
      <c r="I55" s="87">
        <f t="shared" si="3"/>
        <v>167.5</v>
      </c>
      <c r="J55" s="84">
        <f t="shared" si="4"/>
        <v>5.8823529411764705E-3</v>
      </c>
    </row>
    <row r="56" spans="1:10" x14ac:dyDescent="0.25">
      <c r="A56" s="1" t="s">
        <v>53</v>
      </c>
      <c r="B56" s="14">
        <v>803893</v>
      </c>
      <c r="C56" s="15" t="s">
        <v>112</v>
      </c>
      <c r="D56" s="14" t="s">
        <v>27</v>
      </c>
      <c r="E56" s="14">
        <v>0.91</v>
      </c>
      <c r="F56" s="87">
        <v>230</v>
      </c>
      <c r="G56" s="87">
        <v>160</v>
      </c>
      <c r="H56" s="87">
        <v>170</v>
      </c>
      <c r="I56" s="87">
        <f t="shared" si="3"/>
        <v>165</v>
      </c>
      <c r="J56" s="84">
        <f t="shared" si="4"/>
        <v>5.8823529411764705E-3</v>
      </c>
    </row>
    <row r="57" spans="1:10" x14ac:dyDescent="0.25">
      <c r="A57" s="1" t="s">
        <v>53</v>
      </c>
      <c r="B57" s="14">
        <v>844002</v>
      </c>
      <c r="C57" s="15" t="s">
        <v>113</v>
      </c>
      <c r="D57" s="14" t="s">
        <v>40</v>
      </c>
      <c r="E57" s="14">
        <v>3.64</v>
      </c>
      <c r="F57" s="87">
        <v>850</v>
      </c>
      <c r="G57" s="87">
        <v>160</v>
      </c>
      <c r="H57" s="87">
        <v>170</v>
      </c>
      <c r="I57" s="87">
        <f t="shared" si="3"/>
        <v>165</v>
      </c>
      <c r="J57" s="84">
        <f t="shared" si="4"/>
        <v>5.8823529411764705E-3</v>
      </c>
    </row>
    <row r="58" spans="1:10" x14ac:dyDescent="0.25">
      <c r="A58" s="1" t="s">
        <v>53</v>
      </c>
      <c r="B58" s="14">
        <v>844001</v>
      </c>
      <c r="C58" s="15" t="s">
        <v>114</v>
      </c>
      <c r="D58" s="14" t="s">
        <v>41</v>
      </c>
      <c r="E58" s="14">
        <v>18</v>
      </c>
      <c r="F58" s="87">
        <v>4070</v>
      </c>
      <c r="G58" s="87">
        <v>160</v>
      </c>
      <c r="H58" s="87">
        <v>170</v>
      </c>
      <c r="I58" s="87">
        <f t="shared" si="3"/>
        <v>165</v>
      </c>
      <c r="J58" s="84">
        <f t="shared" si="4"/>
        <v>5.8823529411764705E-3</v>
      </c>
    </row>
    <row r="59" spans="1:10" x14ac:dyDescent="0.25">
      <c r="A59" s="1" t="s">
        <v>57</v>
      </c>
      <c r="B59" s="14">
        <v>844481</v>
      </c>
      <c r="C59" s="15" t="s">
        <v>103</v>
      </c>
      <c r="D59" s="14" t="s">
        <v>41</v>
      </c>
      <c r="E59" s="14">
        <v>18.2</v>
      </c>
      <c r="F59" s="87">
        <v>5950</v>
      </c>
      <c r="G59" s="87">
        <v>130</v>
      </c>
      <c r="H59" s="87">
        <v>140</v>
      </c>
      <c r="I59" s="87">
        <f t="shared" si="3"/>
        <v>135</v>
      </c>
      <c r="J59" s="84">
        <f t="shared" si="4"/>
        <v>7.1428571428571426E-3</v>
      </c>
    </row>
    <row r="60" spans="1:10" x14ac:dyDescent="0.25">
      <c r="A60" s="1" t="s">
        <v>54</v>
      </c>
      <c r="B60" s="14">
        <v>844423</v>
      </c>
      <c r="C60" s="15" t="s">
        <v>104</v>
      </c>
      <c r="D60" s="14" t="s">
        <v>27</v>
      </c>
      <c r="E60" s="14">
        <v>0.91</v>
      </c>
      <c r="F60" s="87">
        <v>190</v>
      </c>
      <c r="G60" s="87">
        <v>110</v>
      </c>
      <c r="H60" s="87">
        <v>120</v>
      </c>
      <c r="I60" s="87">
        <f t="shared" si="3"/>
        <v>115</v>
      </c>
      <c r="J60" s="84">
        <f t="shared" si="4"/>
        <v>8.3333333333333332E-3</v>
      </c>
    </row>
    <row r="61" spans="1:10" x14ac:dyDescent="0.25">
      <c r="A61" s="1" t="s">
        <v>54</v>
      </c>
      <c r="B61" s="14">
        <v>844422</v>
      </c>
      <c r="C61" s="15" t="s">
        <v>105</v>
      </c>
      <c r="D61" s="14" t="s">
        <v>40</v>
      </c>
      <c r="E61" s="14">
        <v>3.64</v>
      </c>
      <c r="F61" s="87">
        <v>755</v>
      </c>
      <c r="G61" s="87">
        <v>110</v>
      </c>
      <c r="H61" s="87">
        <v>120</v>
      </c>
      <c r="I61" s="87">
        <f t="shared" si="3"/>
        <v>115</v>
      </c>
      <c r="J61" s="84">
        <f t="shared" si="4"/>
        <v>8.3333333333333332E-3</v>
      </c>
    </row>
    <row r="62" spans="1:10" x14ac:dyDescent="0.25">
      <c r="A62" s="1" t="s">
        <v>54</v>
      </c>
      <c r="B62" s="14">
        <v>844421</v>
      </c>
      <c r="C62" s="15" t="s">
        <v>106</v>
      </c>
      <c r="D62" s="14" t="s">
        <v>41</v>
      </c>
      <c r="E62" s="14">
        <v>18</v>
      </c>
      <c r="F62" s="87">
        <v>3600</v>
      </c>
      <c r="G62" s="87">
        <v>110</v>
      </c>
      <c r="H62" s="87">
        <v>120</v>
      </c>
      <c r="I62" s="87">
        <f t="shared" si="3"/>
        <v>115</v>
      </c>
      <c r="J62" s="84">
        <f t="shared" si="4"/>
        <v>8.3333333333333332E-3</v>
      </c>
    </row>
    <row r="63" spans="1:10" x14ac:dyDescent="0.25">
      <c r="A63" s="1" t="s">
        <v>73</v>
      </c>
      <c r="B63" s="14">
        <v>844432</v>
      </c>
      <c r="C63" s="15" t="s">
        <v>107</v>
      </c>
      <c r="D63" s="14" t="s">
        <v>40</v>
      </c>
      <c r="E63" s="14">
        <v>5</v>
      </c>
      <c r="F63" s="87">
        <v>425</v>
      </c>
      <c r="G63" s="87">
        <v>35</v>
      </c>
      <c r="H63" s="87">
        <v>40</v>
      </c>
      <c r="I63" s="87">
        <f t="shared" si="3"/>
        <v>37.5</v>
      </c>
      <c r="J63" s="84">
        <f t="shared" si="4"/>
        <v>2.5000000000000001E-2</v>
      </c>
    </row>
    <row r="64" spans="1:10" x14ac:dyDescent="0.25">
      <c r="A64" s="1" t="s">
        <v>73</v>
      </c>
      <c r="B64" s="14">
        <v>844431</v>
      </c>
      <c r="C64" s="15" t="s">
        <v>108</v>
      </c>
      <c r="D64" s="14" t="s">
        <v>41</v>
      </c>
      <c r="E64" s="14">
        <v>25</v>
      </c>
      <c r="F64" s="87">
        <v>1950</v>
      </c>
      <c r="G64" s="87">
        <v>35</v>
      </c>
      <c r="H64" s="87">
        <v>40</v>
      </c>
      <c r="I64" s="87">
        <f t="shared" si="3"/>
        <v>37.5</v>
      </c>
      <c r="J64" s="84">
        <f t="shared" si="4"/>
        <v>2.5000000000000001E-2</v>
      </c>
    </row>
    <row r="65" spans="1:10" x14ac:dyDescent="0.25">
      <c r="A65" s="1" t="s">
        <v>56</v>
      </c>
      <c r="B65" s="14">
        <v>844128</v>
      </c>
      <c r="C65" s="15" t="s">
        <v>109</v>
      </c>
      <c r="D65" s="14" t="s">
        <v>27</v>
      </c>
      <c r="E65" s="14">
        <v>0.91</v>
      </c>
      <c r="F65" s="87">
        <v>370</v>
      </c>
      <c r="G65" s="87">
        <v>165</v>
      </c>
      <c r="H65" s="87">
        <v>170</v>
      </c>
      <c r="I65" s="87">
        <f t="shared" si="3"/>
        <v>167.5</v>
      </c>
      <c r="J65" s="84">
        <f t="shared" si="4"/>
        <v>5.8823529411764705E-3</v>
      </c>
    </row>
    <row r="66" spans="1:10" x14ac:dyDescent="0.25">
      <c r="A66" s="1" t="s">
        <v>56</v>
      </c>
      <c r="B66" s="14">
        <v>844127</v>
      </c>
      <c r="C66" s="15" t="s">
        <v>110</v>
      </c>
      <c r="D66" s="14" t="s">
        <v>40</v>
      </c>
      <c r="E66" s="14">
        <v>3.64</v>
      </c>
      <c r="F66" s="87">
        <v>1400</v>
      </c>
      <c r="G66" s="87">
        <v>165</v>
      </c>
      <c r="H66" s="87">
        <v>170</v>
      </c>
      <c r="I66" s="87">
        <f t="shared" si="3"/>
        <v>167.5</v>
      </c>
      <c r="J66" s="84">
        <f t="shared" si="4"/>
        <v>5.8823529411764705E-3</v>
      </c>
    </row>
    <row r="67" spans="1:10" x14ac:dyDescent="0.25">
      <c r="A67" s="1" t="s">
        <v>56</v>
      </c>
      <c r="B67" s="14">
        <v>844126</v>
      </c>
      <c r="C67" s="15" t="s">
        <v>111</v>
      </c>
      <c r="D67" s="14" t="s">
        <v>41</v>
      </c>
      <c r="E67" s="14">
        <v>18</v>
      </c>
      <c r="F67" s="87">
        <v>6600</v>
      </c>
      <c r="G67" s="87">
        <v>165</v>
      </c>
      <c r="H67" s="87">
        <v>170</v>
      </c>
      <c r="I67" s="87">
        <f t="shared" si="3"/>
        <v>167.5</v>
      </c>
      <c r="J67" s="84">
        <f t="shared" si="4"/>
        <v>5.8823529411764705E-3</v>
      </c>
    </row>
    <row r="68" spans="1:10" x14ac:dyDescent="0.25">
      <c r="A68" s="1" t="s">
        <v>53</v>
      </c>
      <c r="B68" s="14">
        <v>803893</v>
      </c>
      <c r="C68" s="15" t="s">
        <v>112</v>
      </c>
      <c r="D68" s="14" t="s">
        <v>27</v>
      </c>
      <c r="E68" s="14">
        <v>0.91</v>
      </c>
      <c r="F68" s="87">
        <v>230</v>
      </c>
      <c r="G68" s="87">
        <v>160</v>
      </c>
      <c r="H68" s="87">
        <v>170</v>
      </c>
      <c r="I68" s="87">
        <f t="shared" si="3"/>
        <v>165</v>
      </c>
      <c r="J68" s="84">
        <f t="shared" si="4"/>
        <v>5.8823529411764705E-3</v>
      </c>
    </row>
    <row r="69" spans="1:10" x14ac:dyDescent="0.25">
      <c r="A69" s="1" t="s">
        <v>53</v>
      </c>
      <c r="B69" s="14">
        <v>844002</v>
      </c>
      <c r="C69" s="15" t="s">
        <v>113</v>
      </c>
      <c r="D69" s="14" t="s">
        <v>40</v>
      </c>
      <c r="E69" s="14">
        <v>3.64</v>
      </c>
      <c r="F69" s="87">
        <v>850</v>
      </c>
      <c r="G69" s="87">
        <v>160</v>
      </c>
      <c r="H69" s="87">
        <v>170</v>
      </c>
      <c r="I69" s="87">
        <f t="shared" si="3"/>
        <v>165</v>
      </c>
      <c r="J69" s="84">
        <f t="shared" si="4"/>
        <v>5.8823529411764705E-3</v>
      </c>
    </row>
    <row r="70" spans="1:10" x14ac:dyDescent="0.25">
      <c r="A70" s="1" t="s">
        <v>53</v>
      </c>
      <c r="B70" s="14">
        <v>844001</v>
      </c>
      <c r="C70" s="15" t="s">
        <v>114</v>
      </c>
      <c r="D70" s="14" t="s">
        <v>41</v>
      </c>
      <c r="E70" s="14">
        <v>18</v>
      </c>
      <c r="F70" s="87">
        <v>4070</v>
      </c>
      <c r="G70" s="87">
        <v>160</v>
      </c>
      <c r="H70" s="87">
        <v>170</v>
      </c>
      <c r="I70" s="87">
        <f t="shared" si="3"/>
        <v>165</v>
      </c>
      <c r="J70" s="84">
        <f t="shared" si="4"/>
        <v>5.8823529411764705E-3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Exterior</vt:lpstr>
      <vt:lpstr>Metal,Wood,Cane</vt:lpstr>
      <vt:lpstr>Interior</vt:lpstr>
      <vt:lpstr>Category</vt:lpstr>
      <vt:lpstr>MRP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RFL-TEL-OP-Paint-AM-Mousum</dc:creator>
  <cp:lastModifiedBy>Shimul</cp:lastModifiedBy>
  <cp:lastPrinted>2021-03-15T16:40:14Z</cp:lastPrinted>
  <dcterms:created xsi:type="dcterms:W3CDTF">2021-03-13T13:47:40Z</dcterms:created>
  <dcterms:modified xsi:type="dcterms:W3CDTF">2021-04-27T18:33:01Z</dcterms:modified>
</cp:coreProperties>
</file>